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ed Water Use" sheetId="1" r:id="rId3"/>
    <sheet state="visible" name="Agricultural Water Use Calcs" sheetId="2" r:id="rId4"/>
    <sheet state="visible" name="NDVI Acreage" sheetId="3" r:id="rId5"/>
    <sheet state="visible" name="Muni &amp; Domestic Water Use Calcs" sheetId="4" r:id="rId6"/>
    <sheet state="visible" name="US Census Population Estimates" sheetId="5" r:id="rId7"/>
    <sheet state="visible" name="Industrial Water Use Cals" sheetId="6" r:id="rId8"/>
    <sheet state="visible" name="Electrical Generation" sheetId="7" r:id="rId9"/>
    <sheet state="visible" name="Oil and Gas Production" sheetId="8" r:id="rId10"/>
    <sheet state="visible" name="Natrual Gas Processing" sheetId="9" r:id="rId11"/>
    <sheet state="visible" name="Mine Production" sheetId="10" r:id="rId12"/>
    <sheet state="visible" name="Coalbed Methane" sheetId="11" r:id="rId13"/>
  </sheets>
  <externalReferences>
    <externalReference r:id="rId14"/>
  </externalReferences>
  <definedNames/>
  <calcPr/>
  <extLst>
    <ext uri="GoogleSheetsCustomDataVersion1">
      <go:sheetsCustomData xmlns:go="http://customooxmlschemas.google.com/" r:id="rId15" roundtripDataSignature="AMtx7mjXjxntSLXF+DLM0UWVOLgs5tmWZg=="/>
    </ext>
  </extLst>
</workbook>
</file>

<file path=xl/comments1.xml><?xml version="1.0" encoding="utf-8"?>
<comments xmlns:r="http://schemas.openxmlformats.org/officeDocument/2006/relationships" xmlns="http://schemas.openxmlformats.org/spreadsheetml/2006/main">
  <authors>
    <author/>
  </authors>
  <commentList>
    <comment authorId="0" ref="B260">
      <text>
        <t xml:space="preserve">======
ID#AAAADTJMmyc
tc={0084E8BF-2ADB-4D73-AA62-E3759AC81C4C}    (2019-07-29 17:26:44)
[Threaded comment]
Your version of Excel allows you to read this threaded comment; however, any edits to it will get removed if the file is opened in a newer version of Excel. Learn more: https://go.microsoft.com/fwlink/?linkid=870924
Comment:
    Neither the 2003 or 2010 basin plan provide an estimate of agricultural groundwater use. Based on mapped POU data, 4328 acres have original groundwater rights while 627,046 acres of land have original surface water rights. This equates to groundwater accounting for ~0.7% of total agricultural water consumption.</t>
      </text>
    </comment>
    <comment authorId="0" ref="B136">
      <text>
        <t xml:space="preserve">======
ID#AAAADTJMmxs
tc={CA326F0D-0219-40D4-A4C4-C03E5B13F3E4}    (2019-07-29 17:26:44)
[Threaded comment]
Your version of Excel allows you to read this threaded comment; however, any edits to it will get removed if the file is opened in a newer version of Excel. Learn more: https://go.microsoft.com/fwlink/?linkid=870924
Comment:
    The 2002 Basin Plan estimates groundwater depletions of 279, 194, and 193 acft, respectively, in wet, normal, and dry hydrologic years. This euqates to a weighted average annual groundwater consumptive use of 210.8 acft. This equates to ~0.1% of total agricultural water use</t>
      </text>
    </comment>
    <comment authorId="0" ref="B96">
      <text>
        <t xml:space="preserve">======
ID#AAAADTJMmxU
tc={1B03196C-E346-4EB6-9481-93B343584D1C}    (2019-07-29 17:26:44)
[Threaded comment]
Your version of Excel allows you to read this threaded comment; however, any edits to it will get removed if the file is opened in a newer version of Excel. Learn more: https://go.microsoft.com/fwlink/?linkid=870924
Comment:
    Harvey Economics (Harvey Economics, 2005, Technical Memorandum 4.3 - Future water demand projections, in, Platte River Basin water plan Techical Memoranda) estimates that groundwater contributes 11% of water for total agricultral consumptive use. This estimate alings with the POU analysis, which shoes that there are 108,826 acres original rights permitted for groundwater irrigation and 1,006,610 acres permitted for original surface water irrigation, which euqates to 10% groundwater.</t>
      </text>
    </comment>
    <comment authorId="0" ref="B220">
      <text>
        <t xml:space="preserve">======
ID#AAAADTJMmxI
tc={49A60F6D-6518-4C99-8402-C21C5F8D8815}    (2019-07-29 17:26:44)
[Threaded comment]
Your version of Excel allows you to read this threaded comment; however, any edits to it will get removed if the file is opened in a newer version of Excel. Learn more: https://go.microsoft.com/fwlink/?linkid=870924
Comment:
    The 2002 Basin Plan indicates that, on average, 650 acft of groundwater is annualy consumed for agrigultural purposes. This is equates to ~0.7% of total agricultural consumptive use.</t>
      </text>
    </comment>
    <comment authorId="0" ref="A176">
      <text>
        <t xml:space="preserve">======
ID#AAAADTJMmvk
tc={2E107B92-E86A-4B35-A2BA-D9CAD54AB7C2}    (2019-07-29 17:26:44)
[Threaded comment]
Your version of Excel allows you to read this threaded comment; however, any edits to it will get removed if the file is opened in a newer version of Excel. Learn more: https://go.microsoft.com/fwlink/?linkid=870924
Comment:
    Groundwater is a substantial contributor to total agricultural water use. The basin plan developed seperated wet, normal, and dry year average consumptive use for surface and groundwater. Therefore seperate regression equations were developed for both groundwater and surface water use.</t>
      </text>
    </comment>
    <comment authorId="0" ref="E258">
      <text>
        <t xml:space="preserve">======
ID#AAAADTJMmus
tc={A754C5E2-A958-48B4-85AC-AD8B82356F3B}    (2019-07-29 17:26:44)
[Threaded comment]
Your version of Excel allows you to read this threaded comment; however, any edits to it will get removed if the file is opened in a newer version of Excel. Learn more: https://go.microsoft.com/fwlink/?linkid=870924
Comment:
    The reported conumptive use numbers come from the 2014 basin plan. Note that the consumptive use reported in the 2014 basin plan is much different than the consumptive use reported in the 2002 Basin Plan (Basin Water Use Profile - Agrigulture Technical Memo, Table 3 - Agricultural Depletions). The 2002 basin plan reports average consumptive use of 1,106,700, 1,080,000, and 1,017,500 acft, respectively in wet, normal, and dry years.</t>
      </text>
    </comment>
    <comment authorId="0" ref="E218">
      <text>
        <t xml:space="preserve">======
ID#AAAADTJMmuo
tc={7EC36153-0F40-4CFD-935F-73288089404E}    (2019-07-29 17:26:44)
[Threaded comment]
Your version of Excel allows you to read this threaded comment; however, any edits to it will get removed if the file is opened in a newer version of Excel. Learn more: https://go.microsoft.com/fwlink/?linkid=870924
Comment:
    The reported conumptive use numbers come from the 2014 basin plan. Note that the consumptive use reported in the 2014 basin plan is much different than the consumptive use reported in the 2002 Basin Plan (Basin Water Use Profile - Agrigulture Technical Memo, Table 3 - Agricultural Depletions). The 2002 basin plan reports average consumptive use of 105,310, 102,413, and 94,095 acft, respectively in wet, normal, and dry years.</t>
      </text>
    </comment>
    <comment authorId="0" ref="B56">
      <text>
        <t xml:space="preserve">======
ID#AAAADTJMmtU
tc={CB1805DE-51BA-4980-A173-0BEDF5CCAE54}    (2019-07-29 17:26:44)
[Threaded comment]
Your version of Excel allows you to read this threaded comment; however, any edits to it will get removed if the file is opened in a newer version of Excel. Learn more: https://go.microsoft.com/fwlink/?linkid=870924
Comment:
    Neither the 2001 Basin Plan or the 2010 update identified or quantified agricultrual consumptive use of groundwater. From mapped POU records, 3562 acres are supplied by groundwater of any supply type and 471,721 acres have an original surface water right. This equates to ~1% groundwater use</t>
      </text>
    </comment>
    <comment authorId="0" ref="A171">
      <text>
        <t xml:space="preserve">======
ID#AAAADTJMmsQ
tc={1B8CC750-E315-4D86-AC61-DBF6BAE9CCFE}    (2019-07-29 17:26:44)
[Threaded comment]
Your version of Excel allows you to read this threaded comment; however, any edits to it will get removed if the file is opened in a newer version of Excel. Learn more: https://go.microsoft.com/fwlink/?linkid=870924
Comment:
    Groundwater is a substantial contributor to total agricultural water use. The basin plan developed seperated wet, normal, and dry year average consumptive use for surface and groundwater. Therefore seperate regression equations were developed for both groundwater and surface water use.</t>
      </text>
    </comment>
    <comment authorId="0" ref="J54">
      <text>
        <t xml:space="preserve">======
ID#AAAADTJMmrw
tc={1CB20DDB-35FF-46F2-9464-A70721FBD97D}    (2019-07-29 17:26:44)
[Threaded comment]
Your version of Excel allows you to read this threaded comment; however, any edits to it will get removed if the file is opened in a newer version of Excel. Learn more: https://go.microsoft.com/fwlink/?linkid=870924
Comment:
    Not Reported in Basin Plan; this value is an average of the wet and dry year averages and should be used for reference only</t>
      </text>
    </comment>
    <comment authorId="0" ref="B17">
      <text>
        <t xml:space="preserve">======
ID#AAAADTJMmrg
tc={32640ECD-1A1D-4580-9FD7-7A05058B8578}    (2019-07-29 17:26:44)
[Threaded comment]
Your version of Excel allows you to read this threaded comment; however, any edits to it will get removed if the file is opened in a newer version of Excel. Learn more: https://go.microsoft.com/fwlink/?linkid=870924
Comment:
    an average of 1,900 acft of groundwater is consumptivly used in the Bear River Basin (Bear River Basin Plan, 2001, Appendix G, Figure 12)</t>
      </text>
    </comment>
  </commentList>
  <extLst>
    <ext uri="GoogleSheetsCustomDataVersion1">
      <go:sheetsCustomData xmlns:go="http://customooxmlschemas.google.com/" r:id="rId1" roundtripDataSignature="AMtx7mgGLLy6W60eu/nDh+OUcGYsI8P0ug=="/>
    </ext>
  </extLst>
</comments>
</file>

<file path=xl/comments2.xml><?xml version="1.0" encoding="utf-8"?>
<comments xmlns:r="http://schemas.openxmlformats.org/officeDocument/2006/relationships" xmlns="http://schemas.openxmlformats.org/spreadsheetml/2006/main">
  <authors>
    <author/>
  </authors>
  <commentList>
    <comment authorId="0" ref="A22">
      <text>
        <t xml:space="preserve">======
ID#AAAADTJMmuw
tc={E0BEC8B8-D8C0-4396-8E55-7F62EACFBC78}    (2019-07-29 17:26:44)
[Threaded comment]
Your version of Excel allows you to read this threaded comment; however, any edits to it will get removed if the file is opened in a newer version of Excel. Learn more: https://go.microsoft.com/fwlink/?linkid=870924
Comment:
    99,071 acres of irrigated land were identified in the 2002 basin plan (Table II-1)</t>
      </text>
    </comment>
  </commentList>
  <extLst>
    <ext uri="GoogleSheetsCustomDataVersion1">
      <go:sheetsCustomData xmlns:go="http://customooxmlschemas.google.com/" r:id="rId1" roundtripDataSignature="AMtx7miNXtLsaVIndnjZ0E9k6M/s6nk9cg=="/>
    </ext>
  </extLst>
</comments>
</file>

<file path=xl/comments3.xml><?xml version="1.0" encoding="utf-8"?>
<comments xmlns:r="http://schemas.openxmlformats.org/officeDocument/2006/relationships" xmlns="http://schemas.openxmlformats.org/spreadsheetml/2006/main">
  <authors>
    <author/>
  </authors>
  <commentList>
    <comment authorId="0" ref="L15">
      <text>
        <t xml:space="preserve">======
ID#AAAADTJMmyY
tc={07042EB3-9788-4EC6-AFBF-561EAAAB8A78}    (2019-07-29 17:26:44)
[Threaded comment]
Your version of Excel allows you to read this threaded comment; however, any edits to it will get removed if the file is opened in a newer version of Excel. Learn more: https://go.microsoft.com/fwlink/?linkid=870924
Comment:
    665 AF consumed by Cokeville
27 AF consumed by Bear River
Bear River not included in 2001 Basin Plan</t>
      </text>
    </comment>
    <comment authorId="0" ref="A412">
      <text>
        <t xml:space="preserve">======
ID#AAAADTJMmyU
tc={257365C0-C101-4334-B508-51A14BB0BB26}    (2019-07-29 17:26:44)
[Threaded comment]
Your version of Excel allows you to read this threaded comment; however, any edits to it will get removed if the file is opened in a newer version of Excel. Learn more: https://go.microsoft.com/fwlink/?linkid=870924
Comment:
    Not a US Census Designated area</t>
      </text>
    </comment>
    <comment authorId="0" ref="E191">
      <text>
        <t xml:space="preserve">======
ID#AAAADTJMmyQ
tc={CD29D208-8100-4D68-A92D-F1110818A367}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E176">
      <text>
        <t xml:space="preserve">======
ID#AAAADTJMmyM
tc={84535E5B-4F6B-41BD-BD67-6EBCEB010520}    (2019-07-29 17:26:44)
[Threaded comment]
Your version of Excel allows you to read this threaded comment; however, any edits to it will get removed if the file is opened in a newer version of Excel. Learn more: https://go.microsoft.com/fwlink/?linkid=870924
Comment:
    Return flows not reportedReturn flows not reported</t>
      </text>
    </comment>
    <comment authorId="0" ref="E179">
      <text>
        <t xml:space="preserve">======
ID#AAAADTJMmyI
tc={D775C639-A53F-4202-9A50-5958C889D482}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290">
      <text>
        <t xml:space="preserve">======
ID#AAAADTJMmyA
tc={9CC84BCA-BA3A-4213-BBD0-87B8654FEF2F}    (2019-07-29 17:26:44)
[Threaded comment]
Your version of Excel allows you to read this threaded comment; however, any edits to it will get removed if the file is opened in a newer version of Excel. Learn more: https://go.microsoft.com/fwlink/?linkid=870924
Comment:
    220 gpcpd * 125 ppl * 365 d / 325,851 gal/AF</t>
      </text>
    </comment>
    <comment authorId="0" ref="A129">
      <text>
        <t xml:space="preserve">======
ID#AAAADTJMmx8
tc={7DF75B31-F1B2-489D-AA0D-43E1B03D48BC}    (2019-07-29 17:26:44)
[Threaded comment]
Your version of Excel allows you to read this threaded comment; however, any edits to it will get removed if the file is opened in a newer version of Excel. Learn more: https://go.microsoft.com/fwlink/?linkid=870924
Comment:
    More steps are required for calculation of water use index values in the Platte River basin than for other basins becuase the published basin plans do not report a summary consumptive use value. Instead the published basin plans report withdraws and return flows for municipalites.</t>
      </text>
    </comment>
    <comment authorId="0" ref="A232">
      <text>
        <t xml:space="preserve">======
ID#AAAADTJMmx0
tc={84B863D4-0D0C-4BA9-BEBF-5BA9F5EBE7D7}    (2019-07-29 17:26:44)
[Threaded comment]
Your version of Excel allows you to read this threaded comment; however, any edits to it will get removed if the file is opened in a newer version of Excel. Learn more: https://go.microsoft.com/fwlink/?linkid=870924
Comment:
    2006 Basin Plan: ~21% Surface Water 79% Ground water
2016 Basin Plan: ~27% surface water, 73% ground water</t>
      </text>
    </comment>
    <comment authorId="0" ref="E140">
      <text>
        <t xml:space="preserve">======
ID#AAAADTJMmxo
tc={D5A39D5C-B688-49BC-A98E-BDA50902F099}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C335">
      <text>
        <t xml:space="preserve">======
ID#AAAADTJMmxk
tc={94858125-0D3A-4730-960A-1E6D2CD7D893}    (2019-07-29 17:26:44)
[Threaded comment]
Your version of Excel allows you to read this threaded comment; however, any edits to it will get removed if the file is opened in a newer version of Excel. Learn more: https://go.microsoft.com/fwlink/?linkid=870924
Comment:
    146.00 MG annual use reported in basin plan</t>
      </text>
    </comment>
    <comment authorId="0" ref="C349">
      <text>
        <t xml:space="preserve">======
ID#AAAADTJMmxg
tc={365BA52C-8DE1-4DB1-85A7-147680BAB554}    (2019-07-29 17:26:44)
[Threaded comment]
Your version of Excel allows you to read this threaded comment; however, any edits to it will get removed if the file is opened in a newer version of Excel. Learn more: https://go.microsoft.com/fwlink/?linkid=870924
Comment:
    2,980 domestic water users (households) in the Snake River subbasin; 1,768 domestic users (households) in the Salt Sub-basin</t>
      </text>
    </comment>
    <comment authorId="0" ref="C333">
      <text>
        <t xml:space="preserve">======
ID#AAAADTJMmxc
tc={FAD71315-33A8-42EC-989B-5A70709B1E6E}    (2019-07-29 17:26:44)
[Threaded comment]
Your version of Excel allows you to read this threaded comment; however, any edits to it will get removed if the file is opened in a newer version of Excel. Learn more: https://go.microsoft.com/fwlink/?linkid=870924
Comment:
    2.92 MGD reported in basin report</t>
      </text>
    </comment>
    <comment authorId="0" ref="P149">
      <text>
        <t xml:space="preserve">======
ID#AAAADTJMmxY
tc={88995925-86F4-4825-A2B0-3C5FEA2314FC}    (2019-07-29 17:26:44)
[Threaded comment]
Your version of Excel allows you to read this threaded comment; however, any edits to it will get removed if the file is opened in a newer version of Excel. Learn more: https://go.microsoft.com/fwlink/?linkid=870924
Comment:
    Return flow not reported</t>
      </text>
    </comment>
    <comment authorId="0" ref="C353">
      <text>
        <t xml:space="preserve">======
ID#AAAADTJMmxM
tc={D1995275-E9F1-42F5-8616-3405273C0739}    (2019-07-29 17:26:44)
[Threaded comment]
Your version of Excel allows you to read this threaded comment; however, any edits to it will get removed if the file is opened in a newer version of Excel. Learn more: https://go.microsoft.com/fwlink/?linkid=870924
Comment:
    2,241,000 GPD reported in basin plan as total domestic water use</t>
      </text>
    </comment>
    <comment authorId="0" ref="P143">
      <text>
        <t xml:space="preserve">======
ID#AAAADTJMmxE
tc={EFFE4340-43E8-41C2-984D-4C1911DDF48A}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C29">
      <text>
        <t xml:space="preserve">======
ID#AAAADTJMmxA
tc={41F8DD24-B339-4F54-8714-018A49F276FD}    (2019-07-29 17:26:44)
[Threaded comment]
Your version of Excel allows you to read this threaded comment; however, any edits to it will get removed if the file is opened in a newer version of Excel. Learn more: https://go.microsoft.com/fwlink/?linkid=870924
Comment:
    Consumptive use calculated as:
(Rural Population)*(Per Capita Daily Use)*(365 days)/(325,851 gal/AF)</t>
      </text>
    </comment>
    <comment authorId="0" ref="L16">
      <text>
        <t xml:space="preserve">======
ID#AAAADTJMmw8
tc={09033ABB-FD65-4BC7-894F-FD0A17182BA5}    (2019-07-29 17:26:44)
[Threaded comment]
Your version of Excel allows you to read this threaded comment; however, any edits to it will get removed if the file is opened in a newer version of Excel. Learn more: https://go.microsoft.com/fwlink/?linkid=870924
Comment:
    2,408 AF consumed by Evansville</t>
      </text>
    </comment>
    <comment authorId="0" ref="A208">
      <text>
        <t xml:space="preserve">======
ID#AAAADTJMmw4
tc={B0A5EA45-7BC7-4146-BBB6-92D4D965D366}    (2019-07-29 17:26:44)
[Threaded comment]
Your version of Excel allows you to read this threaded comment; however, any edits to it will get removed if the file is opened in a newer version of Excel. Learn more: https://go.microsoft.com/fwlink/?linkid=870924
Comment:
    2006 Basin Report: 59% Surface Water, 41% Ground Water</t>
      </text>
    </comment>
    <comment authorId="0" ref="A81">
      <text>
        <t xml:space="preserve">======
ID#AAAADTJMmw0
tc={1E744F47-2018-4194-8529-37392676D020}    (2019-07-29 17:26:44)
[Threaded comment]
Your version of Excel allows you to read this threaded comment; however, any edits to it will get removed if the file is opened in a newer version of Excel. Learn more: https://go.microsoft.com/fwlink/?linkid=870924
Comment:
    Cross-basin diversions by the City of Cheyenne are limited to a total of 22,565 acre-feet by water right permits P7235.0R and P8455.0R</t>
      </text>
    </comment>
    <comment authorId="0" ref="A291">
      <text>
        <t xml:space="preserve">======
ID#AAAADTJMmww
tc={E3E4A82E-B568-4F44-957E-A110BB785791}    (2019-07-29 17:26:44)
[Threaded comment]
Your version of Excel allows you to read this threaded comment; however, any edits to it will get removed if the file is opened in a newer version of Excel. Learn more: https://go.microsoft.com/fwlink/?linkid=870924
Comment:
    19.05 MG of annual depletions</t>
      </text>
    </comment>
    <comment authorId="0" ref="A392">
      <text>
        <t xml:space="preserve">======
ID#AAAADTJMmws
tc={B6F810B8-10F8-4991-8C4A-A425F39F53E0}    (2019-07-29 17:26:44)
[Threaded comment]
Your version of Excel allows you to read this threaded comment; however, any edits to it will get removed if the file is opened in a newer version of Excel. Learn more: https://go.microsoft.com/fwlink/?linkid=870924
Comment:
    Not a US Census Designated area</t>
      </text>
    </comment>
    <comment authorId="0" ref="A383">
      <text>
        <t xml:space="preserve">======
ID#AAAADTJMmwo
tc={27FF52FD-1669-46EE-A74C-0B308703134B}    (2019-07-29 17:26:44)
[Threaded comment]
Your version of Excel allows you to read this threaded comment; however, any edits to it will get removed if the file is opened in a newer version of Excel. Learn more: https://go.microsoft.com/fwlink/?linkid=870924
Comment:
    Not a US Census Designated area</t>
      </text>
    </comment>
    <comment authorId="0" ref="A426">
      <text>
        <t xml:space="preserve">======
ID#AAAADTJMmwk
tc={DCE15910-4CBC-4AE3-9D32-68508B8A4222}    (2019-07-29 17:26:44)
[Threaded comment]
Your version of Excel allows you to read this threaded comment; however, any edits to it will get removed if the file is opened in a newer version of Excel. Learn more: https://go.microsoft.com/fwlink/?linkid=870924
Comment:
    Ground water is estimated to account for 74% of domestic and non-community water use</t>
      </text>
    </comment>
    <comment authorId="0" ref="P140">
      <text>
        <t xml:space="preserve">======
ID#AAAADTJMmwg
tc={0759410A-B678-47CD-8D57-2A2BE2A1F586}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353">
      <text>
        <t xml:space="preserve">======
ID#AAAADTJMmwc
tc={44F1ABDF-B69D-4D08-B80D-4AB82B1E9E9F}    (2019-07-29 17:26:44)
[Threaded comment]
Your version of Excel allows you to read this threaded comment; however, any edits to it will get removed if the file is opened in a newer version of Excel. Learn more: https://go.microsoft.com/fwlink/?linkid=870924
Comment:
    450 gal-per-residence-per-day reported in 2003 basin plan (does not match total reported use) 121 gpcpd used in 2014 Basin plan (matches reported total daily use)</t>
      </text>
    </comment>
    <comment authorId="0" ref="A298">
      <text>
        <t xml:space="preserve">======
ID#AAAADTJMmwY
tc={2502B337-0A20-4D25-BBCB-4F4E50DAC077}    (2019-07-29 17:26:44)
[Threaded comment]
Your version of Excel allows you to read this threaded comment; however, any edits to it will get removed if the file is opened in a newer version of Excel. Learn more: https://go.microsoft.com/fwlink/?linkid=870924
Comment:
    16,400 gpd * 365 d / 325,851 gal/AF = 18.4 AF/yr</t>
      </text>
    </comment>
    <comment authorId="0" ref="P146">
      <text>
        <t xml:space="preserve">======
ID#AAAADTJMmwU
tc={12C516D2-CA48-4CA1-94F8-DCE36851526A}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O81">
      <text>
        <t xml:space="preserve">======
ID#AAAADTJMmwQ
tc={41CA3843-2026-4049-89AF-3215541D2954}    (2019-07-29 17:26:44)
[Threaded comment]
Your version of Excel allows you to read this threaded comment; however, any edits to it will get removed if the file is opened in a newer version of Excel. Learn more: https://go.microsoft.com/fwlink/?linkid=870924
Comment:
    6,409 ACFT inflow recorded at Hog Park Inflow gage 0107HPI, operated by Wyoming SEO</t>
      </text>
    </comment>
    <comment authorId="0" ref="A297">
      <text>
        <t xml:space="preserve">======
ID#AAAADTJMmwM
tc={73C80834-5A31-44E9-A501-5FC197A60873}    (2019-07-29 17:26:44)
[Threaded comment]
Your version of Excel allows you to read this threaded comment; however, any edits to it will get removed if the file is opened in a newer version of Excel. Learn more: https://go.microsoft.com/fwlink/?linkid=870924
Comment:
    90,000 gpd * 365 d / 325,851 gal/AF = 100.8 AF/yr</t>
      </text>
    </comment>
    <comment authorId="0" ref="P185">
      <text>
        <t xml:space="preserve">======
ID#AAAADTJMmwE
tc={999720FF-756D-4333-8BF2-1F8E53544ECD}    (2019-07-29 17:26:44)
[Threaded comment]
Your version of Excel allows you to read this threaded comment; however, any edits to it will get removed if the file is opened in a newer version of Excel. Learn more: https://go.microsoft.com/fwlink/?linkid=870924
Comment:
    No Return Flow Value Reported</t>
      </text>
    </comment>
    <comment authorId="0" ref="E173">
      <text>
        <t xml:space="preserve">======
ID#AAAADTJMmv8
tc={734A0B29-0F82-447C-83F3-4FDA7CCFED70}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E146">
      <text>
        <t xml:space="preserve">======
ID#AAAADTJMmv4
tc={06433A81-39C1-4BA0-B87C-B185757A42FA}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199">
      <text>
        <t xml:space="preserve">======
ID#AAAADTJMmv0
tc={9EA415D2-E34D-424A-9D1F-F86296D873AA}    (2019-07-29 17:26:44)
[Threaded comment]
Your version of Excel allows you to read this threaded comment; however, any edits to it will get removed if the file is opened in a newer version of Excel. Learn more: https://go.microsoft.com/fwlink/?linkid=870924
Comment:
    Supplied by Rawlins, water use by the Town of Sinclair is included in the water use reported for Rawlins</t>
      </text>
    </comment>
    <comment authorId="0" ref="A424">
      <text>
        <t xml:space="preserve">======
ID#AAAADTJMmvw
tc={F72C686E-38B7-4B3A-B086-9F9E7D5C0748}    (2019-07-29 17:26:44)
[Threaded comment]
Your version of Excel allows you to read this threaded comment; however, any edits to it will get removed if the file is opened in a newer version of Excel. Learn more: https://go.microsoft.com/fwlink/?linkid=870924
Comment:
    Surface water is estimated to account for 26% of domestic and non-community water use</t>
      </text>
    </comment>
    <comment authorId="0" ref="E385">
      <text>
        <t xml:space="preserve">======
ID#AAAADTJMmvs
tc={EA40BC1C-85A2-43A1-B7DC-4E78E9E42822}    (2019-07-29 17:26:44)
[Threaded comment]
Your version of Excel allows you to read this threaded comment; however, any edits to it will get removed if the file is opened in a newer version of Excel. Learn more: https://go.microsoft.com/fwlink/?linkid=870924
Comment:
    12.2 MGD reported in basin plan</t>
      </text>
    </comment>
    <comment authorId="0" ref="Q81">
      <text>
        <t xml:space="preserve">======
ID#AAAADTJMmvo
tc={46EF8796-90A1-45EA-8F40-27F251BDF180}    (2019-07-29 17:26:44)
[Threaded comment]
Your version of Excel allows you to read this threaded comment; however, any edits to it will get removed if the file is opened in a newer version of Excel. Learn more: https://go.microsoft.com/fwlink/?linkid=870924
Comment:
    8,887 ACFT inflow recorded at Hog Park Inflow gage 0107HPI, operated by Wyoming SEO</t>
      </text>
    </comment>
    <comment authorId="0" ref="C278">
      <text>
        <t xml:space="preserve">======
ID#AAAADTJMmvg
tc={12DF96B0-D76C-4A70-8B0B-E3E1D37E1656}    (2019-07-29 17:26:44)
[Threaded comment]
Your version of Excel allows you to read this threaded comment; however, any edits to it will get removed if the file is opened in a newer version of Excel. Learn more: https://go.microsoft.com/fwlink/?linkid=870924
Comment:
    Above Pathfinder: 4,172
Pathfinder to Guernsey: 12,462
Guernsey to State Line: 3,569
Upper Laramie: 4,932
Lower Laramie: 3,539
Horse Creek: 1,698
South Platte: 16,766</t>
      </text>
    </comment>
    <comment authorId="0" ref="A226">
      <text>
        <t xml:space="preserve">======
ID#AAAADTJMmvc
tc={98720EA2-FBF6-4707-9F1F-D9D69B008827}    (2019-07-29 17:26:44)
[Threaded comment]
Your version of Excel allows you to read this threaded comment; however, any edits to it will get removed if the file is opened in a newer version of Excel. Learn more: https://go.microsoft.com/fwlink/?linkid=870924
Comment:
    2006 Basin Plan: ~44% Surface Water 56% Ground water
2016 Basin Plan: Does not specify, assumed to be the same as 2006</t>
      </text>
    </comment>
    <comment authorId="0" ref="A214">
      <text>
        <t xml:space="preserve">======
ID#AAAADTJMmvY
tc={E0434695-74B3-4A86-81D5-AABCBB7F6715}    (2019-07-29 17:26:44)
[Threaded comment]
Your version of Excel allows you to read this threaded comment; however, any edits to it will get removed if the file is opened in a newer version of Excel. Learn more: https://go.microsoft.com/fwlink/?linkid=870924
Comment:
    2006 Basin Plan: 80% Groundwater, 20% Surface Water</t>
      </text>
    </comment>
    <comment authorId="0" ref="E164">
      <text>
        <t xml:space="preserve">======
ID#AAAADTJMmvU
tc={369067B7-BEE3-4CFD-B26A-9BDBE423EC7A}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E387">
      <text>
        <t xml:space="preserve">======
ID#AAAADTJMmvQ
tc={A457A333-44D9-407A-BB5C-2828215DE516}    (2019-07-29 17:26:44)
[Threaded comment]
Your version of Excel allows you to read this threaded comment; however, any edits to it will get removed if the file is opened in a newer version of Excel. Learn more: https://go.microsoft.com/fwlink/?linkid=870924
Comment:
    Basin plan indicated that 32% of water demand is supplied by surface water</t>
      </text>
    </comment>
    <comment authorId="0" ref="C301">
      <text>
        <t xml:space="preserve">======
ID#AAAADTJMmvM
tc={66EB9A73-E792-4B7A-A1FD-E8E5A902616F}    (2019-07-29 17:26:44)
[Threaded comment]
Your version of Excel allows you to read this threaded comment; however, any edits to it will get removed if the file is opened in a newer version of Excel. Learn more: https://go.microsoft.com/fwlink/?linkid=870924
Comment:
    Converting reported consumptive use as million gallons per year to acre-feet per year</t>
      </text>
    </comment>
    <comment authorId="0" ref="E152">
      <text>
        <t xml:space="preserve">======
ID#AAAADTJMmvI
tc={69D9204A-09FD-4CC4-876A-7CEDF218D393}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363">
      <text>
        <t xml:space="preserve">======
ID#AAAADTJMmvE
tc={061F1C2C-BF45-4718-8397-27413E16A2C2}    (2019-07-29 17:26:44)
[Threaded comment]
Your version of Excel allows you to read this threaded comment; however, any edits to it will get removed if the file is opened in a newer version of Excel. Learn more: https://go.microsoft.com/fwlink/?linkid=870924
Comment:
    Not a US Census Designated area</t>
      </text>
    </comment>
    <comment authorId="0" ref="C332">
      <text>
        <t xml:space="preserve">======
ID#AAAADTJMmvA
tc={E5390A9B-6FB2-40D3-8AB9-5AA642B52213}    (2019-07-29 17:26:44)
[Threaded comment]
Your version of Excel allows you to read this threaded comment; however, any edits to it will get removed if the file is opened in a newer version of Excel. Learn more: https://go.microsoft.com/fwlink/?linkid=870924
Comment:
    59.62 MG annual use reported in basin report</t>
      </text>
    </comment>
    <comment authorId="0" ref="A296">
      <text>
        <t xml:space="preserve">======
ID#AAAADTJMmu4
tc={E3E288EB-85CC-4983-8EDB-08632552CFA6}    (2019-07-29 17:26:44)
[Threaded comment]
Your version of Excel allows you to read this threaded comment; however, any edits to it will get removed if the file is opened in a newer version of Excel. Learn more: https://go.microsoft.com/fwlink/?linkid=870924
Comment:
    (370 gpcpd  * 300 ppl -18,000 gpd return flow) *365 d / 325,851 gal/AF</t>
      </text>
    </comment>
    <comment authorId="0" ref="T81">
      <text>
        <t xml:space="preserve">======
ID#AAAADTJMmu0
tc={87C988C0-A8B5-4441-8AE4-E8B282C6A72D}    (2019-07-29 17:26:44)
[Threaded comment]
Your version of Excel allows you to read this threaded comment; however, any edits to it will get removed if the file is opened in a newer version of Excel. Learn more: https://go.microsoft.com/fwlink/?linkid=870924
Comment:
    5,653 ACFT inflow recorded at Hog Park Inflow gage 0107HPI, operated by Wyoming SEO</t>
      </text>
    </comment>
    <comment authorId="0" ref="E197">
      <text>
        <t xml:space="preserve">======
ID#AAAADTJMmuk
tc={4BA0F36B-8A0A-42C7-85FF-FA281334E0BC}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R81">
      <text>
        <t xml:space="preserve">======
ID#AAAADTJMmuc
tc={83F8FF47-1E04-4373-9A82-0741398237F4}    (2019-07-29 17:26:44)
[Threaded comment]
Your version of Excel allows you to read this threaded comment; however, any edits to it will get removed if the file is opened in a newer version of Excel. Learn more: https://go.microsoft.com/fwlink/?linkid=870924
Comment:
    5,908 ACFT inflow recorded at Hog Park Inflow gage 0107HPI, operated by Wyoming SEO</t>
      </text>
    </comment>
    <comment authorId="0" ref="P278">
      <text>
        <t xml:space="preserve">======
ID#AAAADTJMmuY
tc={DC28BB25-B646-4F18-AA2B-19C43992BD4C}    (2019-07-29 17:26:44)
[Threaded comment]
Your version of Excel allows you to read this threaded comment; however, any edits to it will get removed if the file is opened in a newer version of Excel. Learn more: https://go.microsoft.com/fwlink/?linkid=870924
Comment:
    Above Pathfinder: 1,416
Pathfinder to Guernsey: 12,011
Guernsey to State Line: 2,508
Upper Laramie: 4,684
Lower Laramie: 2,774
Horse Creek: 2,455
South Platte: 20,091</t>
      </text>
    </comment>
    <comment authorId="0" ref="E149">
      <text>
        <t xml:space="preserve">======
ID#AAAADTJMmuU
tc={255D49F1-C454-4A3F-A5A9-CA32E25E4FB4}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E386">
      <text>
        <t xml:space="preserve">======
ID#AAAADTJMmuQ
tc={D17BA511-CFE4-4094-AE82-8BB9CF8A87C0}    (2019-07-29 17:26:44)
[Threaded comment]
Your version of Excel allows you to read this threaded comment; however, any edits to it will get removed if the file is opened in a newer version of Excel. Learn more: https://go.microsoft.com/fwlink/?linkid=870924
Comment:
    Basin plan indicated that 68% of water demand is supplied by groundwater</t>
      </text>
    </comment>
    <comment authorId="0" ref="E167">
      <text>
        <t xml:space="preserve">======
ID#AAAADTJMmuM
tc={700CD714-3CE7-4740-B735-D96319EE64A6}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O353">
      <text>
        <t xml:space="preserve">======
ID#AAAADTJMmuI
tc={0CFA2F0E-102C-4ED4-9045-5FD4D4EC9628}    (2019-07-29 17:26:44)
[Threaded comment]
Your version of Excel allows you to read this threaded comment; however, any edits to it will get removed if the file is opened in a newer version of Excel. Learn more: https://go.microsoft.com/fwlink/?linkid=870924
Comment:
    1,075 AF of annual use reported for domestic use in Basin Plan. Exact methodology for summing annual use not explained in report or technical memos</t>
      </text>
    </comment>
    <comment authorId="0" ref="P188">
      <text>
        <t xml:space="preserve">======
ID#AAAADTJMmuE
tc={C0D7CF04-F2E1-474E-8FA6-A873A10D60B9}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64">
      <text>
        <t xml:space="preserve">======
ID#AAAADTJMmuA
tc={45CE702E-88B3-4E3B-88B0-99AA09F1108F}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220">
      <text>
        <t xml:space="preserve">======
ID#AAAADTJMmt8
tc={21EFA4CE-A69E-4E73-8DB5-E9C47442550B}    (2019-07-29 17:26:44)
[Threaded comment]
Your version of Excel allows you to read this threaded comment; however, any edits to it will get removed if the file is opened in a newer version of Excel. Learn more: https://go.microsoft.com/fwlink/?linkid=870924
Comment:
    2006 Basin Plan: 42% Surface Water, 58% Ground Water</t>
      </text>
    </comment>
    <comment authorId="0" ref="P155">
      <text>
        <t xml:space="preserve">======
ID#AAAADTJMmt0
tc={F3F01507-4E66-4ABE-B4F1-5A0CC8C7A585}    (2019-07-29 17:26:44)
[Threaded comment]
Your version of Excel allows you to read this threaded comment; however, any edits to it will get removed if the file is opened in a newer version of Excel. Learn more: https://go.microsoft.com/fwlink/?linkid=870924
Comment:
    Return flow value not reported</t>
      </text>
    </comment>
    <comment authorId="0" ref="E134">
      <text>
        <t xml:space="preserve">======
ID#AAAADTJMmtw
tc={42FD0FF7-5BFD-42AB-8214-EE77760C0C7F}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L27">
      <text>
        <t xml:space="preserve">======
ID#AAAADTJMmts
tc={0CE408E3-012B-48DA-86EC-02CBD3CABD36}    (2019-07-29 17:26:44)
[Threaded comment]
Your version of Excel allows you to read this threaded comment; however, any edits to it will get removed if the file is opened in a newer version of Excel. Learn more: https://go.microsoft.com/fwlink/?linkid=870924
Comment:
    Consumptive use calculated as:
(Rural Population)*(Per Capita Daily Use)*(365 days)/(325,851 gal/AF)</t>
      </text>
    </comment>
    <comment authorId="0" ref="C331">
      <text>
        <t xml:space="preserve">======
ID#AAAADTJMmto
tc={66D36901-9E12-4E1A-8750-C38E32E52838}    (2019-07-29 17:26:44)
[Threaded comment]
Your version of Excel allows you to read this threaded comment; however, any edits to it will get removed if the file is opened in a newer version of Excel. Learn more: https://go.microsoft.com/fwlink/?linkid=870924
Comment:
    456.25 MG annual use reported in basin report</t>
      </text>
    </comment>
    <comment authorId="0" ref="P199">
      <text>
        <t xml:space="preserve">======
ID#AAAADTJMmtk
tc={5AA09D2E-9549-4D15-87A9-E72D056FFCEB}    (2019-07-29 17:26:44)
[Threaded comment]
Your version of Excel allows you to read this threaded comment; however, any edits to it will get removed if the file is opened in a newer version of Excel. Learn more: https://go.microsoft.com/fwlink/?linkid=870924
Comment:
    Sinclar is supplied by Rawlins</t>
      </text>
    </comment>
    <comment authorId="0" ref="P81">
      <text>
        <t xml:space="preserve">======
ID#AAAADTJMmtg
tc={40373B37-DC8F-4518-AF7D-062B38EF69EA}    (2019-07-29 17:26:44)
[Threaded comment]
Your version of Excel allows you to read this threaded comment; however, any edits to it will get removed if the file is opened in a newer version of Excel. Learn more: https://go.microsoft.com/fwlink/?linkid=870924
Comment:
    18,424 ACFT inflow recorded at Hog Park Inflow gage 0107HPI, operated by Wyoming SEO</t>
      </text>
    </comment>
    <comment authorId="0" ref="S81">
      <text>
        <t xml:space="preserve">======
ID#AAAADTJMmtQ
tc={4559D100-6EC3-4BA5-BC02-11AD828F1D26}    (2019-07-29 17:26:44)
[Threaded comment]
Your version of Excel allows you to read this threaded comment; however, any edits to it will get removed if the file is opened in a newer version of Excel. Learn more: https://go.microsoft.com/fwlink/?linkid=870924
Comment:
    6,586 ACFT inflow recorded at Hog Park Inflow gage 0107HPI, operated by Wyoming SEO</t>
      </text>
    </comment>
    <comment authorId="0" ref="A295">
      <text>
        <t xml:space="preserve">======
ID#AAAADTJMmtM
tc={66FCE4FB-1523-4BA7-A7DC-2D5EFFB759D4}    (2019-07-29 17:26:44)
[Threaded comment]
Your version of Excel allows you to read this threaded comment; however, any edits to it will get removed if the file is opened in a newer version of Excel. Learn more: https://go.microsoft.com/fwlink/?linkid=870924
Comment:
    163.98 MG of annual depletions</t>
      </text>
    </comment>
    <comment authorId="0" ref="C300">
      <text>
        <t xml:space="preserve">======
ID#AAAADTJMmtI
tc={047AF5E9-9D16-43FC-BDD9-DB947D3C16FC}    (2019-07-29 17:26:44)
[Threaded comment]
Your version of Excel allows you to read this threaded comment; however, any edits to it will get removed if the file is opened in a newer version of Excel. Learn more: https://go.microsoft.com/fwlink/?linkid=870924
Comment:
    Calcualtes annual consumptive use (acre-feet) from basin plan reported use data:
Town of Clearmont, 125 ppl, 220 gpcpd
Eight Mile Subdivision, 90 ppl, 190 gpcpd
Heritage Village, 700 ppl, 88 gpcpd
Town of Kaycee, 300 ppl, 370 gpcpd
Means W&amp;SD, 300 ppl, 275 gpcpd</t>
      </text>
    </comment>
    <comment authorId="0" ref="E155">
      <text>
        <t xml:space="preserve">======
ID#AAAADTJMmtE
tc={BB36D63B-8FD8-414A-82A7-376B06A359F2}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70">
      <text>
        <t xml:space="preserve">======
ID#AAAADTJMms8
tc={A97741BA-DC71-44D7-945D-CE518546BBBF}    (2019-07-29 17:26:44)
[Threaded comment]
Your version of Excel allows you to read this threaded comment; however, any edits to it will get removed if the file is opened in a newer version of Excel. Learn more: https://go.microsoft.com/fwlink/?linkid=870924
Comment:
    Return Flow Value not reported</t>
      </text>
    </comment>
    <comment authorId="0" ref="A202">
      <text>
        <t xml:space="preserve">======
ID#AAAADTJMms4
tc={01C14AD9-170C-4595-9B5C-E141DB2403F2}    (2019-07-29 17:26:44)
[Threaded comment]
Your version of Excel allows you to read this threaded comment; however, any edits to it will get removed if the file is opened in a newer version of Excel. Learn more: https://go.microsoft.com/fwlink/?linkid=870924
Comment:
    2006 Basin Plan: ~29% Surface Water 71% Ground water
2016 Basin Plan: ~27% surface water, 73% ground water</t>
      </text>
    </comment>
    <comment authorId="0" ref="C334">
      <text>
        <t xml:space="preserve">======
ID#AAAADTJMms0
tc={64629703-048C-48D7-8678-039544B21E87}    (2019-07-29 17:26:44)
[Threaded comment]
Your version of Excel allows you to read this threaded comment; however, any edits to it will get removed if the file is opened in a newer version of Excel. Learn more: https://go.microsoft.com/fwlink/?linkid=870924
Comment:
    1,800 individuals served during summer months and 600 served during winter months. 383.25 MG annual water use reported in basin report.</t>
      </text>
    </comment>
    <comment authorId="0" ref="E143">
      <text>
        <t xml:space="preserve">======
ID#AAAADTJMmsw
tc={1D13B99B-ACC0-434E-B0C3-8AFE8DD1F7E6}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37">
      <text>
        <t xml:space="preserve">======
ID#AAAADTJMmss
tc={204E035A-5466-40E8-AD4A-55CC92CB6EF7}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C15">
      <text>
        <t xml:space="preserve">======
ID#AAAADTJMmso
tc={27A9F020-72D5-4119-95E2-0753A3B454E6}    (2019-07-29 17:26:44)
[Threaded comment]
Your version of Excel allows you to read this threaded comment; however, any edits to it will get removed if the file is opened in a newer version of Excel. Learn more: https://go.microsoft.com/fwlink/?linkid=870924
Comment:
    40 AF of groundwater use reported in basin plan report text. The analysis used to reach this conclusion is not detailed in the municipal use technical memo.
Accordig the the technical memo, 667 AF is consumptively used (810 AF pumped - 143 AF Wastewater effluent)
From the technical memo:
Cokeville Use = 810 AF pumped -143 AF wastewater discharged
25% of Evanston's municpal water use is supplied by grounwater =0.25*(4321.3 AF potable treated -1547 AF wastewater discharge)</t>
      </text>
    </comment>
    <comment authorId="0" ref="C16">
      <text>
        <t xml:space="preserve">======
ID#AAAADTJMmsk
tc={8CED81D7-CA80-4FB4-8735-8889289BC145}    (2019-07-29 17:26:44)
[Threaded comment]
Your version of Excel allows you to read this threaded comment; however, any edits to it will get removed if the file is opened in a newer version of Excel. Learn more: https://go.microsoft.com/fwlink/?linkid=870924
Comment:
    1000 AF of consumptive surface water use is reported in the basin plan. The methodology used to reach this quantitiy is not detailed in the municipal use technical memo.
From the memo:
4321.3 AF potable treated -1547 AF wastewater discharge = 2774.3 AF consumed</t>
      </text>
    </comment>
    <comment authorId="0" ref="E182">
      <text>
        <t xml:space="preserve">======
ID#AAAADTJMmsg
tc={6A87E837-A91A-4FCF-9CED-F621B8F2FDDF}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293">
      <text>
        <t xml:space="preserve">======
ID#AAAADTJMmsc
tc={5B5745BA-277A-4E3E-A7D8-D9203B56C87A}    (2019-07-29 17:26:44)
[Threaded comment]
Your version of Excel allows you to read this threaded comment; however, any edits to it will get removed if the file is opened in a newer version of Excel. Learn more: https://go.microsoft.com/fwlink/?linkid=870924
Comment:
    689.72 MG of annual depletions</t>
      </text>
    </comment>
    <comment authorId="0" ref="E158">
      <text>
        <t xml:space="preserve">======
ID#AAAADTJMmsY
tc={E6B102E0-CDCB-4B4E-8C26-9682E37ECC6A}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91">
      <text>
        <t xml:space="preserve">======
ID#AAAADTJMmsU
tc={96B39BD9-B048-4AF5-B3B1-FA9DB1743C23}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34">
      <text>
        <t xml:space="preserve">======
ID#AAAADTJMmsM
tc={89D963C6-545B-4EA4-A7D8-C85BFA501C80}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94">
      <text>
        <t xml:space="preserve">======
ID#AAAADTJMmsI
tc={6392B99E-EC4B-4054-B6F3-51E78F5E105D}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234">
      <text>
        <t xml:space="preserve">======
ID#AAAADTJMmsE
tc={343E6034-0DD7-4610-A922-D27316BA6325}    (2019-07-29 17:26:44)
[Threaded comment]
Your version of Excel allows you to read this threaded comment; however, any edits to it will get removed if the file is opened in a newer version of Excel. Learn more: https://go.microsoft.com/fwlink/?linkid=870924
Comment:
    31.48 MG sold to Sinclair each year</t>
      </text>
    </comment>
    <comment authorId="0" ref="A294">
      <text>
        <t xml:space="preserve">======
ID#AAAADTJMmsA
tc={89C5DC69-87EE-4136-BCBB-1E0DB304E4F6}    (2019-07-29 17:26:44)
[Threaded comment]
Your version of Excel allows you to read this threaded comment; however, any edits to it will get removed if the file is opened in a newer version of Excel. Learn more: https://go.microsoft.com/fwlink/?linkid=870924
Comment:
    Supplied by the City of Sheridan</t>
      </text>
    </comment>
    <comment authorId="0" ref="E188">
      <text>
        <t xml:space="preserve">======
ID#AAAADTJMmr8
tc={6693E04B-A7BC-406D-9C6B-6399C978E923}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E137">
      <text>
        <t xml:space="preserve">======
ID#AAAADTJMmr4
tc={14C92A3F-F7CB-4B7C-9399-1446AB31377E}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U81">
      <text>
        <t xml:space="preserve">======
ID#AAAADTJMmr0
tc={381B6BB1-6A93-438D-B7AC-EA0084DCD6C5}    (2019-07-29 17:26:44)
[Threaded comment]
Your version of Excel allows you to read this threaded comment; however, any edits to it will get removed if the file is opened in a newer version of Excel. Learn more: https://go.microsoft.com/fwlink/?linkid=870924
Comment:
    6,093</t>
      </text>
    </comment>
    <comment authorId="0" ref="E194">
      <text>
        <t xml:space="preserve">======
ID#AAAADTJMmrs
tc={0A70954D-F15F-43CD-8DB0-9F56045C7428}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90">
      <text>
        <t xml:space="preserve">======
ID#AAAADTJMmrk
tc={2E95688D-E975-4956-A3C8-313A5C044F66}    (2019-07-29 17:26:44)
[Threaded comment]
Your version of Excel allows you to read this threaded comment; however, any edits to it will get removed if the file is opened in a newer version of Excel. Learn more: https://go.microsoft.com/fwlink/?linkid=870924
Comment:
    16 MG sold to users outside the corporate limits</t>
      </text>
    </comment>
    <comment authorId="0" ref="E185">
      <text>
        <t xml:space="preserve">======
ID#AAAADTJMmrc
tc={5D1C56D1-EA24-44A4-9D35-DB8B0E62CA2F}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E160">
      <text>
        <t xml:space="preserve">======
ID#AAAADTJMmrY
tc={D7EAB4F1-9591-46AC-A9E5-38AA7BEA7444}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A292">
      <text>
        <t xml:space="preserve">======
ID#AAAADTJMmrU
tc={9270153F-0467-4D93-935E-EAC3C8D83862}    (2019-07-29 17:26:44)
[Threaded comment]
Your version of Excel allows you to read this threaded comment; however, any edits to it will get removed if the file is opened in a newer version of Excel. Learn more: https://go.microsoft.com/fwlink/?linkid=870924
Comment:
    15.62 MG of annual depletions</t>
      </text>
    </comment>
    <comment authorId="0" ref="E170">
      <text>
        <t xml:space="preserve">======
ID#AAAADTJMmrQ
tc={06108DE7-7D06-4C9E-A5E0-50BE558F9B5C}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P161">
      <text>
        <t xml:space="preserve">======
ID#AAAADTJMmrM
tc={06B70CDA-7A33-49EE-9429-7291ABFB6E16}    (2019-07-29 17:26:44)
[Threaded comment]
Your version of Excel allows you to read this threaded comment; however, any edits to it will get removed if the file is opened in a newer version of Excel. Learn more: https://go.microsoft.com/fwlink/?linkid=870924
Comment:
    Return flows not reported</t>
      </text>
    </comment>
    <comment authorId="0" ref="O337">
      <text>
        <t xml:space="preserve">======
ID#AAAADTJMmrA
tc={B828BA87-26D9-40FC-8287-6D02F538F0F1}    (2019-07-29 17:26:44)
[Threaded comment]
Your version of Excel allows you to read this threaded comment; however, any edits to it will get removed if the file is opened in a newer version of Excel. Learn more: https://go.microsoft.com/fwlink/?linkid=870924
Comment:
    7,790 AF of annual use reported for municipalities in Basin Plan. Exact methodology for summing annual use not explained in report or technical memos</t>
      </text>
    </comment>
  </commentList>
  <extLst>
    <ext uri="GoogleSheetsCustomDataVersion1">
      <go:sheetsCustomData xmlns:go="http://customooxmlschemas.google.com/" r:id="rId1" roundtripDataSignature="AMtx7mis/grg71jPwjlyaUHnzUY1Fc9kWw=="/>
    </ext>
  </extLst>
</comments>
</file>

<file path=xl/comments4.xml><?xml version="1.0" encoding="utf-8"?>
<comments xmlns:r="http://schemas.openxmlformats.org/officeDocument/2006/relationships" xmlns="http://schemas.openxmlformats.org/spreadsheetml/2006/main">
  <authors>
    <author/>
  </authors>
  <commentList>
    <comment authorId="0" ref="A147">
      <text>
        <t xml:space="preserve">======
ID#AAAADTJMmyE
tc={1F9FB4A0-303D-4994-8A59-7A8DC257129D}    (2019-07-29 17:26:44)
[Threaded comment]
Your version of Excel allows you to read this threaded comment; however, any edits to it will get removed if the file is opened in a newer version of Excel. Learn more: https://go.microsoft.com/fwlink/?linkid=870924
Comment:
    Volume of water pumped for CBM production according the WOGCC - units in acre-feet</t>
      </text>
    </comment>
    <comment authorId="0" ref="Q113">
      <text>
        <t xml:space="preserve">======
ID#AAAADTJMmx4
tc={B54FF3CC-FD37-4F82-966F-B2C90D667C33}    (2019-07-29 17:26:44)
[Threaded comment]
Your version of Excel allows you to read this threaded comment; however, any edits to it will get removed if the file is opened in a newer version of Excel. Learn more: https://go.microsoft.com/fwlink/?linkid=870924
Comment:
    Data from Table 3.4.3 in 2016 Basin Plan
Date of data not provided, assumed to be 2014 becuase that is the last year of data collected for analysis in "Industrial Use Memo - Platte River Basin Plan Update" prepared by Lidstone and Associates</t>
      </text>
    </comment>
    <comment authorId="0" ref="A174">
      <text>
        <t xml:space="preserve">======
ID#AAAADTJMmxw
tc={AE518160-60C3-4327-8569-0EAB557D727E}    (2019-07-29 17:26:44)
[Threaded comment]
Your version of Excel allows you to read this threaded comment; however, any edits to it will get removed if the file is opened in a newer version of Excel. Learn more: https://go.microsoft.com/fwlink/?linkid=870924
Comment:
    Reported as 73,792 acre-feet of withdrawls in 2003 report (80% of total withdrawls)
Reported as 73,790 acre-feet of withdrawls in 2003 report (80% of total withdrawls)</t>
      </text>
    </comment>
    <comment authorId="0" ref="A19">
      <text>
        <t xml:space="preserve">======
ID#AAAADTJMmxQ
tc={255C8C71-3EDB-4D2B-8FE3-B5B195D93ADA}    (2019-07-29 17:26:44)
[Threaded comment]
Your version of Excel allows you to read this threaded comment; however, any edits to it will get removed if the file is opened in a newer version of Excel. Learn more: https://go.microsoft.com/fwlink/?linkid=870924
Comment:
    Data from WYOGCC website at:
http://pipeline.wyo.gov/GasPlant.cfm?nCODE=4560</t>
      </text>
    </comment>
    <comment authorId="0" ref="A161">
      <text>
        <t xml:space="preserve">======
ID#AAAADTJMmwI
tc={77D6641E-4491-496E-B14A-80965DE63B88}    (2019-07-29 17:26:44)
[Threaded comment]
Your version of Excel allows you to read this threaded comment; however, any edits to it will get removed if the file is opened in a newer version of Excel. Learn more: https://go.microsoft.com/fwlink/?linkid=870924
Comment:
    Cheese production ceased in late 2005. Water use was assumed to stay constant up until closure</t>
      </text>
    </comment>
    <comment authorId="0" ref="A173">
      <text>
        <t xml:space="preserve">======
ID#AAAADTJMmwA
tc={ED49CA42-A4CE-4B54-BA28-E5970433CA4B}    (2019-07-29 17:26:44)
[Threaded comment]
Your version of Excel allows you to read this threaded comment; however, any edits to it will get removed if the file is opened in a newer version of Excel. Learn more: https://go.microsoft.com/fwlink/?linkid=870924
Comment:
    Reported as 18,449 AF of withdrawls in 2003 basin plan (20% of total withdrawls)
Reported as 18,450 AF of withdrawls in 2010 basin plan (20% of total withdrawls)</t>
      </text>
    </comment>
    <comment authorId="0" ref="C113">
      <text>
        <t xml:space="preserve">======
ID#AAAADTJMmu8
tc={BB3564FE-B709-4D68-AB53-F8C0863423F6}    (2019-07-29 17:26:44)
[Threaded comment]
Your version of Excel allows you to read this threaded comment; however, any edits to it will get removed if the file is opened in a newer version of Excel. Learn more: https://go.microsoft.com/fwlink/?linkid=870924
Comment:
    Data from Table 2.3.73 in 2006 Basin Plan
Data of data not give, assumed to be 2000</t>
      </text>
    </comment>
    <comment authorId="0" ref="A70">
      <text>
        <t xml:space="preserve">======
ID#AAAADTJMmug
tc={A07DDDFA-B691-4F61-B19C-D9B713E7C181}    (2019-07-29 17:26:44)
[Threaded comment]
Your version of Excel allows you to read this threaded comment; however, any edits to it will get removed if the file is opened in a newer version of Excel. Learn more: https://go.microsoft.com/fwlink/?linkid=870924
Comment:
    Four Industrial Surface Water Permits for unknown purposes are listed, assume full use of thse permits until more imformation is available.</t>
      </text>
    </comment>
    <comment authorId="0" ref="C52">
      <text>
        <t xml:space="preserve">======
ID#AAAADTJMmt4
tc={B9BD85CE-80B0-44F4-9B29-B6DCDE9B20F5}    (2019-07-29 17:26:44)
[Threaded comment]
Your version of Excel allows you to read this threaded comment; however, any edits to it will get removed if the file is opened in a newer version of Excel. Learn more: https://go.microsoft.com/fwlink/?linkid=870924
Comment:
    42 gal per bbl * (80,495,794 bbl injected - 78,874,832 bbl produced) / 325851 gal per AF</t>
      </text>
    </comment>
    <comment authorId="0" ref="C144">
      <text>
        <t xml:space="preserve">======
ID#AAAADTJMmtc
tc={07864EB2-C208-4FA5-ADBF-A7C387EE7B4A}    (2019-07-29 17:26:44)
[Threaded comment]
Your version of Excel allows you to read this threaded comment; however, any edits to it will get removed if the file is opened in a newer version of Excel. Learn more: https://go.microsoft.com/fwlink/?linkid=870924
Comment:
    339,463,162 bbls produced, 293,710,379 bbls re-injected;
Assume groundwater consumption = produced - injected multiplied by 42 gal/bbl divided by 325,851 gal/AF</t>
      </text>
    </comment>
    <comment authorId="0" ref="A18">
      <text>
        <t xml:space="preserve">======
ID#AAAADTJMmtY
tc={53055787-7628-44CF-A303-2FE4AC9D805B}    (2019-07-29 17:26:44)
[Threaded comment]
Your version of Excel allows you to read this threaded comment; however, any edits to it will get removed if the file is opened in a newer version of Excel. Learn more: https://go.microsoft.com/fwlink/?linkid=870924
Comment:
    Data from WYOGCC website at:
http://pipeline.wyo.gov/GasPlant.cfm?nCODE=129</t>
      </text>
    </comment>
    <comment authorId="0" ref="A68">
      <text>
        <t xml:space="preserve">======
ID#AAAADTJMmtA
tc={4D86FF42-A67D-46D4-A600-C4F17ED7DE10}    (2019-07-29 17:26:44)
[Threaded comment]
Your version of Excel allows you to read this threaded comment; however, any edits to it will get removed if the file is opened in a newer version of Excel. Learn more: https://go.microsoft.com/fwlink/?linkid=870924
Comment:
    According to 2002 basin plan, groundwater consumption by conventional oil and gas production is minor compared to other groundwater users. Therefore, the oil and gas production of the Powder river basin was not adjusted for proportional production in Northeast, Powder-Tounge and Platte River Basins</t>
      </text>
    </comment>
    <comment authorId="0" ref="A77">
      <text>
        <t xml:space="preserve">======
ID#AAAADTJMmro
tc={22FC7348-E584-403E-B3D5-5548133D444B}    (2019-07-29 17:26:44)
[Threaded comment]
Your version of Excel allows you to read this threaded comment; however, any edits to it will get removed if the file is opened in a newer version of Excel. Learn more: https://go.microsoft.com/fwlink/?linkid=870924
Comment:
    More steps are required for calculation of water use index values in the Platte River basin than for other basins becuase the published basin plans do not report a summary consumptive use value. Instead the published basin plans report withdraws and return flows for municipalites.</t>
      </text>
    </comment>
    <comment authorId="0" ref="A46">
      <text>
        <t xml:space="preserve">======
ID#AAAADTJMmrI
tc={2C762B79-12FB-4234-8814-0620E38AE8A8}    (2019-07-29 17:26:44)
[Threaded comment]
Your version of Excel allows you to read this threaded comment; however, any edits to it will get removed if the file is opened in a newer version of Excel. Learn more: https://go.microsoft.com/fwlink/?linkid=870924
Comment:
    This facility was never constructed</t>
      </text>
    </comment>
    <comment authorId="0" ref="A45">
      <text>
        <t xml:space="preserve">======
ID#AAAADTJMmrE
tc={49993B79-4597-4CAE-A366-AE0866BE3507}    (2019-07-29 17:26:44)
[Threaded comment]
Your version of Excel allows you to read this threaded comment; however, any edits to it will get removed if the file is opened in a newer version of Excel. Learn more: https://go.microsoft.com/fwlink/?linkid=870924
Comment:
    416,300,000 gal/yr pumped, 250 gpm discharged</t>
      </text>
    </comment>
  </commentList>
  <extLst>
    <ext uri="GoogleSheetsCustomDataVersion1">
      <go:sheetsCustomData xmlns:go="http://customooxmlschemas.google.com/" r:id="rId1" roundtripDataSignature="AMtx7mhOnE7BHsKSZVuRxUabT/AmhOcKag=="/>
    </ext>
  </extLst>
</comments>
</file>

<file path=xl/sharedStrings.xml><?xml version="1.0" encoding="utf-8"?>
<sst xmlns="http://schemas.openxmlformats.org/spreadsheetml/2006/main" count="7115" uniqueCount="600">
  <si>
    <t>Basin</t>
  </si>
  <si>
    <t>NDVI Acreage</t>
  </si>
  <si>
    <t>Bear River Planning Basin</t>
  </si>
  <si>
    <t>Full Season</t>
  </si>
  <si>
    <t>*</t>
  </si>
  <si>
    <t>Late Season</t>
  </si>
  <si>
    <t>Average Full and Late Season</t>
  </si>
  <si>
    <t>-</t>
  </si>
  <si>
    <t>Ratio Late to Full Season Acreage</t>
  </si>
  <si>
    <t>Green River Planning Basin</t>
  </si>
  <si>
    <t>Platte River Planning Basin</t>
  </si>
  <si>
    <t>Powder-Tongue River Planning Basin</t>
  </si>
  <si>
    <t>Northeast River Planning Basin</t>
  </si>
  <si>
    <t>Salt-Snake River Planning Basin</t>
  </si>
  <si>
    <t>Wind-Bighorn River Planning Basin</t>
  </si>
  <si>
    <t>Active Irrigated Acres</t>
  </si>
  <si>
    <t>Basin Plan</t>
  </si>
  <si>
    <t>Bear River</t>
  </si>
  <si>
    <t>Green River</t>
  </si>
  <si>
    <t>Northeast</t>
  </si>
  <si>
    <t>Platte</t>
  </si>
  <si>
    <t>Powder-Tongue</t>
  </si>
  <si>
    <t>Salt-Snake</t>
  </si>
  <si>
    <t>Wind-Bighorn</t>
  </si>
  <si>
    <t>Municipal, Domestic, and Industrial Water Use Indices for Wyoming River Basins</t>
  </si>
  <si>
    <t>Page Symbology:</t>
  </si>
  <si>
    <t>(S) = Surface Water Supply</t>
  </si>
  <si>
    <t>(G) = Ground Water Supply</t>
  </si>
  <si>
    <t>Municipal and domestic water use are indexed separately for each river basin</t>
  </si>
  <si>
    <t>(C) = Combined Surface and Ground Water Supply</t>
  </si>
  <si>
    <t>Municipal water use is indexed to basin census population data - raw index data contained in the tab Combined Census Data</t>
  </si>
  <si>
    <t>(R) = Return Flows</t>
  </si>
  <si>
    <t>Domestic water use is indexed to basin census population  - raw index data contained in the tab Combined Census Data</t>
  </si>
  <si>
    <t>S = Surface water Use After Subtracting Reported Return Flows</t>
  </si>
  <si>
    <t>Yellow Highlighted Cells Require Update (cells V81 to AG81)</t>
  </si>
  <si>
    <t>G = Ground Water Use After Subtracting Reported Return Flows</t>
  </si>
  <si>
    <t>Bear River Basin</t>
  </si>
  <si>
    <t>Data Year</t>
  </si>
  <si>
    <t>Vlookup Column</t>
  </si>
  <si>
    <t>Basin Plan Population</t>
  </si>
  <si>
    <t>Cokeville town</t>
  </si>
  <si>
    <t>Evanston city</t>
  </si>
  <si>
    <t>Full Water Use Index Results</t>
  </si>
  <si>
    <t>This page auto-updates, no manual data entry required in this worksheet</t>
  </si>
  <si>
    <t>Basin Plan Municipal Use (AF/yr)</t>
  </si>
  <si>
    <t>Water Use by Basin</t>
  </si>
  <si>
    <t>Agricultural Consumptive Use</t>
  </si>
  <si>
    <t>Total</t>
  </si>
  <si>
    <t>Ground Water</t>
  </si>
  <si>
    <t>Surface Water</t>
  </si>
  <si>
    <t>Census Population</t>
  </si>
  <si>
    <t>(G)</t>
  </si>
  <si>
    <t>(S)</t>
  </si>
  <si>
    <t>Year</t>
  </si>
  <si>
    <t>Bear River town</t>
  </si>
  <si>
    <t>Hydrologic Condition</t>
  </si>
  <si>
    <t>Normal</t>
  </si>
  <si>
    <t>Wet</t>
  </si>
  <si>
    <t>Dry</t>
  </si>
  <si>
    <t>Basin Plan IWR (acft)</t>
  </si>
  <si>
    <t>Municipal  Use</t>
  </si>
  <si>
    <t>Indexed Municipal Water Use (AF/yr)</t>
  </si>
  <si>
    <t>Average Full and Late Season Acres</t>
  </si>
  <si>
    <t>Basin Plan Domestic Use</t>
  </si>
  <si>
    <t>Reported Rural Population</t>
  </si>
  <si>
    <t>Basin Plan gpcpd</t>
  </si>
  <si>
    <t>Indexed Domestic Use (AF/yr)</t>
  </si>
  <si>
    <t>Indexed Agricultural Water Use</t>
  </si>
  <si>
    <t>Estimated Rural Population</t>
  </si>
  <si>
    <t>Domestic Ground Water</t>
  </si>
  <si>
    <t>Surface Water, acft</t>
  </si>
  <si>
    <t>Domestic Surface Water</t>
  </si>
  <si>
    <t>Domestic Use</t>
  </si>
  <si>
    <t>Green River Basin</t>
  </si>
  <si>
    <t>Ground Water, acft</t>
  </si>
  <si>
    <t>Baggs town</t>
  </si>
  <si>
    <t>Lyman</t>
  </si>
  <si>
    <t>Index Equation</t>
  </si>
  <si>
    <t>Mountain View</t>
  </si>
  <si>
    <t>Fort Bridger</t>
  </si>
  <si>
    <t>Lower Bench</t>
  </si>
  <si>
    <t>Cheyenne city</t>
  </si>
  <si>
    <t>Average Wet Year</t>
  </si>
  <si>
    <t>Dixon town</t>
  </si>
  <si>
    <t>Granger town</t>
  </si>
  <si>
    <t>Kemmerer city</t>
  </si>
  <si>
    <t>Average Year</t>
  </si>
  <si>
    <t>Average Dry Year</t>
  </si>
  <si>
    <t>Diamondville town</t>
  </si>
  <si>
    <t>Slope</t>
  </si>
  <si>
    <t>La Barge town</t>
  </si>
  <si>
    <t>Intercept</t>
  </si>
  <si>
    <t>Pinedale town</t>
  </si>
  <si>
    <t>Rock Springs city</t>
  </si>
  <si>
    <t>Count</t>
  </si>
  <si>
    <t>Green River city</t>
  </si>
  <si>
    <t>Big Piney town</t>
  </si>
  <si>
    <t>Marbleton town</t>
  </si>
  <si>
    <t>Full and Late Average, Int = 0</t>
  </si>
  <si>
    <t>Opal town</t>
  </si>
  <si>
    <t>Superior town</t>
  </si>
  <si>
    <t>Basin Plan Agricultural Water Use</t>
  </si>
  <si>
    <t>Wamsutter town</t>
  </si>
  <si>
    <t>Fraction Surface Water</t>
  </si>
  <si>
    <t>Surface Water (In-Basin)</t>
  </si>
  <si>
    <t>Surface Water (Cross Basin Diversion)</t>
  </si>
  <si>
    <t>Census Population (excludes Cheyenne)</t>
  </si>
  <si>
    <t>Fraction Ground Water</t>
  </si>
  <si>
    <t>% Difference</t>
  </si>
  <si>
    <t>Industrial Use</t>
  </si>
  <si>
    <t>Lyman town</t>
  </si>
  <si>
    <t>Green River Planning  Basin</t>
  </si>
  <si>
    <t>Mountain View town</t>
  </si>
  <si>
    <t>Cross Basin Diversion</t>
  </si>
  <si>
    <t>Platte River Planning  Basin</t>
  </si>
  <si>
    <t>Surface Water Consumptive Use</t>
  </si>
  <si>
    <t>Ground Water Consumptive Use</t>
  </si>
  <si>
    <t>Surface Water Full and Late Average, Int = 0</t>
  </si>
  <si>
    <t>Basin Plan Agricultural Surface Water Use</t>
  </si>
  <si>
    <t>Little Missouri</t>
  </si>
  <si>
    <t>Ground Water Full and Late Average, Int = 0</t>
  </si>
  <si>
    <t>Belle Fourche</t>
  </si>
  <si>
    <t>150 - 300</t>
  </si>
  <si>
    <t>Indexed Agricultural Surface Water Use</t>
  </si>
  <si>
    <t>Redwater Creek</t>
  </si>
  <si>
    <t>Indexed Agricultural Ground Water Use</t>
  </si>
  <si>
    <t>Beaver Creek</t>
  </si>
  <si>
    <t>Surface Water % Difference</t>
  </si>
  <si>
    <t>Domestic Water Use (high)</t>
  </si>
  <si>
    <t>Cheyenne River</t>
  </si>
  <si>
    <t>Ground Water % Difference</t>
  </si>
  <si>
    <t>Niobrara River</t>
  </si>
  <si>
    <t>total</t>
  </si>
  <si>
    <t>Domestic Water Use (low)</t>
  </si>
  <si>
    <t>Northeast Basin</t>
  </si>
  <si>
    <t>Gillette city</t>
  </si>
  <si>
    <t>Hulett town</t>
  </si>
  <si>
    <t>Lusk town</t>
  </si>
  <si>
    <t>Manville town</t>
  </si>
  <si>
    <t>Moorcroft town</t>
  </si>
  <si>
    <t>Newcastle City</t>
  </si>
  <si>
    <t>Pine Haven town</t>
  </si>
  <si>
    <t>Sundance town</t>
  </si>
  <si>
    <t>Upton town</t>
  </si>
  <si>
    <t>Platte River Basin</t>
  </si>
  <si>
    <t>Basin Plan Water Use (AF)</t>
  </si>
  <si>
    <t>Burns town</t>
  </si>
  <si>
    <t>R</t>
  </si>
  <si>
    <t>G</t>
  </si>
  <si>
    <t>Albin town</t>
  </si>
  <si>
    <t>Chugwater town</t>
  </si>
  <si>
    <t>Elk Mountain town</t>
  </si>
  <si>
    <t>Fort Laramie town</t>
  </si>
  <si>
    <t>Glendo town</t>
  </si>
  <si>
    <t>Glenrock town</t>
  </si>
  <si>
    <t>Guernsey town</t>
  </si>
  <si>
    <t>Hartville town</t>
  </si>
  <si>
    <t>La Grange town</t>
  </si>
  <si>
    <t>Lingle town</t>
  </si>
  <si>
    <t>Medicine Bow town</t>
  </si>
  <si>
    <t>Pine Bluffs town</t>
  </si>
  <si>
    <t>Rolling Hills town</t>
  </si>
  <si>
    <t>Sierra Madre Joint Powers Board</t>
  </si>
  <si>
    <t>Torrington city</t>
  </si>
  <si>
    <t>Wheatland town</t>
  </si>
  <si>
    <t>Encampment town</t>
  </si>
  <si>
    <t>S</t>
  </si>
  <si>
    <t>Evansville town</t>
  </si>
  <si>
    <t>Hanna town</t>
  </si>
  <si>
    <t>Rock River town</t>
  </si>
  <si>
    <t>Saratoga town</t>
  </si>
  <si>
    <t>Sinclair town</t>
  </si>
  <si>
    <t>Casper city</t>
  </si>
  <si>
    <t>(C)</t>
  </si>
  <si>
    <t>Statewide Water Use Index</t>
  </si>
  <si>
    <t>Douglas city</t>
  </si>
  <si>
    <t>Laramie City</t>
  </si>
  <si>
    <t>Mills town</t>
  </si>
  <si>
    <t>Rawlins city</t>
  </si>
  <si>
    <t>Update this tab with US Census Bureau Population Estimates to Update Municipal and Domestic Water Use</t>
  </si>
  <si>
    <t>Instructions to Access Future Data Updates</t>
  </si>
  <si>
    <t>Census Data for the years 2010 to 2018</t>
  </si>
  <si>
    <r>
      <t>1)</t>
    </r>
    <r>
      <rPr>
        <rFont val="Calibri"/>
        <color rgb="FF000000"/>
        <sz val="12.0"/>
      </rPr>
      <t xml:space="preserve"> Go to US Census Bureau Data Tables Access Webpage (https://www.census.gov/data/tables/time-series/demo/popest/2010s-total-cities-and-towns.html)</t>
    </r>
  </si>
  <si>
    <r>
      <rPr>
        <rFont val="Calibri"/>
        <b/>
        <color rgb="FF000000"/>
        <sz val="12.0"/>
      </rPr>
      <t>Author</t>
    </r>
    <r>
      <rPr>
        <rFont val="Calibri"/>
        <color rgb="FF000000"/>
        <sz val="12.0"/>
      </rPr>
      <t>: US Census Bureau</t>
    </r>
  </si>
  <si>
    <r>
      <rPr>
        <rFont val="Calibri"/>
        <b/>
        <color rgb="FF000000"/>
        <sz val="12.0"/>
      </rPr>
      <t>2)</t>
    </r>
    <r>
      <rPr>
        <rFont val="Calibri"/>
        <color rgb="FF000000"/>
        <sz val="12.0"/>
      </rPr>
      <t xml:space="preserve"> Scroll down to "Incorporated Places"</t>
    </r>
  </si>
  <si>
    <r>
      <rPr>
        <rFont val="Calibri"/>
        <b/>
        <color rgb="FF000000"/>
        <sz val="12.0"/>
      </rPr>
      <t>Publisher</t>
    </r>
    <r>
      <rPr>
        <rFont val="Calibri"/>
        <color rgb="FF000000"/>
        <sz val="12.0"/>
      </rPr>
      <t>: US Census Bureau (Online)</t>
    </r>
  </si>
  <si>
    <r>
      <rPr>
        <rFont val="Calibri"/>
        <b/>
        <color rgb="FF000000"/>
        <sz val="12.0"/>
      </rPr>
      <t>3)</t>
    </r>
    <r>
      <rPr>
        <rFont val="Calibri"/>
        <color rgb="FF000000"/>
        <sz val="12.0"/>
      </rPr>
      <t xml:space="preserve"> Select Wyoming</t>
    </r>
  </si>
  <si>
    <r>
      <rPr>
        <rFont val="Calibri"/>
        <b/>
        <color rgb="FF000000"/>
        <sz val="12.0"/>
      </rPr>
      <t>Date Accessed</t>
    </r>
    <r>
      <rPr>
        <rFont val="Calibri"/>
        <color rgb="FF000000"/>
        <sz val="12.0"/>
      </rPr>
      <t>: July 3, 2019</t>
    </r>
  </si>
  <si>
    <r>
      <rPr>
        <rFont val="Calibri"/>
        <b/>
        <color rgb="FF000000"/>
        <sz val="12.0"/>
      </rPr>
      <t>4)</t>
    </r>
    <r>
      <rPr>
        <rFont val="Calibri"/>
        <color rgb="FF000000"/>
        <sz val="12.0"/>
      </rPr>
      <t xml:space="preserve"> Click the "Download" button</t>
    </r>
  </si>
  <si>
    <r>
      <rPr>
        <rFont val="Calibri"/>
        <b/>
        <color rgb="FF000000"/>
        <sz val="12.0"/>
      </rPr>
      <t>URL</t>
    </r>
    <r>
      <rPr>
        <rFont val="Calibri"/>
        <color rgb="FF000000"/>
        <sz val="12.0"/>
      </rPr>
      <t>: https://factfinder.census.gov/faces/tableservices/jsf/pages/productview.xhtml?src=bkmk</t>
    </r>
  </si>
  <si>
    <r>
      <rPr>
        <rFont val="Calibri"/>
        <b/>
        <sz val="12.0"/>
      </rPr>
      <t>5)</t>
    </r>
    <r>
      <rPr>
        <rFont val="Calibri"/>
        <sz val="12.0"/>
      </rPr>
      <t xml:space="preserve"> Accept default settings and download</t>
    </r>
  </si>
  <si>
    <r>
      <rPr>
        <rFont val="Calibri"/>
        <b/>
        <sz val="12.0"/>
      </rPr>
      <t>Name of Dataset</t>
    </r>
    <r>
      <rPr>
        <rFont val="Calibri"/>
        <sz val="12.0"/>
      </rPr>
      <t>: Wyoming Incorporated Place Population Estimates: April 1, 2010 to July 1, 2018</t>
    </r>
  </si>
  <si>
    <t>Notes for adding new population data</t>
  </si>
  <si>
    <t>Census Data for the years 2000 to 2009</t>
  </si>
  <si>
    <t>1) Cells with yellow fill require updating</t>
  </si>
  <si>
    <r>
      <rPr>
        <rFont val="Calibri"/>
        <b/>
        <color rgb="FF000000"/>
        <sz val="12.0"/>
      </rPr>
      <t>Author</t>
    </r>
    <r>
      <rPr>
        <rFont val="Calibri"/>
        <color rgb="FF000000"/>
        <sz val="12.0"/>
      </rPr>
      <t>: US Census Bureau</t>
    </r>
  </si>
  <si>
    <t>2) Cells with grey text are not reference for the Index but are part of the USCB City and Town data set</t>
  </si>
  <si>
    <r>
      <rPr>
        <rFont val="Calibri"/>
        <b/>
        <color rgb="FF000000"/>
        <sz val="12.0"/>
      </rPr>
      <t>Publisher</t>
    </r>
    <r>
      <rPr>
        <rFont val="Calibri"/>
        <color rgb="FF000000"/>
        <sz val="12.0"/>
      </rPr>
      <t>: US Census Bureau (Online)</t>
    </r>
  </si>
  <si>
    <t>3) The USCB typically published updated population estimates in July</t>
  </si>
  <si>
    <r>
      <rPr>
        <rFont val="Calibri"/>
        <b/>
        <color rgb="FF000000"/>
        <sz val="12.0"/>
      </rPr>
      <t>Date Accessed</t>
    </r>
    <r>
      <rPr>
        <rFont val="Calibri"/>
        <color rgb="FF000000"/>
        <sz val="12.0"/>
      </rPr>
      <t>: January 16th, 2019</t>
    </r>
  </si>
  <si>
    <t>4) Visit the USCB website to download updated population estimates</t>
  </si>
  <si>
    <r>
      <rPr>
        <rFont val="Calibri"/>
        <b/>
        <color rgb="FF000000"/>
        <sz val="12.0"/>
      </rPr>
      <t>URL</t>
    </r>
    <r>
      <rPr>
        <rFont val="Calibri"/>
        <color rgb="FF000000"/>
        <sz val="12.0"/>
      </rPr>
      <t>: https://www.census.gov/data/datasets/time-series/demo/popest/intercensal-2000-2010-cities-and-towns.html</t>
    </r>
  </si>
  <si>
    <t>5) The URL used to access the City and Town population dataset may change, use the URLs listed above as a starting point</t>
  </si>
  <si>
    <r>
      <rPr>
        <rFont val="Calibri"/>
        <b/>
        <sz val="12.0"/>
      </rPr>
      <t>Name of Dataset</t>
    </r>
    <r>
      <rPr>
        <rFont val="Calibri"/>
        <sz val="12.0"/>
      </rPr>
      <t>: City and Town Intercensal Datasets: 2000-2010</t>
    </r>
  </si>
  <si>
    <t>6) Verify the order of State, towns, county population data is correct</t>
  </si>
  <si>
    <t>7) Check downloaded dataset to see if new incorporated places have been added to the list by the USCB. If new incorporated places are listed, remove them from the dataset before updating population data</t>
  </si>
  <si>
    <t>NAME</t>
  </si>
  <si>
    <t>STNAME</t>
  </si>
  <si>
    <t>POPESTIMATE2000</t>
  </si>
  <si>
    <t>POPESTIMATE2001</t>
  </si>
  <si>
    <t>POPESTIMATE2002</t>
  </si>
  <si>
    <t>POPESTIMATE2003</t>
  </si>
  <si>
    <t>POPESTIMATE2004</t>
  </si>
  <si>
    <t>POPESTIMATE2005</t>
  </si>
  <si>
    <t>POPESTIMATE2006</t>
  </si>
  <si>
    <t>POPESTIMATE2007</t>
  </si>
  <si>
    <t>POPESTIMATE2008</t>
  </si>
  <si>
    <t>POPESTIMATE2009</t>
  </si>
  <si>
    <t>POPESTIMATE2010</t>
  </si>
  <si>
    <t>POPESTIMATE2011</t>
  </si>
  <si>
    <t>POPESTIMATE2012</t>
  </si>
  <si>
    <t>POPESTIMATE2013</t>
  </si>
  <si>
    <t>POPESTIMATE2014</t>
  </si>
  <si>
    <t>POPESTIMATE2015</t>
  </si>
  <si>
    <t>POPESTIMATE2016</t>
  </si>
  <si>
    <t>POPESTIMATE2017</t>
  </si>
  <si>
    <t>POPESTIMATE2018</t>
  </si>
  <si>
    <t>POPESTIMATE2019</t>
  </si>
  <si>
    <t>POPESTIMATE2020</t>
  </si>
  <si>
    <t>POPESTIMATE2021</t>
  </si>
  <si>
    <t>POPESTIMATE2022</t>
  </si>
  <si>
    <t>POPESTIMATE2023</t>
  </si>
  <si>
    <t>POPESTIMATE2024</t>
  </si>
  <si>
    <t>POPESTIMATE2025</t>
  </si>
  <si>
    <t>POPESTIMATE2026</t>
  </si>
  <si>
    <t>POPESTIMATE2027</t>
  </si>
  <si>
    <t>POPESTIMATE2028</t>
  </si>
  <si>
    <t>POPESTIMATE2029</t>
  </si>
  <si>
    <t>POPESTIMATE2030</t>
  </si>
  <si>
    <t>Wyoming</t>
  </si>
  <si>
    <t>Afton town</t>
  </si>
  <si>
    <t>Laramie city</t>
  </si>
  <si>
    <t xml:space="preserve"> Wyoming</t>
  </si>
  <si>
    <t>Alpine town</t>
  </si>
  <si>
    <t>Bairoil town</t>
  </si>
  <si>
    <t>Bar Nunn town</t>
  </si>
  <si>
    <t>Basin town</t>
  </si>
  <si>
    <t>Buffalo city</t>
  </si>
  <si>
    <t>Burlington town</t>
  </si>
  <si>
    <t>Byron town</t>
  </si>
  <si>
    <t>Clearmont town</t>
  </si>
  <si>
    <t>Cody city</t>
  </si>
  <si>
    <t>Cowley town</t>
  </si>
  <si>
    <t>Dayton town</t>
  </si>
  <si>
    <t>Deaver town</t>
  </si>
  <si>
    <t>Dubois town</t>
  </si>
  <si>
    <t>East Thermopolis town</t>
  </si>
  <si>
    <t>Edgerton town</t>
  </si>
  <si>
    <t>Frannie town</t>
  </si>
  <si>
    <t>Greybull town</t>
  </si>
  <si>
    <t>Hudson town</t>
  </si>
  <si>
    <t>Jackson town</t>
  </si>
  <si>
    <t>Kaycee town</t>
  </si>
  <si>
    <t>Kirby town</t>
  </si>
  <si>
    <t>Lander city</t>
  </si>
  <si>
    <t>Lost Springs town</t>
  </si>
  <si>
    <t>Lovell town</t>
  </si>
  <si>
    <t>Manderson town</t>
  </si>
  <si>
    <t>Meeteetse town</t>
  </si>
  <si>
    <t>Midwest town</t>
  </si>
  <si>
    <t>Newcastle city</t>
  </si>
  <si>
    <t>Pavillion town</t>
  </si>
  <si>
    <t>Powell city</t>
  </si>
  <si>
    <t>Ranchester town</t>
  </si>
  <si>
    <t>Riverside town</t>
  </si>
  <si>
    <t>Riverton city</t>
  </si>
  <si>
    <t>Powder-Tongue Basin</t>
  </si>
  <si>
    <t>Sheridan city</t>
  </si>
  <si>
    <t>Shoshoni town</t>
  </si>
  <si>
    <t>Star Valley Ranch town</t>
  </si>
  <si>
    <t>Soldier Creek town</t>
  </si>
  <si>
    <t>Ten Sleep town</t>
  </si>
  <si>
    <t>Thayne town</t>
  </si>
  <si>
    <t>Thermopolis town</t>
  </si>
  <si>
    <t>Van Tassell town</t>
  </si>
  <si>
    <t>Worland city</t>
  </si>
  <si>
    <t>Wright town</t>
  </si>
  <si>
    <t>Yoder town</t>
  </si>
  <si>
    <t>Albany County</t>
  </si>
  <si>
    <t>Industrial Water Use Indices for Wyoming River Basins</t>
  </si>
  <si>
    <t>Balance of Albany County</t>
  </si>
  <si>
    <t>Industrial water use is indexed separately for each river basin</t>
  </si>
  <si>
    <t>Big Horn County</t>
  </si>
  <si>
    <t>Industrial water use is indexed to various data sources - raw index data is contained in the following five (5) tabs:</t>
  </si>
  <si>
    <t>Electrical Generation</t>
  </si>
  <si>
    <t>Natural Gas Processing</t>
  </si>
  <si>
    <t>Mine Production</t>
  </si>
  <si>
    <t>Oil and Gas Production</t>
  </si>
  <si>
    <t>Coalbed Methane</t>
  </si>
  <si>
    <t>Frannie town (pt.)</t>
  </si>
  <si>
    <t>Basin Plan Industrial Use (AF/yr)</t>
  </si>
  <si>
    <t>Balance of Big Horn County</t>
  </si>
  <si>
    <t>Campbell County</t>
  </si>
  <si>
    <t>Balance of Campbell County</t>
  </si>
  <si>
    <t>22 to 37</t>
  </si>
  <si>
    <t>Carbon County</t>
  </si>
  <si>
    <t>Reference Index</t>
  </si>
  <si>
    <t>Painter-BP America (MCF)</t>
  </si>
  <si>
    <t>Balance of Carbon County</t>
  </si>
  <si>
    <t>Converse County</t>
  </si>
  <si>
    <t>Balance of Converse County</t>
  </si>
  <si>
    <t>Crook County</t>
  </si>
  <si>
    <t>Balance of Crook County</t>
  </si>
  <si>
    <t>Fremont County</t>
  </si>
  <si>
    <t>Whitney  Canyon (MCF)</t>
  </si>
  <si>
    <t>Balance of Fremont County</t>
  </si>
  <si>
    <t>Goshen County</t>
  </si>
  <si>
    <t>Balance of Goshen County</t>
  </si>
  <si>
    <t>Hot Springs County</t>
  </si>
  <si>
    <t>Balance of Hot Springs County</t>
  </si>
  <si>
    <t>Johnson County</t>
  </si>
  <si>
    <t>Indexed Industrial Use (AF/yr)</t>
  </si>
  <si>
    <t>Balance of Johnson County</t>
  </si>
  <si>
    <t>Laramie County</t>
  </si>
  <si>
    <t>Balance of Laramie County</t>
  </si>
  <si>
    <t>Lincoln County</t>
  </si>
  <si>
    <t>Balance of Lincoln County</t>
  </si>
  <si>
    <t>Natrona County</t>
  </si>
  <si>
    <t>Balance of Natrona County</t>
  </si>
  <si>
    <t>Niobrara County</t>
  </si>
  <si>
    <t>Trona Related Industries</t>
  </si>
  <si>
    <t>Balance of Niobrara County</t>
  </si>
  <si>
    <t>Park County</t>
  </si>
  <si>
    <t>Jim Bridger Annual Generation (MWh)</t>
  </si>
  <si>
    <t>Balance of Park County</t>
  </si>
  <si>
    <t>Platte County</t>
  </si>
  <si>
    <t>Balance of Platte County</t>
  </si>
  <si>
    <t>Sheridan County</t>
  </si>
  <si>
    <t>Balance of Sheridan County</t>
  </si>
  <si>
    <t>Sublette County</t>
  </si>
  <si>
    <t>Balance of Sublette County</t>
  </si>
  <si>
    <t>Naughton Annual Generation (MWh)</t>
  </si>
  <si>
    <t>Sweetwater County</t>
  </si>
  <si>
    <t>Balance of Sweetwater County</t>
  </si>
  <si>
    <t>Teton County</t>
  </si>
  <si>
    <t>Balance of Teton County</t>
  </si>
  <si>
    <t>Uinta County</t>
  </si>
  <si>
    <t>Balance of Uinta County</t>
  </si>
  <si>
    <t>Washakie County</t>
  </si>
  <si>
    <t>Trona Production (MT)</t>
  </si>
  <si>
    <t>Balance of Washakie County</t>
  </si>
  <si>
    <t>Weston County</t>
  </si>
  <si>
    <t>Balance of Weston County</t>
  </si>
  <si>
    <t>Reported Rural Public Water Systems</t>
  </si>
  <si>
    <t>Total Estimated Rural Population</t>
  </si>
  <si>
    <t>Oil and Gas Production (bbls oil)</t>
  </si>
  <si>
    <t>Steps to Update Data:</t>
  </si>
  <si>
    <t>1) Click on link to data source provided above data for each generating station</t>
  </si>
  <si>
    <t>2) download generation data</t>
  </si>
  <si>
    <t>Salt Snake Basin</t>
  </si>
  <si>
    <t>Cells and Columns with Yellow Fill Require Data Updates</t>
  </si>
  <si>
    <t>3) insert new data for appropriate date range</t>
  </si>
  <si>
    <t>Annual Net Generation (MWh)</t>
  </si>
  <si>
    <t>Arvada</t>
  </si>
  <si>
    <t>Barber Creek</t>
  </si>
  <si>
    <t>Cheyenne Prairie Generating Station</t>
  </si>
  <si>
    <t>Dave Johnston</t>
  </si>
  <si>
    <t>Dry Fork Station</t>
  </si>
  <si>
    <t>Hartzog</t>
  </si>
  <si>
    <t>Jim Bridger</t>
  </si>
  <si>
    <t>Laramie River Station</t>
  </si>
  <si>
    <t>Naughton</t>
  </si>
  <si>
    <t>Neil Simpson Gas Turbine #2</t>
  </si>
  <si>
    <t>Neil Simpson II</t>
  </si>
  <si>
    <t>Wygen 2</t>
  </si>
  <si>
    <t>Wygen III</t>
  </si>
  <si>
    <t>Wyodak</t>
  </si>
  <si>
    <t>Link to Data source</t>
  </si>
  <si>
    <t>https://www.eia.gov/electricity/data/browser/#/plant/8028</t>
  </si>
  <si>
    <t>Reported</t>
  </si>
  <si>
    <t>https://www.eia.gov/electricity/data/browser/#/plant/8030</t>
  </si>
  <si>
    <t>Indexed</t>
  </si>
  <si>
    <t>Wyodak Power Plant</t>
  </si>
  <si>
    <t>https://www.eia.gov/electricity/data/browser/#/plant/57703</t>
  </si>
  <si>
    <t>https://www.eia.gov/electricity/data/browser/#/plant/4158/?freq=M&amp;pin=</t>
  </si>
  <si>
    <t>https://www.eia.gov/electricity/data/browser/#/plant/56609</t>
  </si>
  <si>
    <t>Osage Power Plant</t>
  </si>
  <si>
    <t>https://www.eia.gov/electricity/data/browser/#/plant/8026</t>
  </si>
  <si>
    <t>https://www.eia.gov/electricity/data/browser/#/plant/8066</t>
  </si>
  <si>
    <t>https://www.eia.gov/electricity/data/browser/#/plant/6204</t>
  </si>
  <si>
    <t>Two Elk Power Plant</t>
  </si>
  <si>
    <t>https://www.eia.gov/electricity/data/browser/#/plant/4162</t>
  </si>
  <si>
    <t>Black Thunder Coal Mine</t>
  </si>
  <si>
    <t>https://www.eia.gov/electricity/data/browser/#/plant/55477</t>
  </si>
  <si>
    <t>https://www.eia.gov/electricity/data/browser/#/plant/7504</t>
  </si>
  <si>
    <t>https://www.eia.gov/electricity/data/browser/#/plant/56319</t>
  </si>
  <si>
    <t>https://www.eia.gov/electricity/data/browser/#/plant/56596</t>
  </si>
  <si>
    <t>Antelope Coal Mine</t>
  </si>
  <si>
    <t>https://www.eia.gov/electricity/data/browser/#/plant/6101</t>
  </si>
  <si>
    <t>Date of Last Update</t>
  </si>
  <si>
    <t>Cadero-Rojo Coal Mine Complex</t>
  </si>
  <si>
    <t>Responsible Agency</t>
  </si>
  <si>
    <t>Source: U.S. Energy Information Administration</t>
  </si>
  <si>
    <t>USEIA Power Generating Station ID</t>
  </si>
  <si>
    <t>Jacobs Ranch Coal Mine</t>
  </si>
  <si>
    <t>Caballo Coal Mine</t>
  </si>
  <si>
    <t>Reported Rural Residences</t>
  </si>
  <si>
    <t>Basin Plan (gal/residence/day)</t>
  </si>
  <si>
    <t>Total Estimated Rural Residences</t>
  </si>
  <si>
    <t>Surface Water of Unknown Purpose</t>
  </si>
  <si>
    <t>Domestic Water Use</t>
  </si>
  <si>
    <t>Wind-Bighorn Basin</t>
  </si>
  <si>
    <t>Hyattville city</t>
  </si>
  <si>
    <t>Wyodak Power Plant (MWh)</t>
  </si>
  <si>
    <t>Lucerne town</t>
  </si>
  <si>
    <t>Osage Power Plant (unitless)</t>
  </si>
  <si>
    <t>Two Elk Power Plant (MWh)</t>
  </si>
  <si>
    <t>Black Thunder Coal Mine (tons)</t>
  </si>
  <si>
    <t>Antelope Coal Mine (tons)</t>
  </si>
  <si>
    <t>Cadero-Rojo Coal Mine Complex (tons)</t>
  </si>
  <si>
    <t>Jacobs Ranch Coal Mine (tons)</t>
  </si>
  <si>
    <t>Caballo Coal Mine (tons)</t>
  </si>
  <si>
    <t>Oil and Gas Production (bbls)</t>
  </si>
  <si>
    <t>Coalbed Methane (AF Produced Water)</t>
  </si>
  <si>
    <t>Oil Production Basins as Classified by the Wyoming Oil and Gas Conservation Commission</t>
  </si>
  <si>
    <t>To Update Oil and Gas Production Quantities:</t>
  </si>
  <si>
    <t>1. Go to Oil and Gas Commission Basin Reporting page (URL provided in header)</t>
  </si>
  <si>
    <t>Dataset Name:</t>
  </si>
  <si>
    <t>Oil and Gas Production Quantities</t>
  </si>
  <si>
    <t>2. Select one basin by double-clicking on it (basin outlines are not displayed on map, finding each basin requires some guesswork)</t>
  </si>
  <si>
    <t>Downloaded from:</t>
  </si>
  <si>
    <t>Wyoming Oil and Gas Conservation Commission Website</t>
  </si>
  <si>
    <t>3. Click "Go Find" button</t>
  </si>
  <si>
    <t>Webpage URL:</t>
  </si>
  <si>
    <t>http://pipeline.wyo.gov/Basins2.htm</t>
  </si>
  <si>
    <t>Surface Water of Unknown Purpose (AF)</t>
  </si>
  <si>
    <t>4. Copy data from appropriate year</t>
  </si>
  <si>
    <t>Originally downloaded:</t>
  </si>
  <si>
    <t>5. Sum monthly production totals reported in the "Total Oil Bbls" column</t>
  </si>
  <si>
    <t>Last Updated:</t>
  </si>
  <si>
    <t>6. Input data into the tables below</t>
  </si>
  <si>
    <t>Cells with yellow fill require manual update</t>
  </si>
  <si>
    <t>Bighorn Basin Oil and Gas Production Quantities</t>
  </si>
  <si>
    <t>Denver-Cheyenne Basin Oil and Gas Production Quantities</t>
  </si>
  <si>
    <t>Greater Green River Basin Oil and Gas Production Quantities</t>
  </si>
  <si>
    <t>Hanna Basin Oil and Gas Production Quantities</t>
  </si>
  <si>
    <r>
      <t xml:space="preserve">Jackson Hole Basin Oil and Gas Production Quantities - </t>
    </r>
    <r>
      <rPr>
        <rFont val="Calibri"/>
        <b/>
        <color rgb="FFFF0000"/>
        <sz val="11.0"/>
      </rPr>
      <t>No Recorded Production in the Jackson Hole Basin</t>
    </r>
  </si>
  <si>
    <t>Laramie Basin Oil and Gas Production Quantities</t>
  </si>
  <si>
    <t>Overthrust Basin Oil and Gas Production Quantities</t>
  </si>
  <si>
    <t>Powder River Basin Oil and Gas Production Quantities</t>
  </si>
  <si>
    <r>
      <t>Shirley Basin Oil and Gas Production Quantities -</t>
    </r>
    <r>
      <rPr>
        <rFont val="Calibri"/>
        <b/>
        <color rgb="FFFF0000"/>
        <sz val="11.0"/>
      </rPr>
      <t xml:space="preserve"> No Recorded Production in the Shirley Basin After 1995</t>
    </r>
  </si>
  <si>
    <t>Wind River Basin Oil and Gas Production Quantities</t>
  </si>
  <si>
    <t>Production Year</t>
  </si>
  <si>
    <t>Oil BBLS</t>
  </si>
  <si>
    <t>Gas MCF</t>
  </si>
  <si>
    <t>River Basins as Defined by Wyoming Water Development Commission Basin Plans</t>
  </si>
  <si>
    <t>Bear River Basin Oil and Gas Production Quantities</t>
  </si>
  <si>
    <t>Green River Basin Oil and Gas Production Quantities</t>
  </si>
  <si>
    <t>Northeast River Basin Oil and Gas Production Quantities</t>
  </si>
  <si>
    <t>Platte River Basin Oil and Gas Production Quantities</t>
  </si>
  <si>
    <t>Powder-Tongue River Basin Oil and Gas Production Quantities</t>
  </si>
  <si>
    <t>Snake-Salt River Basin Oil and Gas Production Quantities</t>
  </si>
  <si>
    <t>Wind-Bighorn River Basin Oil and Gas Production Quantities</t>
  </si>
  <si>
    <t>All of Overthrust Oil/Gas Basin Assigned to this River Basin</t>
  </si>
  <si>
    <t>All of Greater Green River Oil/Gas Basin Assigned to this River Basin</t>
  </si>
  <si>
    <t>All of Powder River Oil/Gas Basin Assigned to this River Basin</t>
  </si>
  <si>
    <t>All of the Cheyenne-Denver, Hanna, Laramie, and Shirley Basin Oil/Gas Production assigned to this River Basin</t>
  </si>
  <si>
    <t>No Oil/Gas data assigned to this basin because the Snake-Salt River Basin Plan did not list oil/gas as an industrial use</t>
  </si>
  <si>
    <t>All of the Bighorn and Wind River Basin Oil/Gas Production assigned to this River Basin</t>
  </si>
  <si>
    <t>This Table Automatically Updates</t>
  </si>
  <si>
    <t>Natural Gas Processing Volumes for Industrial Use Index</t>
  </si>
  <si>
    <t>Cells with Yellow Fill Require Update</t>
  </si>
  <si>
    <t>Steps to update data:</t>
  </si>
  <si>
    <t>1) Click on link to data source provided above data for each gas processing station</t>
  </si>
  <si>
    <t>2) Copy monthly processing volume data</t>
  </si>
  <si>
    <t>3) Paste new data into appropriate date range</t>
  </si>
  <si>
    <r>
      <rPr>
        <rFont val="Verdana"/>
        <b/>
        <color rgb="FFC00000"/>
        <sz val="10.0"/>
      </rPr>
      <t xml:space="preserve">NOTE: </t>
    </r>
    <r>
      <rPr>
        <rFont val="Verdana"/>
        <color rgb="FF000000"/>
        <sz val="10.0"/>
      </rPr>
      <t>The Whitney Canyon Gas Processing Plant Ceased Operations in October 2007</t>
    </r>
  </si>
  <si>
    <t>PAINTER-AMOCO (aka PAINTER COMPLEX)</t>
  </si>
  <si>
    <t>WHITNEY CANYON</t>
  </si>
  <si>
    <r>
      <t xml:space="preserve">Data From Oil and Gas Commission </t>
    </r>
    <r>
      <rPr>
        <rFont val="Verdana"/>
        <i/>
        <color rgb="FF000000"/>
        <sz val="10.0"/>
      </rPr>
      <t>Gas Plants</t>
    </r>
    <r>
      <rPr>
        <rFont val="Verdana"/>
        <color rgb="FF000000"/>
        <sz val="10.0"/>
      </rPr>
      <t xml:space="preserve"> Data</t>
    </r>
  </si>
  <si>
    <r>
      <t xml:space="preserve">Data From Oil and Gas Commission </t>
    </r>
    <r>
      <rPr>
        <rFont val="Verdana"/>
        <i/>
        <color rgb="FF000000"/>
        <sz val="10.0"/>
      </rPr>
      <t>Gas Plants</t>
    </r>
    <r>
      <rPr>
        <rFont val="Verdana"/>
        <color rgb="FF000000"/>
        <sz val="10.0"/>
      </rPr>
      <t xml:space="preserve"> Data</t>
    </r>
  </si>
  <si>
    <t>This Table Auto Updates</t>
  </si>
  <si>
    <t>http://pipeline.wyo.gov/GasPlant.cfm?nCODE=129</t>
  </si>
  <si>
    <t>http://pipeline.wyo.gov/GasPlant.cfm?nCODE=4560</t>
  </si>
  <si>
    <t>PAINTER-AMOCO</t>
  </si>
  <si>
    <t>Chevron Whitney</t>
  </si>
  <si>
    <t>Month/Year</t>
  </si>
  <si>
    <t>Gas Inlet Mcf</t>
  </si>
  <si>
    <t>Gas Outlet Mcf</t>
  </si>
  <si>
    <t>Plant Fuel Mcf</t>
  </si>
  <si>
    <t>Lease Fuel Mcf</t>
  </si>
  <si>
    <t>Re-injected Mcf</t>
  </si>
  <si>
    <t>Shrinkage Mcf</t>
  </si>
  <si>
    <t>Meter Diff. Mcf</t>
  </si>
  <si>
    <t>Gas Vented Mcf</t>
  </si>
  <si>
    <t>Gas Flared Mcf</t>
  </si>
  <si>
    <t>Gas Outlet</t>
  </si>
  <si>
    <t>Gas Inlet</t>
  </si>
  <si>
    <t>Basin Plan Rural Public Water System Use (gpcpd)</t>
  </si>
  <si>
    <t>Reported Domestic Population</t>
  </si>
  <si>
    <t>Basin Plan Domestic Use (gpcpd)</t>
  </si>
  <si>
    <t>Domestic Surface Water Use (high)</t>
  </si>
  <si>
    <t>Domestic Surface Water Use (low)</t>
  </si>
  <si>
    <t>Domestic Ground Water Use (high)</t>
  </si>
  <si>
    <t>Domestic Ground Water Use (low)</t>
  </si>
  <si>
    <t>Coal Mine Production Data</t>
  </si>
  <si>
    <t>Accessing Data Source</t>
  </si>
  <si>
    <t>Compiled and Published by the Department of Labor Statistics</t>
  </si>
  <si>
    <t>Link to webpage containing data:</t>
  </si>
  <si>
    <t>https://arlweb.msha.gov/OpenGovernmentData/OGIMSHA.asp</t>
  </si>
  <si>
    <t>Basin Plan Values</t>
  </si>
  <si>
    <t>Yellow Highlighted Cells Require Update</t>
  </si>
  <si>
    <t>Name of Dataset:</t>
  </si>
  <si>
    <t>Employment/Production Data Set (Yearly)</t>
  </si>
  <si>
    <t>Note:</t>
  </si>
  <si>
    <t>Clicking the dataset link initiates download of a .ZIP folder containing a text file</t>
  </si>
  <si>
    <t>Mine</t>
  </si>
  <si>
    <t>Sum of Mine Hours for Sand and Gravel Mines in Albany, Carbon, Converse, Goshen, Laramie, Natrona, and Platte County</t>
  </si>
  <si>
    <t>Sum of Coal</t>
  </si>
  <si>
    <t>Sum of Trona</t>
  </si>
  <si>
    <t>Belle Ayr Mine</t>
  </si>
  <si>
    <t>Big Island Mine &amp; Refinery</t>
  </si>
  <si>
    <t>Black Butte And Leucite Hills Mines</t>
  </si>
  <si>
    <t>Black Thunder</t>
  </si>
  <si>
    <t>Bridger Underground Coal Mine</t>
  </si>
  <si>
    <t>Buckskin Mine</t>
  </si>
  <si>
    <t>Caballo Mine</t>
  </si>
  <si>
    <t>Coal Creek Mine</t>
  </si>
  <si>
    <t>Cordero Rojo Mine</t>
  </si>
  <si>
    <t>Dry Fork Mine</t>
  </si>
  <si>
    <t>Eagle Butte Mine</t>
  </si>
  <si>
    <t>Grass Creek Coal Mine</t>
  </si>
  <si>
    <t>Genesis Alkali @ WESTVACO</t>
  </si>
  <si>
    <t>Jacobs Ranch Min</t>
  </si>
  <si>
    <t>Jim Bridger Mine</t>
  </si>
  <si>
    <t>Kemmerer Mine</t>
  </si>
  <si>
    <t>Medicine Bow Mine</t>
  </si>
  <si>
    <t>North Antelope Rochelle Mine</t>
  </si>
  <si>
    <t>Rawhide Mine</t>
  </si>
  <si>
    <t>Seminoe II Mine</t>
  </si>
  <si>
    <t>Solvay Chemicals,  Inc</t>
  </si>
  <si>
    <t>Tata Chemicals Mine</t>
  </si>
  <si>
    <t>Wyodak Mine</t>
  </si>
  <si>
    <t>vlookup column</t>
  </si>
  <si>
    <t>Oil Exploration, Refining, and Reclamation</t>
  </si>
  <si>
    <t>Product</t>
  </si>
  <si>
    <t>All Mine Products</t>
  </si>
  <si>
    <t>Coal</t>
  </si>
  <si>
    <t>Trona</t>
  </si>
  <si>
    <t>Coal (Bituminous)</t>
  </si>
  <si>
    <t>Type</t>
  </si>
  <si>
    <t>Surface/Underground</t>
  </si>
  <si>
    <t>Underground</t>
  </si>
  <si>
    <t>Surface</t>
  </si>
  <si>
    <t>Units</t>
  </si>
  <si>
    <t>Hours</t>
  </si>
  <si>
    <t>Tons</t>
  </si>
  <si>
    <t>ANNUAL_COAL_PRODUCTION</t>
  </si>
  <si>
    <t>MSHA MINE_ID</t>
  </si>
  <si>
    <t>MSHA PRIMARY_CANVASS</t>
  </si>
  <si>
    <t>SandAndGravel</t>
  </si>
  <si>
    <t>Nonmetal</t>
  </si>
  <si>
    <t>MSHA SUBUNIT_CD</t>
  </si>
  <si>
    <t>Mining and Mine Reclamation</t>
  </si>
  <si>
    <t>Power Generation</t>
  </si>
  <si>
    <t>Miscellaneous</t>
  </si>
  <si>
    <t>Aggregate, Cement, and Concrete Production</t>
  </si>
  <si>
    <t>Coalbed Methane Water Production</t>
  </si>
  <si>
    <t>Downloaded from http://pipeline.wyo.gov/crms.cfm</t>
  </si>
  <si>
    <t>Downloaded on 03/06/2019</t>
  </si>
  <si>
    <t>Cells with yellow fill require update</t>
  </si>
  <si>
    <t>These Columns Auto-Populate</t>
  </si>
  <si>
    <t>WOGCC Basin</t>
  </si>
  <si>
    <t>Clear Creek</t>
  </si>
  <si>
    <t>Crazy Woman Creek</t>
  </si>
  <si>
    <t>Little Powder River</t>
  </si>
  <si>
    <t>Middle Powder River</t>
  </si>
  <si>
    <t>Upper Cheyenne River</t>
  </si>
  <si>
    <t>Upper Belle Fourche River</t>
  </si>
  <si>
    <t>Upper Powder River</t>
  </si>
  <si>
    <t>Upper Tongue River</t>
  </si>
  <si>
    <t>All WOGCC Basins</t>
  </si>
  <si>
    <t>Road and Bridge Construction and Maintenance</t>
  </si>
  <si>
    <t>WWDC Basin</t>
  </si>
  <si>
    <t>bbls</t>
  </si>
  <si>
    <t>Acre-Feet</t>
  </si>
  <si>
    <t>Vlookup</t>
  </si>
  <si>
    <t xml:space="preserve">Oil Production </t>
  </si>
  <si>
    <t>(G/S)</t>
  </si>
  <si>
    <t>Coal Creek Coal Mine</t>
  </si>
  <si>
    <t>Seminoe II Coal Mine</t>
  </si>
  <si>
    <t>Medicine Bow Coal Mine</t>
  </si>
  <si>
    <t>Total Mine Hours</t>
  </si>
  <si>
    <t>Dave Johnson Generation Station</t>
  </si>
  <si>
    <t>Laramie River Power Station</t>
  </si>
  <si>
    <t>Conventional Oil and Gas</t>
  </si>
  <si>
    <t>Lake DeSmet</t>
  </si>
  <si>
    <t>Star Valley Cheese Corporation Production</t>
  </si>
  <si>
    <t>Coal and Non-Fuels Mining</t>
  </si>
  <si>
    <t>Withdrawals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</si>
</sst>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_(* #,##0.00_);_(* \(#,##0.00\);_(* &quot;-&quot;??_);_(@_)"/>
    <numFmt numFmtId="166" formatCode="[$-409]mmmm\ d\,\ yyyy"/>
  </numFmts>
  <fonts count="31">
    <font>
      <sz val="11.0"/>
      <color rgb="FF000000"/>
      <name val="Calibri"/>
    </font>
    <font>
      <b/>
      <sz val="11.0"/>
      <color rgb="FF000000"/>
      <name val="Calibri"/>
    </font>
    <font/>
    <font>
      <b/>
      <sz val="10.0"/>
      <color rgb="FF000000"/>
      <name val="Verdana"/>
    </font>
    <font>
      <sz val="10.0"/>
      <color rgb="FF000000"/>
      <name val="Verdana"/>
    </font>
    <font>
      <sz val="10.0"/>
      <color rgb="FFA5A5A5"/>
      <name val="Verdana"/>
    </font>
    <font>
      <i/>
      <sz val="10.0"/>
      <color rgb="FF000000"/>
      <name val="Verdana"/>
    </font>
    <font>
      <b/>
      <sz val="12.0"/>
      <color rgb="FF4472C4"/>
      <name val="Verdana"/>
    </font>
    <font>
      <sz val="10.0"/>
      <color rgb="FF000000"/>
      <name val="Calibri"/>
    </font>
    <font>
      <b/>
      <sz val="13.0"/>
      <color rgb="FF000000"/>
      <name val="Calibri"/>
    </font>
    <font>
      <sz val="10.0"/>
      <name val="Calibri"/>
    </font>
    <font>
      <sz val="10.0"/>
      <name val="Verdana"/>
    </font>
    <font>
      <b/>
      <sz val="14.0"/>
      <color rgb="FF000000"/>
      <name val="Calibri"/>
    </font>
    <font>
      <b/>
      <sz val="12.0"/>
      <color rgb="FF000000"/>
      <name val="Calibri"/>
    </font>
    <font>
      <b/>
      <sz val="13.0"/>
      <color rgb="FF0070C0"/>
      <name val="Calibri"/>
    </font>
    <font>
      <sz val="12.0"/>
      <color rgb="FF000000"/>
      <name val="Calibri"/>
    </font>
    <font>
      <sz val="12.0"/>
      <name val="Calibri"/>
    </font>
    <font>
      <b/>
      <sz val="11.0"/>
      <name val="Calibri"/>
    </font>
    <font>
      <sz val="11.0"/>
      <color rgb="FF7F7F7F"/>
      <name val="Calibri"/>
    </font>
    <font>
      <b/>
      <sz val="13.0"/>
      <color rgb="FF4472C4"/>
      <name val="Calibri"/>
    </font>
    <font>
      <b/>
      <i/>
      <sz val="11.0"/>
      <color rgb="FF000000"/>
      <name val="Calibri"/>
    </font>
    <font>
      <i/>
      <sz val="11.0"/>
      <color rgb="FF000000"/>
      <name val="Calibri"/>
    </font>
    <font>
      <u/>
      <sz val="11.0"/>
      <color rgb="FF0563C1"/>
      <name val="Calibri"/>
    </font>
    <font>
      <u/>
      <sz val="11.0"/>
      <color rgb="FF0563C1"/>
      <name val="Calibri"/>
    </font>
    <font>
      <sz val="10.0"/>
      <color rgb="FF7F7F7F"/>
      <name val="Verdana"/>
    </font>
    <font>
      <b/>
      <sz val="10.0"/>
      <name val="Verdana"/>
    </font>
    <font>
      <u/>
      <sz val="11.0"/>
      <color rgb="FF0563C1"/>
      <name val="Calibri"/>
    </font>
    <font>
      <u/>
      <sz val="11.0"/>
      <color rgb="FF0563C1"/>
      <name val="Calibri"/>
    </font>
    <font>
      <b/>
      <sz val="11.0"/>
      <color rgb="FF5B9BD5"/>
      <name val="Calibri"/>
    </font>
    <font>
      <b/>
      <sz val="13.0"/>
      <color rgb="FF000000"/>
      <name val="Verdana"/>
    </font>
    <font>
      <u/>
      <sz val="11.0"/>
      <color rgb="FF0563C1"/>
      <name val="Calibri"/>
    </font>
  </fonts>
  <fills count="16">
    <fill>
      <patternFill patternType="none"/>
    </fill>
    <fill>
      <patternFill patternType="lightGray"/>
    </fill>
    <fill>
      <patternFill patternType="solid">
        <fgColor rgb="FFE2EFD9"/>
        <bgColor rgb="FFE2EFD9"/>
      </patternFill>
    </fill>
    <fill>
      <patternFill patternType="solid">
        <fgColor rgb="FFFBE4D5"/>
        <bgColor rgb="FFFBE4D5"/>
      </patternFill>
    </fill>
    <fill>
      <patternFill patternType="solid">
        <fgColor rgb="FFD9E2F3"/>
        <bgColor rgb="FFD9E2F3"/>
      </patternFill>
    </fill>
    <fill>
      <patternFill patternType="solid">
        <fgColor rgb="FFFFE598"/>
        <bgColor rgb="FFFFE598"/>
      </patternFill>
    </fill>
    <fill>
      <patternFill patternType="solid">
        <fgColor rgb="FFD8D8D8"/>
        <bgColor rgb="FFD8D8D8"/>
      </patternFill>
    </fill>
    <fill>
      <patternFill patternType="solid">
        <fgColor rgb="FFECECEC"/>
        <bgColor rgb="FFECECEC"/>
      </patternFill>
    </fill>
    <fill>
      <patternFill patternType="solid">
        <fgColor rgb="FFBDD6EE"/>
        <bgColor rgb="FFBDD6EE"/>
      </patternFill>
    </fill>
    <fill>
      <patternFill patternType="solid">
        <fgColor rgb="FFFEF2CB"/>
        <bgColor rgb="FFFEF2CB"/>
      </patternFill>
    </fill>
    <fill>
      <patternFill patternType="solid">
        <fgColor rgb="FFD0CECE"/>
        <bgColor rgb="FFD0CECE"/>
      </patternFill>
    </fill>
    <fill>
      <patternFill patternType="solid">
        <fgColor rgb="FF8EAADB"/>
        <bgColor rgb="FF8EAADB"/>
      </patternFill>
    </fill>
    <fill>
      <patternFill patternType="solid">
        <fgColor rgb="FFED7D31"/>
        <bgColor rgb="FFED7D31"/>
      </patternFill>
    </fill>
    <fill>
      <patternFill patternType="solid">
        <fgColor rgb="FFDEEAF6"/>
        <bgColor rgb="FFDEEAF6"/>
      </patternFill>
    </fill>
    <fill>
      <patternFill patternType="solid">
        <fgColor rgb="FFC5E0B3"/>
        <bgColor rgb="FFC5E0B3"/>
      </patternFill>
    </fill>
    <fill>
      <patternFill patternType="solid">
        <fgColor rgb="FFE7E6E6"/>
        <bgColor rgb="FFE7E6E6"/>
      </patternFill>
    </fill>
  </fills>
  <borders count="142">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style="medium">
        <color rgb="FF000000"/>
      </right>
    </border>
    <border>
      <left style="medium">
        <color rgb="FF000000"/>
      </left>
      <right style="medium">
        <color rgb="FF000000"/>
      </right>
      <top/>
      <bottom/>
    </border>
    <border>
      <left/>
      <right/>
      <top/>
      <bottom/>
    </border>
    <border>
      <left/>
      <right style="medium">
        <color rgb="FF000000"/>
      </right>
      <top/>
      <bottom/>
    </border>
    <border>
      <left style="medium">
        <color rgb="FF000000"/>
      </left>
      <right style="medium">
        <color rgb="FF000000"/>
      </right>
      <bottom style="medium">
        <color rgb="FF000000"/>
      </bottom>
    </border>
    <border>
      <bottom style="medium">
        <color rgb="FF000000"/>
      </bottom>
    </border>
    <border>
      <right style="medium">
        <color rgb="FF000000"/>
      </right>
      <bottom style="medium">
        <color rgb="FF000000"/>
      </bottom>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top style="medium">
        <color rgb="FF000000"/>
      </top>
      <bottom style="thin">
        <color rgb="FF000000"/>
      </bottom>
    </border>
    <border>
      <left style="medium">
        <color rgb="FF000000"/>
      </left>
      <top style="thin">
        <color rgb="FF000000"/>
      </top>
      <bottom style="double">
        <color rgb="FF000000"/>
      </bottom>
    </border>
    <border>
      <right style="medium">
        <color rgb="FF000000"/>
      </right>
      <top style="thin">
        <color rgb="FF000000"/>
      </top>
      <bottom style="double">
        <color rgb="FF000000"/>
      </bottom>
    </border>
    <border>
      <top style="thin">
        <color rgb="FF000000"/>
      </top>
      <bottom style="double">
        <color rgb="FF000000"/>
      </bottom>
    </border>
    <border>
      <left style="medium">
        <color rgb="FF000000"/>
      </left>
      <right/>
      <top/>
      <bottom/>
    </border>
    <border>
      <left style="medium">
        <color rgb="FF000000"/>
      </left>
    </border>
    <border>
      <right style="medium">
        <color rgb="FF000000"/>
      </right>
    </border>
    <border>
      <left style="medium">
        <color rgb="FF000000"/>
      </left>
      <bottom style="thin">
        <color rgb="FF000000"/>
      </bottom>
    </border>
    <border>
      <right style="medium">
        <color rgb="FF000000"/>
      </right>
      <bottom style="thin">
        <color rgb="FF000000"/>
      </bottom>
    </border>
    <border>
      <bottom style="thin">
        <color rgb="FF000000"/>
      </bottom>
    </border>
    <border>
      <left style="medium">
        <color rgb="FF000000"/>
      </left>
      <right style="thin">
        <color rgb="FF000000"/>
      </right>
      <top style="medium">
        <color rgb="FF000000"/>
      </top>
    </border>
    <border>
      <left style="medium">
        <color rgb="FF000000"/>
      </left>
      <bottom style="double">
        <color rgb="FF000000"/>
      </bottom>
    </border>
    <border>
      <right style="medium">
        <color rgb="FF000000"/>
      </right>
      <bottom style="double">
        <color rgb="FF000000"/>
      </bottom>
    </border>
    <border>
      <bottom style="double">
        <color rgb="FF000000"/>
      </bottom>
    </border>
    <border>
      <left style="medium">
        <color rgb="FF000000"/>
      </left>
      <right style="thin">
        <color rgb="FF000000"/>
      </right>
    </border>
    <border>
      <left style="medium">
        <color rgb="FF000000"/>
      </left>
      <right style="thin">
        <color rgb="FF000000"/>
      </right>
      <bottom/>
    </border>
    <border>
      <left style="medium">
        <color rgb="FF000000"/>
      </left>
      <right style="medium">
        <color rgb="FF000000"/>
      </right>
      <top style="medium">
        <color rgb="FF000000"/>
      </top>
      <bottom style="double">
        <color rgb="FF000000"/>
      </bottom>
    </border>
    <border>
      <top style="medium">
        <color rgb="FF000000"/>
      </top>
      <bottom style="double">
        <color rgb="FF000000"/>
      </bottom>
    </border>
    <border>
      <left style="medium">
        <color rgb="FF0070C0"/>
      </left>
      <top style="medium">
        <color rgb="FF0070C0"/>
      </top>
      <bottom style="double">
        <color rgb="FF000000"/>
      </bottom>
    </border>
    <border>
      <top style="medium">
        <color rgb="FF0070C0"/>
      </top>
      <bottom style="double">
        <color rgb="FF000000"/>
      </bottom>
    </border>
    <border>
      <right style="medium">
        <color rgb="FF0070C0"/>
      </right>
      <top style="medium">
        <color rgb="FF0070C0"/>
      </top>
      <bottom style="double">
        <color rgb="FF000000"/>
      </bottom>
    </border>
    <border>
      <right style="medium">
        <color rgb="FF000000"/>
      </right>
      <top style="medium">
        <color rgb="FF000000"/>
      </top>
      <bottom style="double">
        <color rgb="FF000000"/>
      </bottom>
    </border>
    <border>
      <left style="medium">
        <color rgb="FF000000"/>
      </left>
      <right style="medium">
        <color rgb="FF000000"/>
      </right>
      <bottom style="thin">
        <color rgb="FF000000"/>
      </bottom>
    </border>
    <border>
      <left/>
      <right/>
      <top/>
      <bottom style="thin">
        <color rgb="FF000000"/>
      </bottom>
    </border>
    <border>
      <left style="medium">
        <color rgb="FF0070C0"/>
      </left>
      <bottom style="thin">
        <color rgb="FF000000"/>
      </bottom>
    </border>
    <border>
      <right style="medium">
        <color rgb="FF0070C0"/>
      </right>
      <bottom style="thin">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left style="medium">
        <color rgb="FF0070C0"/>
      </left>
      <top style="thin">
        <color rgb="FF000000"/>
      </top>
      <bottom style="thin">
        <color rgb="FF000000"/>
      </bottom>
    </border>
    <border>
      <right style="medium">
        <color rgb="FF0070C0"/>
      </right>
      <top style="thin">
        <color rgb="FF000000"/>
      </top>
      <bottom style="thin">
        <color rgb="FF000000"/>
      </bottom>
    </border>
    <border>
      <left style="medium">
        <color rgb="FF000000"/>
      </left>
      <right style="thin">
        <color rgb="FF000000"/>
      </right>
      <top style="thin">
        <color rgb="FF000000"/>
      </top>
    </border>
    <border>
      <left/>
      <right style="medium">
        <color rgb="FF000000"/>
      </right>
      <top style="thin">
        <color rgb="FF000000"/>
      </top>
      <bottom/>
    </border>
    <border>
      <left/>
      <right/>
      <top style="thin">
        <color rgb="FF000000"/>
      </top>
      <bottom/>
    </border>
    <border>
      <right style="medium">
        <color rgb="FF000000"/>
      </right>
      <top style="thin">
        <color rgb="FF000000"/>
      </top>
      <bottom style="thin">
        <color rgb="FF000000"/>
      </bottom>
    </border>
    <border>
      <left style="medium">
        <color rgb="FF000000"/>
      </left>
      <right style="medium">
        <color rgb="FF000000"/>
      </right>
      <top style="thin">
        <color rgb="FF000000"/>
      </top>
      <bottom/>
    </border>
    <border>
      <left style="medium">
        <color rgb="FF0070C0"/>
      </left>
      <right/>
      <top style="thin">
        <color rgb="FF000000"/>
      </top>
      <bottom/>
    </border>
    <border>
      <left/>
      <right style="medium">
        <color rgb="FF0070C0"/>
      </right>
      <top style="thin">
        <color rgb="FF000000"/>
      </top>
      <bottom/>
    </border>
    <border>
      <left style="medium">
        <color rgb="FF000000"/>
      </left>
      <right style="medium">
        <color rgb="FF000000"/>
      </right>
      <top style="thin">
        <color rgb="FF000000"/>
      </top>
      <bottom style="double">
        <color rgb="FF000000"/>
      </bottom>
    </border>
    <border>
      <left style="medium">
        <color rgb="FF0070C0"/>
      </left>
      <top style="thin">
        <color rgb="FF000000"/>
      </top>
      <bottom style="double">
        <color rgb="FF000000"/>
      </bottom>
    </border>
    <border>
      <right style="medium">
        <color rgb="FF0070C0"/>
      </right>
      <top style="thin">
        <color rgb="FF000000"/>
      </top>
      <bottom style="double">
        <color rgb="FF000000"/>
      </bottom>
    </border>
    <border>
      <left style="medium">
        <color rgb="FF0070C0"/>
      </left>
      <right/>
      <top/>
      <bottom/>
    </border>
    <border>
      <left/>
      <right style="medium">
        <color rgb="FF0070C0"/>
      </right>
      <top/>
      <bottom/>
    </border>
    <border>
      <left style="medium">
        <color rgb="FF0070C0"/>
      </left>
    </border>
    <border>
      <left style="medium">
        <color rgb="FF000000"/>
      </left>
      <bottom style="medium">
        <color rgb="FF000000"/>
      </bottom>
    </border>
    <border>
      <right style="medium">
        <color rgb="FF0070C0"/>
      </right>
    </border>
    <border>
      <left style="medium">
        <color rgb="FF0070C0"/>
      </left>
      <bottom style="medium">
        <color rgb="FF0070C0"/>
      </bottom>
    </border>
    <border>
      <bottom style="medium">
        <color rgb="FF0070C0"/>
      </bottom>
    </border>
    <border>
      <right style="medium">
        <color rgb="FF0070C0"/>
      </right>
      <bottom style="medium">
        <color rgb="FF0070C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medium">
        <color rgb="FF000000"/>
      </left>
      <right style="thin">
        <color rgb="FF000000"/>
      </right>
      <bottom style="thin">
        <color rgb="FF000000"/>
      </bottom>
    </border>
    <border>
      <left style="medium">
        <color rgb="FF000000"/>
      </left>
      <right style="thin">
        <color rgb="FF000000"/>
      </right>
      <top/>
    </border>
    <border>
      <left/>
      <right/>
      <top style="thin">
        <color rgb="FF000000"/>
      </top>
      <bottom style="thin">
        <color rgb="FF000000"/>
      </bottom>
    </border>
    <border>
      <left style="medium">
        <color rgb="FF000000"/>
      </left>
      <right style="thin">
        <color rgb="FF000000"/>
      </right>
      <bottom style="medium">
        <color rgb="FF000000"/>
      </bottom>
    </border>
    <border>
      <left style="medium">
        <color rgb="FF000000"/>
      </left>
      <top style="medium">
        <color rgb="FF000000"/>
      </top>
      <bottom style="double">
        <color rgb="FF000000"/>
      </bottom>
    </border>
    <border>
      <left style="medium">
        <color rgb="FF000000"/>
      </left>
      <top style="thin">
        <color rgb="FF000000"/>
      </top>
      <bottom style="thin">
        <color rgb="FF000000"/>
      </bottom>
    </border>
    <border>
      <left style="medium">
        <color rgb="FF0070C0"/>
      </left>
      <right/>
      <top/>
      <bottom style="thin">
        <color rgb="FF000000"/>
      </bottom>
    </border>
    <border>
      <left/>
      <right style="medium">
        <color rgb="FF0070C0"/>
      </right>
      <top/>
      <bottom style="thin">
        <color rgb="FF000000"/>
      </bottom>
    </border>
    <border>
      <left style="medium">
        <color rgb="FF000000"/>
      </left>
      <right style="medium">
        <color rgb="FF000000"/>
      </right>
      <top style="thin">
        <color rgb="FF000000"/>
      </top>
    </border>
    <border>
      <top style="thin">
        <color rgb="FF000000"/>
      </top>
    </border>
    <border>
      <left style="medium">
        <color rgb="FF0070C0"/>
      </left>
      <right/>
      <top style="double">
        <color rgb="FF000000"/>
      </top>
      <bottom/>
    </border>
    <border>
      <left/>
      <right/>
      <top style="double">
        <color rgb="FF000000"/>
      </top>
      <bottom/>
    </border>
    <border>
      <left/>
      <right style="medium">
        <color rgb="FF0070C0"/>
      </right>
      <top style="double">
        <color rgb="FF000000"/>
      </top>
      <bottom/>
    </border>
    <border>
      <left/>
      <right/>
      <top/>
      <bottom style="double">
        <color rgb="FF000000"/>
      </bottom>
    </border>
    <border>
      <left/>
      <right style="medium">
        <color rgb="FF000000"/>
      </right>
      <top/>
      <bottom style="double">
        <color rgb="FF000000"/>
      </bottom>
    </border>
    <border>
      <top style="double">
        <color rgb="FF000000"/>
      </top>
      <bottom style="thin">
        <color rgb="FF000000"/>
      </bottom>
    </border>
    <border>
      <left/>
      <right/>
      <top style="double">
        <color rgb="FF000000"/>
      </top>
      <bottom style="thin">
        <color rgb="FF000000"/>
      </bottom>
    </border>
    <border>
      <left style="medium">
        <color rgb="FF0070C0"/>
      </left>
      <top style="double">
        <color rgb="FF000000"/>
      </top>
      <bottom style="thin">
        <color rgb="FF000000"/>
      </bottom>
    </border>
    <border>
      <right style="medium">
        <color rgb="FF0070C0"/>
      </right>
      <top style="double">
        <color rgb="FF000000"/>
      </top>
      <bottom style="thin">
        <color rgb="FF000000"/>
      </bottom>
    </border>
    <border>
      <left style="medium">
        <color rgb="FF000000"/>
      </left>
      <top style="double">
        <color rgb="FF000000"/>
      </top>
      <bottom style="thin">
        <color rgb="FF000000"/>
      </bottom>
    </border>
    <border>
      <left style="medium">
        <color rgb="FF0070C0"/>
      </left>
      <right/>
      <top style="double">
        <color rgb="FF000000"/>
      </top>
      <bottom style="thin">
        <color rgb="FF000000"/>
      </bottom>
    </border>
    <border>
      <left style="thin">
        <color rgb="FF9CC2E5"/>
      </left>
      <right style="thin">
        <color rgb="FF9CC2E5"/>
      </right>
      <top style="thin">
        <color rgb="FF9CC2E5"/>
      </top>
    </border>
    <border>
      <left style="medium">
        <color rgb="FF000000"/>
      </left>
      <right style="thin">
        <color rgb="FF9CC2E5"/>
      </right>
      <top style="medium">
        <color rgb="FF000000"/>
      </top>
      <bottom style="medium">
        <color rgb="FF000000"/>
      </bottom>
    </border>
    <border>
      <left style="thin">
        <color rgb="FF9CC2E5"/>
      </left>
      <right style="thin">
        <color rgb="FF9CC2E5"/>
      </right>
      <top style="medium">
        <color rgb="FF000000"/>
      </top>
      <bottom style="medium">
        <color rgb="FF000000"/>
      </bottom>
    </border>
    <border>
      <left style="thin">
        <color rgb="FF9CC2E5"/>
      </left>
      <right style="medium">
        <color rgb="FF000000"/>
      </right>
      <top style="medium">
        <color rgb="FF000000"/>
      </top>
      <bottom style="medium">
        <color rgb="FF000000"/>
      </bottom>
    </border>
    <border>
      <left style="medium">
        <color rgb="FF000000"/>
      </left>
      <right style="thin">
        <color rgb="FF9CC2E5"/>
      </right>
      <bottom style="thin">
        <color rgb="FF9CC2E5"/>
      </bottom>
    </border>
    <border>
      <left style="thin">
        <color rgb="FF9CC2E5"/>
      </left>
      <right style="thin">
        <color rgb="FF9CC2E5"/>
      </right>
      <bottom style="thin">
        <color rgb="FF9CC2E5"/>
      </bottom>
    </border>
    <border>
      <left style="thin">
        <color rgb="FF9CC2E5"/>
      </left>
      <right style="medium">
        <color rgb="FF000000"/>
      </right>
      <bottom style="thin">
        <color rgb="FF9CC2E5"/>
      </bottom>
    </border>
    <border>
      <left style="medium">
        <color rgb="FF000000"/>
      </left>
      <right style="thin">
        <color rgb="FF9CC2E5"/>
      </right>
      <top style="thin">
        <color rgb="FF9CC2E5"/>
      </top>
      <bottom style="thin">
        <color rgb="FF9CC2E5"/>
      </bottom>
    </border>
    <border>
      <left style="thin">
        <color rgb="FF9CC2E5"/>
      </left>
      <right style="thin">
        <color rgb="FF9CC2E5"/>
      </right>
      <top style="thin">
        <color rgb="FF9CC2E5"/>
      </top>
      <bottom style="thin">
        <color rgb="FF9CC2E5"/>
      </bottom>
    </border>
    <border>
      <left style="thin">
        <color rgb="FF9CC2E5"/>
      </left>
      <right style="medium">
        <color rgb="FF000000"/>
      </right>
      <top style="thin">
        <color rgb="FF9CC2E5"/>
      </top>
      <bottom style="thin">
        <color rgb="FF9CC2E5"/>
      </bottom>
    </border>
    <border>
      <left style="medium">
        <color rgb="FF000000"/>
      </left>
      <top/>
      <bottom/>
    </border>
    <border>
      <right style="medium">
        <color rgb="FF000000"/>
      </right>
      <top/>
      <bottom/>
    </border>
    <border>
      <left style="medium">
        <color rgb="FF000000"/>
      </left>
      <top style="double">
        <color rgb="FF000000"/>
      </top>
      <bottom/>
    </border>
    <border>
      <right style="medium">
        <color rgb="FF000000"/>
      </right>
      <top style="double">
        <color rgb="FF000000"/>
      </top>
      <bottom/>
    </border>
    <border>
      <left style="medium">
        <color rgb="FF000000"/>
      </left>
      <right style="thin">
        <color rgb="FF9CC2E5"/>
      </right>
      <top style="thin">
        <color rgb="FF9CC2E5"/>
      </top>
      <bottom style="medium">
        <color rgb="FF000000"/>
      </bottom>
    </border>
    <border>
      <left style="thin">
        <color rgb="FF9CC2E5"/>
      </left>
      <right style="thin">
        <color rgb="FF9CC2E5"/>
      </right>
      <top style="thin">
        <color rgb="FF9CC2E5"/>
      </top>
      <bottom style="medium">
        <color rgb="FF000000"/>
      </bottom>
    </border>
    <border>
      <left style="thin">
        <color rgb="FF9CC2E5"/>
      </left>
      <right style="medium">
        <color rgb="FF000000"/>
      </right>
      <top style="thin">
        <color rgb="FF9CC2E5"/>
      </top>
      <bottom style="medium">
        <color rgb="FF000000"/>
      </bottom>
    </border>
    <border>
      <right style="thin">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top style="medium">
        <color rgb="FF000000"/>
      </top>
    </border>
    <border>
      <right style="medium">
        <color rgb="FF000000"/>
      </right>
      <top style="medium">
        <color rgb="FF000000"/>
      </top>
    </border>
    <border>
      <left style="medium">
        <color rgb="FF000000"/>
      </left>
      <right style="medium">
        <color rgb="FF000000"/>
      </right>
      <top style="medium">
        <color rgb="FF000000"/>
      </top>
      <bottom style="thin">
        <color rgb="FF000000"/>
      </bottom>
    </border>
    <border>
      <top style="medium">
        <color rgb="FF000000"/>
      </top>
    </border>
    <border>
      <left style="medium">
        <color rgb="FF000000"/>
      </left>
      <top style="thin">
        <color rgb="FF000000"/>
      </top>
      <bottom/>
    </border>
    <border>
      <right style="medium">
        <color rgb="FF000000"/>
      </right>
      <top style="thin">
        <color rgb="FF000000"/>
      </top>
      <bottom/>
    </border>
    <border>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right style="thin">
        <color rgb="FF000000"/>
      </right>
      <top style="thin">
        <color rgb="FF000000"/>
      </top>
      <bottom style="thin">
        <color rgb="FF000000"/>
      </bottom>
    </border>
    <border>
      <left/>
      <right style="thin">
        <color rgb="FF000000"/>
      </right>
      <top style="thin">
        <color rgb="FF000000"/>
      </top>
      <bottom style="medium">
        <color rgb="FF000000"/>
      </bottom>
    </border>
    <border>
      <left style="medium">
        <color rgb="FF000000"/>
      </left>
      <right style="medium">
        <color rgb="FF000000"/>
      </right>
      <top style="medium">
        <color rgb="FF000000"/>
      </top>
      <bottom style="medium">
        <color rgb="FF000000"/>
      </bottom>
    </border>
    <border>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top style="thin">
        <color rgb="FF000000"/>
      </top>
    </border>
    <border>
      <right style="medium">
        <color rgb="FF000000"/>
      </right>
      <top style="thin">
        <color rgb="FF000000"/>
      </top>
    </border>
    <border>
      <left style="medium">
        <color rgb="FF000000"/>
      </left>
      <right style="thin">
        <color rgb="FF000000"/>
      </right>
      <top style="medium">
        <color rgb="FF000000"/>
      </top>
      <bottom style="thin">
        <color rgb="FF000000"/>
      </bottom>
    </border>
    <border>
      <left style="medium">
        <color rgb="FF000000"/>
      </left>
      <right/>
      <top style="thin">
        <color rgb="FF000000"/>
      </top>
      <bottom/>
    </border>
    <border>
      <left style="medium">
        <color rgb="FF000000"/>
      </left>
      <right style="thin">
        <color rgb="FF000000"/>
      </right>
      <top style="thin">
        <color rgb="FF000000"/>
      </top>
      <bottom style="thin">
        <color rgb="FF000000"/>
      </bottom>
    </border>
    <border>
      <right style="thin">
        <color rgb="FF000000"/>
      </right>
      <bottom style="medium">
        <color rgb="FF000000"/>
      </bottom>
    </border>
    <border>
      <left style="medium">
        <color rgb="FF000000"/>
      </left>
      <right style="thin">
        <color rgb="FF000000"/>
      </right>
      <top style="thin">
        <color rgb="FF000000"/>
      </top>
      <bottom style="medium">
        <color rgb="FF000000"/>
      </bottom>
    </border>
    <border>
      <left/>
      <top/>
      <bottom/>
    </border>
    <border>
      <top/>
      <bottom/>
    </border>
    <border>
      <right/>
      <top/>
      <bottom/>
    </border>
  </borders>
  <cellStyleXfs count="1">
    <xf borderId="0" fillId="0" fontId="0" numFmtId="0" applyAlignment="1" applyFont="1"/>
  </cellStyleXfs>
  <cellXfs count="521">
    <xf borderId="0" fillId="0" fontId="0" numFmtId="0" xfId="0" applyAlignment="1" applyFont="1">
      <alignment readingOrder="0" shrinkToFit="0" vertical="bottom" wrapText="0"/>
    </xf>
    <xf borderId="1" fillId="0" fontId="1" numFmtId="0" xfId="0" applyAlignment="1" applyBorder="1" applyFont="1">
      <alignment horizontal="center"/>
    </xf>
    <xf borderId="2" fillId="0" fontId="1" numFmtId="0" xfId="0" applyAlignment="1" applyBorder="1" applyFont="1">
      <alignment horizontal="center"/>
    </xf>
    <xf borderId="3" fillId="0" fontId="1" numFmtId="0" xfId="0" applyAlignment="1" applyBorder="1" applyFont="1">
      <alignment horizontal="center"/>
    </xf>
    <xf borderId="4" fillId="0" fontId="0" numFmtId="0" xfId="0" applyAlignment="1" applyBorder="1" applyFont="1">
      <alignment horizontal="center" shrinkToFit="0" textRotation="90" vertical="center" wrapText="1"/>
    </xf>
    <xf borderId="5" fillId="2" fontId="0" numFmtId="0" xfId="0" applyAlignment="1" applyBorder="1" applyFill="1" applyFont="1">
      <alignment horizontal="center" vertical="center"/>
    </xf>
    <xf borderId="6" fillId="2" fontId="0" numFmtId="3" xfId="0" applyAlignment="1" applyBorder="1" applyFont="1" applyNumberFormat="1">
      <alignment horizontal="center" vertical="center"/>
    </xf>
    <xf borderId="6" fillId="2" fontId="0" numFmtId="3" xfId="0" applyAlignment="1" applyBorder="1" applyFont="1" applyNumberFormat="1">
      <alignment horizontal="right" vertical="center"/>
    </xf>
    <xf borderId="7" fillId="2" fontId="0" numFmtId="3" xfId="0" applyAlignment="1" applyBorder="1" applyFont="1" applyNumberFormat="1">
      <alignment horizontal="right" vertical="center"/>
    </xf>
    <xf borderId="8" fillId="0" fontId="2" numFmtId="0" xfId="0" applyBorder="1" applyFont="1"/>
    <xf borderId="9" fillId="3" fontId="0" numFmtId="0" xfId="0" applyAlignment="1" applyBorder="1" applyFill="1" applyFont="1">
      <alignment horizontal="center" vertical="center"/>
    </xf>
    <xf borderId="10" fillId="3" fontId="0" numFmtId="3" xfId="0" applyAlignment="1" applyBorder="1" applyFont="1" applyNumberFormat="1">
      <alignment horizontal="center" vertical="center"/>
    </xf>
    <xf borderId="10" fillId="3" fontId="0" numFmtId="3" xfId="0" applyAlignment="1" applyBorder="1" applyFont="1" applyNumberFormat="1">
      <alignment horizontal="right" vertical="center"/>
    </xf>
    <xf borderId="11" fillId="3" fontId="0" numFmtId="3" xfId="0" applyAlignment="1" applyBorder="1" applyFont="1" applyNumberFormat="1">
      <alignment horizontal="right" vertical="center"/>
    </xf>
    <xf borderId="9" fillId="4" fontId="0" numFmtId="0" xfId="0" applyAlignment="1" applyBorder="1" applyFill="1" applyFont="1">
      <alignment horizontal="center" vertical="center"/>
    </xf>
    <xf borderId="10" fillId="4" fontId="0" numFmtId="3" xfId="0" applyAlignment="1" applyBorder="1" applyFont="1" applyNumberFormat="1">
      <alignment horizontal="center" vertical="center"/>
    </xf>
    <xf borderId="10" fillId="4" fontId="0" numFmtId="3" xfId="0" applyAlignment="1" applyBorder="1" applyFont="1" applyNumberFormat="1">
      <alignment horizontal="right" vertical="center"/>
    </xf>
    <xf borderId="11" fillId="4" fontId="0" numFmtId="3" xfId="0" applyAlignment="1" applyBorder="1" applyFont="1" applyNumberFormat="1">
      <alignment horizontal="right" vertical="center"/>
    </xf>
    <xf borderId="12" fillId="0" fontId="2" numFmtId="0" xfId="0" applyBorder="1" applyFont="1"/>
    <xf borderId="12" fillId="0" fontId="0" numFmtId="0" xfId="0" applyAlignment="1" applyBorder="1" applyFont="1">
      <alignment horizontal="center" vertical="center"/>
    </xf>
    <xf borderId="13" fillId="0" fontId="0" numFmtId="0" xfId="0" applyAlignment="1" applyBorder="1" applyFont="1">
      <alignment horizontal="center" vertical="center"/>
    </xf>
    <xf borderId="13" fillId="0" fontId="0" numFmtId="2" xfId="0" applyAlignment="1" applyBorder="1" applyFont="1" applyNumberFormat="1">
      <alignment horizontal="center" vertical="center"/>
    </xf>
    <xf borderId="14" fillId="0" fontId="0" numFmtId="2" xfId="0" applyAlignment="1" applyBorder="1" applyFont="1" applyNumberFormat="1">
      <alignment horizontal="center" vertical="center"/>
    </xf>
    <xf borderId="0" fillId="0" fontId="3" numFmtId="0" xfId="0" applyFont="1"/>
    <xf borderId="0" fillId="0" fontId="4" numFmtId="0" xfId="0" applyFont="1"/>
    <xf borderId="0" fillId="0" fontId="3" numFmtId="0" xfId="0" applyAlignment="1" applyFont="1">
      <alignment horizontal="right"/>
    </xf>
    <xf quotePrefix="1" borderId="0" fillId="0" fontId="4" numFmtId="0" xfId="0" applyFont="1"/>
    <xf borderId="10" fillId="5" fontId="4" numFmtId="0" xfId="0" applyBorder="1" applyFill="1" applyFont="1"/>
    <xf borderId="0" fillId="0" fontId="3" numFmtId="0" xfId="0" applyAlignment="1" applyFont="1">
      <alignment vertical="center"/>
    </xf>
    <xf borderId="0" fillId="0" fontId="4" numFmtId="0" xfId="0" applyAlignment="1" applyFont="1">
      <alignment horizontal="center" vertical="center"/>
    </xf>
    <xf borderId="1" fillId="6" fontId="3" numFmtId="0" xfId="0" applyAlignment="1" applyBorder="1" applyFill="1" applyFont="1">
      <alignment horizontal="left" vertical="center"/>
    </xf>
    <xf borderId="2" fillId="0" fontId="2" numFmtId="0" xfId="0" applyBorder="1" applyFont="1"/>
    <xf borderId="3" fillId="0" fontId="2" numFmtId="0" xfId="0" applyBorder="1" applyFont="1"/>
    <xf borderId="15" fillId="0" fontId="4" numFmtId="0" xfId="0" applyAlignment="1" applyBorder="1" applyFont="1">
      <alignment horizontal="right"/>
    </xf>
    <xf borderId="16" fillId="0" fontId="2" numFmtId="0" xfId="0" applyBorder="1" applyFont="1"/>
    <xf borderId="17" fillId="0" fontId="4" numFmtId="0" xfId="0" applyAlignment="1" applyBorder="1" applyFont="1">
      <alignment horizontal="center"/>
    </xf>
    <xf borderId="16" fillId="0" fontId="4" numFmtId="0" xfId="0" applyAlignment="1" applyBorder="1" applyFont="1">
      <alignment horizontal="center"/>
    </xf>
    <xf borderId="18" fillId="0" fontId="5" numFmtId="0" xfId="0" applyAlignment="1" applyBorder="1" applyFont="1">
      <alignment horizontal="right"/>
    </xf>
    <xf borderId="19" fillId="0" fontId="2" numFmtId="0" xfId="0" applyBorder="1" applyFont="1"/>
    <xf borderId="20" fillId="0" fontId="5" numFmtId="0" xfId="0" applyAlignment="1" applyBorder="1" applyFont="1">
      <alignment horizontal="center"/>
    </xf>
    <xf borderId="19" fillId="0" fontId="5" numFmtId="0" xfId="0" applyAlignment="1" applyBorder="1" applyFont="1">
      <alignment horizontal="center"/>
    </xf>
    <xf borderId="21" fillId="7" fontId="6" numFmtId="0" xfId="0" applyBorder="1" applyFill="1" applyFont="1"/>
    <xf borderId="11" fillId="7" fontId="6" numFmtId="0" xfId="0" applyBorder="1" applyFont="1"/>
    <xf borderId="10" fillId="7" fontId="3" numFmtId="164" xfId="0" applyBorder="1" applyFont="1" applyNumberFormat="1"/>
    <xf borderId="10" fillId="7" fontId="4" numFmtId="0" xfId="0" applyBorder="1" applyFont="1"/>
    <xf borderId="11" fillId="7" fontId="4" numFmtId="0" xfId="0" applyBorder="1" applyFont="1"/>
    <xf borderId="22" fillId="0" fontId="4" numFmtId="0" xfId="0" applyAlignment="1" applyBorder="1" applyFont="1">
      <alignment horizontal="right"/>
    </xf>
    <xf borderId="23" fillId="0" fontId="2" numFmtId="0" xfId="0" applyBorder="1" applyFont="1"/>
    <xf borderId="0" fillId="0" fontId="3" numFmtId="164" xfId="0" applyFont="1" applyNumberFormat="1"/>
    <xf borderId="0" fillId="0" fontId="4" numFmtId="0" xfId="0" applyAlignment="1" applyFont="1">
      <alignment horizontal="center"/>
    </xf>
    <xf borderId="0" fillId="0" fontId="3" numFmtId="164" xfId="0" applyAlignment="1" applyFont="1" applyNumberFormat="1">
      <alignment horizontal="center"/>
    </xf>
    <xf borderId="23" fillId="0" fontId="4" numFmtId="0" xfId="0" applyAlignment="1" applyBorder="1" applyFont="1">
      <alignment horizontal="center"/>
    </xf>
    <xf borderId="24" fillId="0" fontId="4" numFmtId="0" xfId="0" applyAlignment="1" applyBorder="1" applyFont="1">
      <alignment horizontal="right"/>
    </xf>
    <xf borderId="25" fillId="0" fontId="2" numFmtId="0" xfId="0" applyBorder="1" applyFont="1"/>
    <xf borderId="26" fillId="0" fontId="3" numFmtId="164" xfId="0" applyBorder="1" applyFont="1" applyNumberFormat="1"/>
    <xf borderId="26" fillId="0" fontId="4" numFmtId="0" xfId="0" applyAlignment="1" applyBorder="1" applyFont="1">
      <alignment horizontal="center"/>
    </xf>
    <xf borderId="26" fillId="0" fontId="3" numFmtId="164" xfId="0" applyAlignment="1" applyBorder="1" applyFont="1" applyNumberFormat="1">
      <alignment horizontal="center"/>
    </xf>
    <xf borderId="0" fillId="0" fontId="7" numFmtId="0" xfId="0" applyFont="1"/>
    <xf borderId="25" fillId="0" fontId="4" numFmtId="0" xfId="0" applyAlignment="1" applyBorder="1" applyFont="1">
      <alignment horizontal="center"/>
    </xf>
    <xf borderId="21" fillId="8" fontId="6" numFmtId="0" xfId="0" applyBorder="1" applyFill="1" applyFont="1"/>
    <xf borderId="11" fillId="8" fontId="6" numFmtId="0" xfId="0" applyBorder="1" applyFont="1"/>
    <xf borderId="1" fillId="0" fontId="3" numFmtId="0" xfId="0" applyAlignment="1" applyBorder="1" applyFont="1">
      <alignment horizontal="center"/>
    </xf>
    <xf borderId="2" fillId="0" fontId="4" numFmtId="0" xfId="0" applyAlignment="1" applyBorder="1" applyFont="1">
      <alignment horizontal="center" vertical="center"/>
    </xf>
    <xf borderId="10" fillId="8" fontId="3" numFmtId="164" xfId="0" applyBorder="1" applyFont="1" applyNumberFormat="1"/>
    <xf borderId="3" fillId="0" fontId="4" numFmtId="0" xfId="0" applyAlignment="1" applyBorder="1" applyFont="1">
      <alignment horizontal="center" vertical="center"/>
    </xf>
    <xf borderId="10" fillId="8" fontId="4" numFmtId="0" xfId="0" applyAlignment="1" applyBorder="1" applyFont="1">
      <alignment horizontal="center"/>
    </xf>
    <xf borderId="4" fillId="0" fontId="4" numFmtId="0" xfId="0" applyAlignment="1" applyBorder="1" applyFont="1">
      <alignment horizontal="center" textRotation="90" vertical="center"/>
    </xf>
    <xf borderId="10" fillId="8" fontId="3" numFmtId="164" xfId="0" applyAlignment="1" applyBorder="1" applyFont="1" applyNumberFormat="1">
      <alignment horizontal="center"/>
    </xf>
    <xf borderId="27" fillId="9" fontId="4" numFmtId="0" xfId="0" applyAlignment="1" applyBorder="1" applyFill="1" applyFont="1">
      <alignment horizontal="center" shrinkToFit="0" vertical="center" wrapText="1"/>
    </xf>
    <xf borderId="11" fillId="8" fontId="4" numFmtId="0" xfId="0" applyAlignment="1" applyBorder="1" applyFont="1">
      <alignment horizontal="center"/>
    </xf>
    <xf borderId="7" fillId="9" fontId="4" numFmtId="0" xfId="0" applyAlignment="1" applyBorder="1" applyFont="1">
      <alignment horizontal="center"/>
    </xf>
    <xf borderId="0" fillId="0" fontId="4" numFmtId="164" xfId="0" applyAlignment="1" applyFont="1" applyNumberFormat="1">
      <alignment horizontal="center"/>
    </xf>
    <xf borderId="0" fillId="0" fontId="4" numFmtId="9" xfId="0" applyAlignment="1" applyFont="1" applyNumberFormat="1">
      <alignment horizontal="center"/>
    </xf>
    <xf borderId="6" fillId="9" fontId="4" numFmtId="3" xfId="0" applyAlignment="1" applyBorder="1" applyFont="1" applyNumberFormat="1">
      <alignment horizontal="center" vertical="center"/>
    </xf>
    <xf borderId="28" fillId="0" fontId="4" numFmtId="0" xfId="0" applyAlignment="1" applyBorder="1" applyFont="1">
      <alignment horizontal="right"/>
    </xf>
    <xf borderId="29" fillId="0" fontId="2" numFmtId="0" xfId="0" applyBorder="1" applyFont="1"/>
    <xf borderId="30" fillId="0" fontId="3" numFmtId="164" xfId="0" applyBorder="1" applyFont="1" applyNumberFormat="1"/>
    <xf borderId="30" fillId="0" fontId="4" numFmtId="0" xfId="0" applyAlignment="1" applyBorder="1" applyFont="1">
      <alignment horizontal="center"/>
    </xf>
    <xf borderId="30" fillId="0" fontId="3" numFmtId="164" xfId="0" applyAlignment="1" applyBorder="1" applyFont="1" applyNumberFormat="1">
      <alignment horizontal="center"/>
    </xf>
    <xf borderId="30" fillId="0" fontId="4" numFmtId="164" xfId="0" applyAlignment="1" applyBorder="1" applyFont="1" applyNumberFormat="1">
      <alignment horizontal="center"/>
    </xf>
    <xf borderId="30" fillId="0" fontId="4" numFmtId="9" xfId="0" applyAlignment="1" applyBorder="1" applyFont="1" applyNumberFormat="1">
      <alignment horizontal="center"/>
    </xf>
    <xf borderId="29" fillId="0" fontId="4" numFmtId="0" xfId="0" applyAlignment="1" applyBorder="1" applyFont="1">
      <alignment horizontal="center"/>
    </xf>
    <xf borderId="10" fillId="7" fontId="4" numFmtId="164" xfId="0" applyBorder="1" applyFont="1" applyNumberFormat="1"/>
    <xf borderId="11" fillId="7" fontId="4" numFmtId="164" xfId="0" applyBorder="1" applyFont="1" applyNumberFormat="1"/>
    <xf borderId="0" fillId="0" fontId="4" numFmtId="164" xfId="0" applyFont="1" applyNumberFormat="1"/>
    <xf borderId="7" fillId="9" fontId="4" numFmtId="3" xfId="0" applyAlignment="1" applyBorder="1" applyFont="1" applyNumberFormat="1">
      <alignment horizontal="center" vertical="center"/>
    </xf>
    <xf borderId="31" fillId="0" fontId="2" numFmtId="0" xfId="0" applyBorder="1" applyFont="1"/>
    <xf borderId="0" fillId="0" fontId="4" numFmtId="3" xfId="0" applyAlignment="1" applyFont="1" applyNumberFormat="1">
      <alignment horizontal="center" vertical="center"/>
    </xf>
    <xf borderId="23" fillId="0" fontId="4" numFmtId="164" xfId="0" applyBorder="1" applyFont="1" applyNumberFormat="1"/>
    <xf borderId="0" fillId="0" fontId="8" numFmtId="0" xfId="0" applyFont="1"/>
    <xf borderId="23" fillId="0" fontId="4" numFmtId="3" xfId="0" applyAlignment="1" applyBorder="1" applyFont="1" applyNumberFormat="1">
      <alignment horizontal="center" vertical="center"/>
    </xf>
    <xf borderId="1" fillId="10" fontId="9" numFmtId="0" xfId="0" applyAlignment="1" applyBorder="1" applyFill="1" applyFont="1">
      <alignment horizontal="left"/>
    </xf>
    <xf borderId="32" fillId="0" fontId="2" numFmtId="0" xfId="0" applyBorder="1" applyFont="1"/>
    <xf borderId="33" fillId="0" fontId="8" numFmtId="0" xfId="0" applyBorder="1" applyFont="1"/>
    <xf borderId="34" fillId="0" fontId="8" numFmtId="0" xfId="0" applyAlignment="1" applyBorder="1" applyFont="1">
      <alignment horizontal="center"/>
    </xf>
    <xf borderId="35" fillId="0" fontId="8" numFmtId="0" xfId="0" applyAlignment="1" applyBorder="1" applyFont="1">
      <alignment horizontal="center"/>
    </xf>
    <xf borderId="36" fillId="0" fontId="8" numFmtId="0" xfId="0" applyAlignment="1" applyBorder="1" applyFont="1">
      <alignment horizontal="center"/>
    </xf>
    <xf borderId="37" fillId="0" fontId="8" numFmtId="0" xfId="0" applyAlignment="1" applyBorder="1" applyFont="1">
      <alignment horizontal="center"/>
    </xf>
    <xf borderId="26" fillId="0" fontId="4" numFmtId="164" xfId="0" applyBorder="1" applyFont="1" applyNumberFormat="1"/>
    <xf borderId="38" fillId="0" fontId="8" numFmtId="0" xfId="0" applyAlignment="1" applyBorder="1" applyFont="1">
      <alignment horizontal="center"/>
    </xf>
    <xf borderId="39" fillId="0" fontId="8" numFmtId="0" xfId="0" applyAlignment="1" applyBorder="1" applyFont="1">
      <alignment horizontal="right"/>
    </xf>
    <xf borderId="26" fillId="0" fontId="10" numFmtId="0" xfId="0" applyAlignment="1" applyBorder="1" applyFont="1">
      <alignment horizontal="center" vertical="center"/>
    </xf>
    <xf borderId="40" fillId="11" fontId="10" numFmtId="0" xfId="0" applyAlignment="1" applyBorder="1" applyFill="1" applyFont="1">
      <alignment horizontal="center" vertical="center"/>
    </xf>
    <xf borderId="41" fillId="0" fontId="10" numFmtId="0" xfId="0" applyAlignment="1" applyBorder="1" applyFont="1">
      <alignment horizontal="center" vertical="center"/>
    </xf>
    <xf borderId="40" fillId="12" fontId="10" numFmtId="0" xfId="0" applyAlignment="1" applyBorder="1" applyFill="1" applyFont="1">
      <alignment horizontal="center" vertical="center"/>
    </xf>
    <xf borderId="42" fillId="0" fontId="10" numFmtId="0" xfId="0" applyAlignment="1" applyBorder="1" applyFont="1">
      <alignment horizontal="center" vertical="center"/>
    </xf>
    <xf borderId="25" fillId="0" fontId="10" numFmtId="0" xfId="0" applyAlignment="1" applyBorder="1" applyFont="1">
      <alignment horizontal="center" vertical="center"/>
    </xf>
    <xf borderId="43" fillId="0" fontId="8" numFmtId="0" xfId="0" applyAlignment="1" applyBorder="1" applyFont="1">
      <alignment horizontal="right"/>
    </xf>
    <xf borderId="44" fillId="0" fontId="8" numFmtId="0" xfId="0" applyAlignment="1" applyBorder="1" applyFont="1">
      <alignment horizontal="center"/>
    </xf>
    <xf borderId="45" fillId="0" fontId="8" numFmtId="0" xfId="0" applyAlignment="1" applyBorder="1" applyFont="1">
      <alignment horizontal="center"/>
    </xf>
    <xf borderId="46" fillId="0" fontId="8" numFmtId="0" xfId="0" applyAlignment="1" applyBorder="1" applyFont="1">
      <alignment horizontal="center"/>
    </xf>
    <xf borderId="47" fillId="13" fontId="4" numFmtId="0" xfId="0" applyAlignment="1" applyBorder="1" applyFill="1" applyFont="1">
      <alignment horizontal="center" shrinkToFit="0" vertical="center" wrapText="1"/>
    </xf>
    <xf borderId="48" fillId="13" fontId="4" numFmtId="0" xfId="0" applyAlignment="1" applyBorder="1" applyFont="1">
      <alignment horizontal="center"/>
    </xf>
    <xf borderId="25" fillId="0" fontId="4" numFmtId="164" xfId="0" applyBorder="1" applyFont="1" applyNumberFormat="1"/>
    <xf borderId="49" fillId="13" fontId="4" numFmtId="3" xfId="0" applyAlignment="1" applyBorder="1" applyFont="1" applyNumberFormat="1">
      <alignment horizontal="center" vertical="center"/>
    </xf>
    <xf borderId="10" fillId="8" fontId="4" numFmtId="164" xfId="0" applyBorder="1" applyFont="1" applyNumberFormat="1"/>
    <xf borderId="50" fillId="0" fontId="8" numFmtId="0" xfId="0" applyAlignment="1" applyBorder="1" applyFont="1">
      <alignment horizontal="center"/>
    </xf>
    <xf borderId="51" fillId="9" fontId="8" numFmtId="0" xfId="0" applyBorder="1" applyFont="1"/>
    <xf borderId="49" fillId="9" fontId="8" numFmtId="0" xfId="0" applyBorder="1" applyFont="1"/>
    <xf borderId="52" fillId="9" fontId="8" numFmtId="0" xfId="0" applyBorder="1" applyFont="1"/>
    <xf borderId="11" fillId="8" fontId="4" numFmtId="164" xfId="0" applyBorder="1" applyFont="1" applyNumberFormat="1"/>
    <xf borderId="53" fillId="9" fontId="8" numFmtId="0" xfId="0" applyBorder="1" applyFont="1"/>
    <xf borderId="48" fillId="9" fontId="8" numFmtId="0" xfId="0" applyBorder="1" applyFont="1"/>
    <xf borderId="54" fillId="0" fontId="8" numFmtId="0" xfId="0" applyAlignment="1" applyBorder="1" applyFont="1">
      <alignment horizontal="right"/>
    </xf>
    <xf borderId="20" fillId="0" fontId="8" numFmtId="0" xfId="0" applyBorder="1" applyFont="1"/>
    <xf borderId="55" fillId="0" fontId="8" numFmtId="3" xfId="0" applyBorder="1" applyFont="1" applyNumberFormat="1"/>
    <xf borderId="30" fillId="0" fontId="4" numFmtId="164" xfId="0" applyBorder="1" applyFont="1" applyNumberFormat="1"/>
    <xf borderId="20" fillId="0" fontId="8" numFmtId="3" xfId="0" applyBorder="1" applyFont="1" applyNumberFormat="1"/>
    <xf borderId="48" fillId="13" fontId="4" numFmtId="3" xfId="0" applyAlignment="1" applyBorder="1" applyFont="1" applyNumberFormat="1">
      <alignment horizontal="center" vertical="center"/>
    </xf>
    <xf borderId="29" fillId="0" fontId="4" numFmtId="164" xfId="0" applyBorder="1" applyFont="1" applyNumberFormat="1"/>
    <xf borderId="21" fillId="14" fontId="4" numFmtId="0" xfId="0" applyAlignment="1" applyBorder="1" applyFill="1" applyFont="1">
      <alignment horizontal="left"/>
    </xf>
    <xf borderId="11" fillId="14" fontId="4" numFmtId="0" xfId="0" applyAlignment="1" applyBorder="1" applyFont="1">
      <alignment horizontal="left"/>
    </xf>
    <xf borderId="10" fillId="14" fontId="4" numFmtId="164" xfId="0" applyBorder="1" applyFont="1" applyNumberFormat="1"/>
    <xf borderId="56" fillId="0" fontId="8" numFmtId="3" xfId="0" applyBorder="1" applyFont="1" applyNumberFormat="1"/>
    <xf borderId="10" fillId="14" fontId="4" numFmtId="0" xfId="0" applyBorder="1" applyFont="1"/>
    <xf borderId="11" fillId="14" fontId="4" numFmtId="0" xfId="0" applyBorder="1" applyFont="1"/>
    <xf borderId="23" fillId="0" fontId="4" numFmtId="0" xfId="0" applyAlignment="1" applyBorder="1" applyFont="1">
      <alignment horizontal="right"/>
    </xf>
    <xf borderId="26" fillId="0" fontId="3" numFmtId="0" xfId="0" applyAlignment="1" applyBorder="1" applyFont="1">
      <alignment horizontal="right"/>
    </xf>
    <xf borderId="10" fillId="14" fontId="4" numFmtId="164" xfId="0" applyAlignment="1" applyBorder="1" applyFont="1" applyNumberFormat="1">
      <alignment horizontal="center"/>
    </xf>
    <xf borderId="19" fillId="0" fontId="8" numFmtId="3" xfId="0" applyBorder="1" applyFont="1" applyNumberFormat="1"/>
    <xf borderId="10" fillId="14" fontId="4" numFmtId="0" xfId="0" applyAlignment="1" applyBorder="1" applyFont="1">
      <alignment horizontal="center"/>
    </xf>
    <xf borderId="9" fillId="9" fontId="8" numFmtId="0" xfId="0" applyAlignment="1" applyBorder="1" applyFont="1">
      <alignment horizontal="left"/>
    </xf>
    <xf borderId="11" fillId="14" fontId="4" numFmtId="0" xfId="0" applyAlignment="1" applyBorder="1" applyFont="1">
      <alignment horizontal="center"/>
    </xf>
    <xf borderId="10" fillId="9" fontId="8" numFmtId="0" xfId="0" applyBorder="1" applyFont="1"/>
    <xf borderId="57" fillId="9" fontId="8" numFmtId="3" xfId="0" applyBorder="1" applyFont="1" applyNumberFormat="1"/>
    <xf borderId="10" fillId="9" fontId="8" numFmtId="3" xfId="0" applyBorder="1" applyFont="1" applyNumberFormat="1"/>
    <xf borderId="58" fillId="9" fontId="8" numFmtId="3" xfId="0" applyBorder="1" applyFont="1" applyNumberFormat="1"/>
    <xf borderId="0" fillId="0" fontId="3" numFmtId="1" xfId="0" applyFont="1" applyNumberFormat="1"/>
    <xf borderId="0" fillId="0" fontId="4" numFmtId="1" xfId="0" applyFont="1" applyNumberFormat="1"/>
    <xf borderId="11" fillId="9" fontId="8" numFmtId="3" xfId="0" applyBorder="1" applyFont="1" applyNumberFormat="1"/>
    <xf borderId="8" fillId="0" fontId="8" numFmtId="0" xfId="0" applyAlignment="1" applyBorder="1" applyFont="1">
      <alignment horizontal="right"/>
    </xf>
    <xf borderId="59" fillId="0" fontId="8" numFmtId="3" xfId="0" applyBorder="1" applyFont="1" applyNumberFormat="1"/>
    <xf borderId="0" fillId="0" fontId="8" numFmtId="3" xfId="0" applyFont="1" applyNumberFormat="1"/>
    <xf borderId="60" fillId="0" fontId="4" numFmtId="0" xfId="0" applyAlignment="1" applyBorder="1" applyFont="1">
      <alignment horizontal="right"/>
    </xf>
    <xf borderId="14" fillId="0" fontId="4" numFmtId="0" xfId="0" applyAlignment="1" applyBorder="1" applyFont="1">
      <alignment horizontal="right"/>
    </xf>
    <xf borderId="13" fillId="0" fontId="3" numFmtId="1" xfId="0" applyBorder="1" applyFont="1" applyNumberFormat="1"/>
    <xf borderId="13" fillId="0" fontId="4" numFmtId="1" xfId="0" applyBorder="1" applyFont="1" applyNumberFormat="1"/>
    <xf borderId="13" fillId="0" fontId="4" numFmtId="164" xfId="0" applyBorder="1" applyFont="1" applyNumberFormat="1"/>
    <xf borderId="14" fillId="0" fontId="4" numFmtId="164" xfId="0" applyBorder="1" applyFont="1" applyNumberFormat="1"/>
    <xf borderId="61" fillId="0" fontId="8" numFmtId="3" xfId="0" applyBorder="1" applyFont="1" applyNumberFormat="1"/>
    <xf borderId="0" fillId="0" fontId="4" numFmtId="0" xfId="0" applyAlignment="1" applyFont="1">
      <alignment horizontal="right"/>
    </xf>
    <xf borderId="47" fillId="2" fontId="4" numFmtId="0" xfId="0" applyAlignment="1" applyBorder="1" applyFont="1">
      <alignment horizontal="center" shrinkToFit="0" vertical="center" wrapText="1"/>
    </xf>
    <xf borderId="48" fillId="2" fontId="4" numFmtId="0" xfId="0" applyAlignment="1" applyBorder="1" applyFont="1">
      <alignment horizontal="center"/>
    </xf>
    <xf borderId="23" fillId="0" fontId="8" numFmtId="3" xfId="0" applyBorder="1" applyFont="1" applyNumberFormat="1"/>
    <xf borderId="21" fillId="15" fontId="6" numFmtId="0" xfId="0" applyBorder="1" applyFill="1" applyFont="1"/>
    <xf borderId="12" fillId="0" fontId="8" numFmtId="0" xfId="0" applyAlignment="1" applyBorder="1" applyFont="1">
      <alignment horizontal="right"/>
    </xf>
    <xf borderId="13" fillId="0" fontId="8" numFmtId="0" xfId="0" applyBorder="1" applyFont="1"/>
    <xf borderId="49" fillId="2" fontId="4" numFmtId="3" xfId="0" applyAlignment="1" applyBorder="1" applyFont="1" applyNumberFormat="1">
      <alignment horizontal="center" vertical="center"/>
    </xf>
    <xf borderId="62" fillId="0" fontId="8" numFmtId="3" xfId="0" applyBorder="1" applyFont="1" applyNumberFormat="1"/>
    <xf borderId="63" fillId="0" fontId="8" numFmtId="3" xfId="0" applyBorder="1" applyFont="1" applyNumberFormat="1"/>
    <xf borderId="11" fillId="15" fontId="6" numFmtId="0" xfId="0" applyBorder="1" applyFont="1"/>
    <xf borderId="10" fillId="15" fontId="3" numFmtId="164" xfId="0" applyBorder="1" applyFont="1" applyNumberFormat="1"/>
    <xf borderId="10" fillId="15" fontId="4" numFmtId="0" xfId="0" applyAlignment="1" applyBorder="1" applyFont="1">
      <alignment horizontal="center"/>
    </xf>
    <xf borderId="64" fillId="0" fontId="8" numFmtId="3" xfId="0" applyBorder="1" applyFont="1" applyNumberFormat="1"/>
    <xf borderId="48" fillId="2" fontId="4" numFmtId="3" xfId="0" applyAlignment="1" applyBorder="1" applyFont="1" applyNumberFormat="1">
      <alignment horizontal="center" vertical="center"/>
    </xf>
    <xf borderId="13" fillId="0" fontId="8" numFmtId="3" xfId="0" applyBorder="1" applyFont="1" applyNumberFormat="1"/>
    <xf borderId="10" fillId="15" fontId="4" numFmtId="0" xfId="0" applyBorder="1" applyFont="1"/>
    <xf borderId="11" fillId="15" fontId="4" numFmtId="0" xfId="0" applyBorder="1" applyFont="1"/>
    <xf borderId="22" fillId="0" fontId="3" numFmtId="164" xfId="0" applyAlignment="1" applyBorder="1" applyFont="1" applyNumberFormat="1">
      <alignment horizontal="center" vertical="center"/>
    </xf>
    <xf borderId="14" fillId="0" fontId="8" numFmtId="3" xfId="0" applyBorder="1" applyFont="1" applyNumberFormat="1"/>
    <xf borderId="0" fillId="0" fontId="3" numFmtId="164" xfId="0" applyAlignment="1" applyFont="1" applyNumberFormat="1">
      <alignment horizontal="center" vertical="center"/>
    </xf>
    <xf borderId="22" fillId="0" fontId="2" numFmtId="0" xfId="0" applyBorder="1" applyFont="1"/>
    <xf borderId="65" fillId="0" fontId="8" numFmtId="0" xfId="0" applyAlignment="1" applyBorder="1" applyFont="1">
      <alignment horizontal="center"/>
    </xf>
    <xf borderId="66" fillId="0" fontId="2" numFmtId="0" xfId="0" applyBorder="1" applyFont="1"/>
    <xf borderId="0" fillId="0" fontId="8" numFmtId="0" xfId="0" applyAlignment="1" applyFont="1">
      <alignment horizontal="right"/>
    </xf>
    <xf borderId="67" fillId="0" fontId="2" numFmtId="0" xfId="0" applyBorder="1" applyFont="1"/>
    <xf borderId="65" fillId="0" fontId="8" numFmtId="0" xfId="0" applyAlignment="1" applyBorder="1" applyFont="1">
      <alignment horizontal="center" shrinkToFit="0" wrapText="1"/>
    </xf>
    <xf borderId="68" fillId="0" fontId="8" numFmtId="0" xfId="0" applyAlignment="1" applyBorder="1" applyFont="1">
      <alignment horizontal="center"/>
    </xf>
    <xf borderId="68" fillId="0" fontId="8" numFmtId="0" xfId="0" applyBorder="1" applyFont="1"/>
    <xf borderId="65" fillId="0" fontId="8" numFmtId="3" xfId="0" applyAlignment="1" applyBorder="1" applyFont="1" applyNumberFormat="1">
      <alignment horizontal="center"/>
    </xf>
    <xf borderId="24" fillId="0" fontId="3" numFmtId="164" xfId="0" applyBorder="1" applyFont="1" applyNumberFormat="1"/>
    <xf borderId="69" fillId="0" fontId="2" numFmtId="0" xfId="0" applyBorder="1" applyFont="1"/>
    <xf borderId="10" fillId="8" fontId="3" numFmtId="164" xfId="0" applyAlignment="1" applyBorder="1" applyFont="1" applyNumberFormat="1">
      <alignment horizontal="right"/>
    </xf>
    <xf borderId="26" fillId="0" fontId="4" numFmtId="3" xfId="0" applyAlignment="1" applyBorder="1" applyFont="1" applyNumberFormat="1">
      <alignment horizontal="center" vertical="center"/>
    </xf>
    <xf borderId="65" fillId="0" fontId="8" numFmtId="2" xfId="0" applyAlignment="1" applyBorder="1" applyFont="1" applyNumberFormat="1">
      <alignment horizontal="center"/>
    </xf>
    <xf borderId="22" fillId="0" fontId="3" numFmtId="0" xfId="0" applyAlignment="1" applyBorder="1" applyFont="1">
      <alignment horizontal="right"/>
    </xf>
    <xf borderId="30" fillId="0" fontId="3" numFmtId="0" xfId="0" applyAlignment="1" applyBorder="1" applyFont="1">
      <alignment horizontal="right"/>
    </xf>
    <xf borderId="10" fillId="15" fontId="4" numFmtId="164" xfId="0" applyBorder="1" applyFont="1" applyNumberFormat="1"/>
    <xf borderId="65" fillId="0" fontId="10" numFmtId="9" xfId="0" applyAlignment="1" applyBorder="1" applyFont="1" applyNumberFormat="1">
      <alignment horizontal="center"/>
    </xf>
    <xf borderId="11" fillId="15" fontId="4" numFmtId="164" xfId="0" applyBorder="1" applyFont="1" applyNumberFormat="1"/>
    <xf borderId="25" fillId="0" fontId="4" numFmtId="3" xfId="0" applyAlignment="1" applyBorder="1" applyFont="1" applyNumberFormat="1">
      <alignment horizontal="center" vertical="center"/>
    </xf>
    <xf borderId="70" fillId="3" fontId="4" numFmtId="0" xfId="0" applyAlignment="1" applyBorder="1" applyFont="1">
      <alignment horizontal="center" shrinkToFit="0" vertical="center" wrapText="1"/>
    </xf>
    <xf borderId="11" fillId="3" fontId="4" numFmtId="0" xfId="0" applyAlignment="1" applyBorder="1" applyFont="1">
      <alignment horizontal="center"/>
    </xf>
    <xf borderId="10" fillId="3" fontId="4" numFmtId="3" xfId="0" applyAlignment="1" applyBorder="1" applyFont="1" applyNumberFormat="1">
      <alignment horizontal="center" vertical="center"/>
    </xf>
    <xf borderId="11" fillId="3" fontId="4" numFmtId="3" xfId="0" applyAlignment="1" applyBorder="1" applyFont="1" applyNumberFormat="1">
      <alignment horizontal="center" vertical="center"/>
    </xf>
    <xf borderId="43" fillId="0" fontId="8" numFmtId="0" xfId="0" applyBorder="1" applyFont="1"/>
    <xf borderId="44" fillId="0" fontId="10" numFmtId="0" xfId="0" applyAlignment="1" applyBorder="1" applyFont="1">
      <alignment horizontal="center" vertical="center"/>
    </xf>
    <xf borderId="71" fillId="12" fontId="10" numFmtId="0" xfId="0" applyAlignment="1" applyBorder="1" applyFont="1">
      <alignment horizontal="center" vertical="center"/>
    </xf>
    <xf borderId="71" fillId="11" fontId="10" numFmtId="0" xfId="0" applyAlignment="1" applyBorder="1" applyFont="1">
      <alignment horizontal="center" vertical="center"/>
    </xf>
    <xf borderId="45" fillId="0" fontId="10" numFmtId="0" xfId="0" applyAlignment="1" applyBorder="1" applyFont="1">
      <alignment horizontal="center" vertical="center"/>
    </xf>
    <xf borderId="46" fillId="0" fontId="10" numFmtId="0" xfId="0" applyAlignment="1" applyBorder="1" applyFont="1">
      <alignment horizontal="center" vertical="center"/>
    </xf>
    <xf borderId="26" fillId="0" fontId="8" numFmtId="0" xfId="0" applyAlignment="1" applyBorder="1" applyFont="1">
      <alignment horizontal="center"/>
    </xf>
    <xf borderId="23" fillId="0" fontId="8" numFmtId="0" xfId="0" applyAlignment="1" applyBorder="1" applyFont="1">
      <alignment horizontal="center"/>
    </xf>
    <xf borderId="20" fillId="0" fontId="8" numFmtId="0" xfId="0" applyAlignment="1" applyBorder="1" applyFont="1">
      <alignment horizontal="center"/>
    </xf>
    <xf borderId="72" fillId="0" fontId="2" numFmtId="0" xfId="0" applyBorder="1" applyFont="1"/>
    <xf borderId="14" fillId="0" fontId="4" numFmtId="0" xfId="0" applyAlignment="1" applyBorder="1" applyFont="1">
      <alignment horizontal="center"/>
    </xf>
    <xf borderId="13" fillId="0" fontId="4" numFmtId="3" xfId="0" applyAlignment="1" applyBorder="1" applyFont="1" applyNumberFormat="1">
      <alignment horizontal="center" vertical="center"/>
    </xf>
    <xf borderId="14" fillId="0" fontId="4" numFmtId="3" xfId="0" applyAlignment="1" applyBorder="1" applyFont="1" applyNumberFormat="1">
      <alignment horizontal="center" vertical="center"/>
    </xf>
    <xf borderId="10" fillId="9" fontId="8" numFmtId="0" xfId="0" applyAlignment="1" applyBorder="1" applyFont="1">
      <alignment horizontal="center"/>
    </xf>
    <xf borderId="65" fillId="6" fontId="8" numFmtId="3" xfId="0" applyAlignment="1" applyBorder="1" applyFont="1" applyNumberFormat="1">
      <alignment horizontal="center"/>
    </xf>
    <xf borderId="0" fillId="0" fontId="10" numFmtId="0" xfId="0" applyAlignment="1" applyFont="1">
      <alignment horizontal="center" vertical="center"/>
    </xf>
    <xf borderId="10" fillId="12" fontId="10" numFmtId="0" xfId="0" applyAlignment="1" applyBorder="1" applyFont="1">
      <alignment horizontal="center" vertical="center"/>
    </xf>
    <xf borderId="10" fillId="11" fontId="10" numFmtId="0" xfId="0" applyAlignment="1" applyBorder="1" applyFont="1">
      <alignment horizontal="center" vertical="center"/>
    </xf>
    <xf borderId="59" fillId="0" fontId="10" numFmtId="0" xfId="0" applyAlignment="1" applyBorder="1" applyFont="1">
      <alignment horizontal="center" vertical="center"/>
    </xf>
    <xf borderId="61" fillId="0" fontId="10" numFmtId="0" xfId="0" applyAlignment="1" applyBorder="1" applyFont="1">
      <alignment horizontal="center" vertical="center"/>
    </xf>
    <xf borderId="23" fillId="0" fontId="10" numFmtId="0" xfId="0" applyAlignment="1" applyBorder="1" applyFont="1">
      <alignment horizontal="center" vertical="center"/>
    </xf>
    <xf borderId="9" fillId="9" fontId="8" numFmtId="0" xfId="0" applyBorder="1" applyFont="1"/>
    <xf borderId="57" fillId="9" fontId="8" numFmtId="0" xfId="0" applyBorder="1" applyFont="1"/>
    <xf borderId="58" fillId="9" fontId="8" numFmtId="0" xfId="0" applyBorder="1" applyFont="1"/>
    <xf borderId="11" fillId="9" fontId="8" numFmtId="0" xfId="0" applyBorder="1" applyFont="1"/>
    <xf borderId="0" fillId="0" fontId="8" numFmtId="0" xfId="0" applyAlignment="1" applyFont="1">
      <alignment horizontal="center"/>
    </xf>
    <xf borderId="13" fillId="0" fontId="8" numFmtId="0" xfId="0" applyAlignment="1" applyBorder="1" applyFont="1">
      <alignment horizontal="center"/>
    </xf>
    <xf borderId="73" fillId="0" fontId="8" numFmtId="0" xfId="0" applyAlignment="1" applyBorder="1" applyFont="1">
      <alignment horizontal="center"/>
    </xf>
    <xf borderId="74" fillId="0" fontId="8" numFmtId="0" xfId="0" applyBorder="1" applyFont="1"/>
    <xf borderId="75" fillId="12" fontId="10" numFmtId="0" xfId="0" applyAlignment="1" applyBorder="1" applyFont="1">
      <alignment horizontal="center" vertical="center"/>
    </xf>
    <xf borderId="76" fillId="11" fontId="10" numFmtId="0" xfId="0" applyAlignment="1" applyBorder="1" applyFont="1">
      <alignment horizontal="center" vertical="center"/>
    </xf>
    <xf borderId="41" fillId="0" fontId="8" numFmtId="0" xfId="0" applyAlignment="1" applyBorder="1" applyFont="1">
      <alignment horizontal="center"/>
    </xf>
    <xf borderId="42" fillId="0" fontId="8" numFmtId="0" xfId="0" applyAlignment="1" applyBorder="1" applyFont="1">
      <alignment horizontal="center"/>
    </xf>
    <xf borderId="77" fillId="0" fontId="8" numFmtId="0" xfId="0" applyAlignment="1" applyBorder="1" applyFont="1">
      <alignment horizontal="right"/>
    </xf>
    <xf borderId="78" fillId="0" fontId="8" numFmtId="0" xfId="0" applyAlignment="1" applyBorder="1" applyFont="1">
      <alignment horizontal="center"/>
    </xf>
    <xf borderId="24" fillId="0" fontId="4" numFmtId="164" xfId="0" applyBorder="1" applyFont="1" applyNumberFormat="1"/>
    <xf borderId="79" fillId="9" fontId="8" numFmtId="3" xfId="0" applyBorder="1" applyFont="1" applyNumberFormat="1"/>
    <xf borderId="80" fillId="9" fontId="8" numFmtId="3" xfId="0" applyBorder="1" applyFont="1" applyNumberFormat="1"/>
    <xf borderId="10" fillId="8" fontId="4" numFmtId="0" xfId="0" applyBorder="1" applyFont="1"/>
    <xf borderId="11" fillId="8" fontId="4" numFmtId="0" xfId="0" applyBorder="1" applyFont="1"/>
    <xf borderId="81" fillId="9" fontId="8" numFmtId="3" xfId="0" applyBorder="1" applyFont="1" applyNumberFormat="1"/>
    <xf borderId="82" fillId="5" fontId="11" numFmtId="164" xfId="0" applyBorder="1" applyFont="1" applyNumberFormat="1"/>
    <xf borderId="83" fillId="5" fontId="11" numFmtId="164" xfId="0" applyBorder="1" applyFont="1" applyNumberFormat="1"/>
    <xf borderId="26" fillId="0" fontId="3" numFmtId="164" xfId="0" applyAlignment="1" applyBorder="1" applyFont="1" applyNumberFormat="1">
      <alignment horizontal="right"/>
    </xf>
    <xf borderId="26" fillId="0" fontId="4" numFmtId="0" xfId="0" applyBorder="1" applyFont="1"/>
    <xf borderId="10" fillId="14" fontId="3" numFmtId="164" xfId="0" applyBorder="1" applyFont="1" applyNumberFormat="1"/>
    <xf borderId="10" fillId="14" fontId="3" numFmtId="164" xfId="0" applyAlignment="1" applyBorder="1" applyFont="1" applyNumberFormat="1">
      <alignment horizontal="center"/>
    </xf>
    <xf borderId="22" fillId="0" fontId="3" numFmtId="164" xfId="0" applyAlignment="1" applyBorder="1" applyFont="1" applyNumberFormat="1">
      <alignment horizontal="center"/>
    </xf>
    <xf borderId="60" fillId="0" fontId="3" numFmtId="164" xfId="0" applyBorder="1" applyFont="1" applyNumberFormat="1"/>
    <xf borderId="13" fillId="0" fontId="3" numFmtId="164" xfId="0" applyBorder="1" applyFont="1" applyNumberFormat="1"/>
    <xf borderId="0" fillId="0" fontId="4" numFmtId="16" xfId="0" applyFont="1" applyNumberFormat="1"/>
    <xf borderId="26" fillId="0" fontId="4" numFmtId="164" xfId="0" applyAlignment="1" applyBorder="1" applyFont="1" applyNumberFormat="1">
      <alignment horizontal="center"/>
    </xf>
    <xf borderId="84" fillId="0" fontId="10" numFmtId="0" xfId="0" applyAlignment="1" applyBorder="1" applyFont="1">
      <alignment horizontal="center" vertical="center"/>
    </xf>
    <xf borderId="85" fillId="11" fontId="10" numFmtId="0" xfId="0" applyAlignment="1" applyBorder="1" applyFont="1">
      <alignment horizontal="center" vertical="center"/>
    </xf>
    <xf borderId="0" fillId="0" fontId="3" numFmtId="164" xfId="0" applyAlignment="1" applyFont="1" applyNumberFormat="1">
      <alignment horizontal="right"/>
    </xf>
    <xf borderId="86" fillId="0" fontId="10" numFmtId="0" xfId="0" applyAlignment="1" applyBorder="1" applyFont="1">
      <alignment horizontal="center" vertical="center"/>
    </xf>
    <xf borderId="85" fillId="12" fontId="10" numFmtId="0" xfId="0" applyAlignment="1" applyBorder="1" applyFont="1">
      <alignment horizontal="center" vertical="center"/>
    </xf>
    <xf borderId="28" fillId="0" fontId="3" numFmtId="0" xfId="0" applyAlignment="1" applyBorder="1" applyFont="1">
      <alignment horizontal="right"/>
    </xf>
    <xf borderId="87" fillId="0" fontId="10" numFmtId="0" xfId="0" applyAlignment="1" applyBorder="1" applyFont="1">
      <alignment horizontal="center" vertical="center"/>
    </xf>
    <xf borderId="44" fillId="0" fontId="8" numFmtId="3" xfId="0" applyAlignment="1" applyBorder="1" applyFont="1" applyNumberFormat="1">
      <alignment horizontal="center"/>
    </xf>
    <xf borderId="45" fillId="0" fontId="8" numFmtId="3" xfId="0" applyAlignment="1" applyBorder="1" applyFont="1" applyNumberFormat="1">
      <alignment horizontal="center"/>
    </xf>
    <xf borderId="46" fillId="0" fontId="8" numFmtId="3" xfId="0" applyAlignment="1" applyBorder="1" applyFont="1" applyNumberFormat="1">
      <alignment horizontal="center"/>
    </xf>
    <xf borderId="65" fillId="0" fontId="10" numFmtId="3" xfId="0" applyAlignment="1" applyBorder="1" applyFont="1" applyNumberFormat="1">
      <alignment horizontal="center"/>
    </xf>
    <xf borderId="88" fillId="0" fontId="10" numFmtId="0" xfId="0" applyAlignment="1" applyBorder="1" applyFont="1">
      <alignment horizontal="center" vertical="center"/>
    </xf>
    <xf borderId="89" fillId="12" fontId="10" numFmtId="0" xfId="0" applyAlignment="1" applyBorder="1" applyFont="1">
      <alignment horizontal="center" vertical="center"/>
    </xf>
    <xf borderId="0" fillId="0" fontId="3" numFmtId="1" xfId="0" applyAlignment="1" applyFont="1" applyNumberFormat="1">
      <alignment horizontal="right"/>
    </xf>
    <xf borderId="0" fillId="0" fontId="4" numFmtId="165" xfId="0" applyAlignment="1" applyFont="1" applyNumberFormat="1">
      <alignment horizontal="center"/>
    </xf>
    <xf borderId="23" fillId="0" fontId="4" numFmtId="0" xfId="0" applyBorder="1" applyFont="1"/>
    <xf borderId="22" fillId="0" fontId="4" numFmtId="0" xfId="0" applyBorder="1" applyFont="1"/>
    <xf quotePrefix="1" borderId="23" fillId="0" fontId="4" numFmtId="0" xfId="0" applyAlignment="1" applyBorder="1" applyFont="1">
      <alignment horizontal="center"/>
    </xf>
    <xf quotePrefix="1" borderId="25" fillId="0" fontId="4" numFmtId="0" xfId="0" applyAlignment="1" applyBorder="1" applyFont="1">
      <alignment horizontal="center"/>
    </xf>
    <xf borderId="26" fillId="0" fontId="4" numFmtId="165" xfId="0" applyAlignment="1" applyBorder="1" applyFont="1" applyNumberFormat="1">
      <alignment horizontal="center"/>
    </xf>
    <xf borderId="10" fillId="8" fontId="4" numFmtId="164" xfId="0" applyAlignment="1" applyBorder="1" applyFont="1" applyNumberFormat="1">
      <alignment horizontal="center"/>
    </xf>
    <xf borderId="10" fillId="8" fontId="3" numFmtId="0" xfId="0" applyAlignment="1" applyBorder="1" applyFont="1">
      <alignment horizontal="center"/>
    </xf>
    <xf borderId="0" fillId="0" fontId="4" numFmtId="2" xfId="0" applyAlignment="1" applyFont="1" applyNumberFormat="1">
      <alignment horizontal="center"/>
    </xf>
    <xf borderId="28" fillId="0" fontId="4" numFmtId="2" xfId="0" applyAlignment="1" applyBorder="1" applyFont="1" applyNumberFormat="1">
      <alignment horizontal="center"/>
    </xf>
    <xf borderId="21" fillId="15" fontId="4" numFmtId="0" xfId="0" applyBorder="1" applyFont="1"/>
    <xf borderId="11" fillId="15" fontId="4" numFmtId="0" xfId="0" applyAlignment="1" applyBorder="1" applyFont="1">
      <alignment horizontal="right"/>
    </xf>
    <xf borderId="0" fillId="0" fontId="12" numFmtId="0" xfId="0" applyFont="1"/>
    <xf borderId="0" fillId="0" fontId="13" numFmtId="0" xfId="0" applyFont="1"/>
    <xf borderId="0" fillId="0" fontId="14" numFmtId="0" xfId="0" applyFont="1"/>
    <xf borderId="0" fillId="0" fontId="15" numFmtId="0" xfId="0" applyFont="1"/>
    <xf borderId="0" fillId="0" fontId="16" numFmtId="0" xfId="0" applyAlignment="1" applyFont="1">
      <alignment horizontal="left" vertical="center"/>
    </xf>
    <xf borderId="10" fillId="9" fontId="15" numFmtId="0" xfId="0" applyBorder="1" applyFont="1"/>
    <xf borderId="90" fillId="0" fontId="0" numFmtId="0" xfId="0" applyBorder="1" applyFont="1"/>
    <xf borderId="91" fillId="0" fontId="17" numFmtId="0" xfId="0" applyBorder="1" applyFont="1"/>
    <xf borderId="92" fillId="0" fontId="17" numFmtId="0" xfId="0" applyBorder="1" applyFont="1"/>
    <xf borderId="93" fillId="0" fontId="17" numFmtId="0" xfId="0" applyBorder="1" applyFont="1"/>
    <xf borderId="94" fillId="0" fontId="18" numFmtId="0" xfId="0" applyBorder="1" applyFont="1"/>
    <xf borderId="95" fillId="0" fontId="18" numFmtId="0" xfId="0" applyBorder="1" applyFont="1"/>
    <xf borderId="96" fillId="0" fontId="18" numFmtId="0" xfId="0" applyBorder="1" applyFont="1"/>
    <xf borderId="97" fillId="0" fontId="0" numFmtId="0" xfId="0" applyBorder="1" applyFont="1"/>
    <xf borderId="98" fillId="0" fontId="0" numFmtId="0" xfId="0" applyBorder="1" applyFont="1"/>
    <xf borderId="98" fillId="9" fontId="0" numFmtId="0" xfId="0" applyBorder="1" applyFont="1"/>
    <xf borderId="99" fillId="9" fontId="0" numFmtId="0" xfId="0" applyBorder="1" applyFont="1"/>
    <xf borderId="0" fillId="0" fontId="18" numFmtId="0" xfId="0" applyFont="1"/>
    <xf borderId="0" fillId="0" fontId="3" numFmtId="0" xfId="0" applyAlignment="1" applyFont="1">
      <alignment horizontal="center"/>
    </xf>
    <xf borderId="26" fillId="0" fontId="3" numFmtId="0" xfId="0" applyAlignment="1" applyBorder="1" applyFont="1">
      <alignment horizontal="center"/>
    </xf>
    <xf borderId="97" fillId="0" fontId="18" numFmtId="0" xfId="0" applyBorder="1" applyFont="1"/>
    <xf borderId="98" fillId="0" fontId="18" numFmtId="0" xfId="0" applyBorder="1" applyFont="1"/>
    <xf borderId="99" fillId="0" fontId="0" numFmtId="0" xfId="0" applyBorder="1" applyFont="1"/>
    <xf borderId="0" fillId="0" fontId="4" numFmtId="0" xfId="0" applyAlignment="1" applyFont="1">
      <alignment vertical="center"/>
    </xf>
    <xf borderId="100" fillId="3" fontId="4" numFmtId="0" xfId="0" applyAlignment="1" applyBorder="1" applyFont="1">
      <alignment horizontal="left"/>
    </xf>
    <xf borderId="101" fillId="0" fontId="2" numFmtId="0" xfId="0" applyBorder="1" applyFont="1"/>
    <xf borderId="10" fillId="3" fontId="4" numFmtId="0" xfId="0" applyBorder="1" applyFont="1"/>
    <xf borderId="10" fillId="3" fontId="4" numFmtId="0" xfId="0" applyAlignment="1" applyBorder="1" applyFont="1">
      <alignment horizontal="center"/>
    </xf>
    <xf borderId="26" fillId="0" fontId="3" numFmtId="0" xfId="0" applyBorder="1" applyFont="1"/>
    <xf borderId="11" fillId="3" fontId="4" numFmtId="0" xfId="0" applyBorder="1" applyFont="1"/>
    <xf borderId="23" fillId="0" fontId="4" numFmtId="1" xfId="0" applyBorder="1" applyFont="1" applyNumberFormat="1"/>
    <xf borderId="14" fillId="0" fontId="2" numFmtId="0" xfId="0" applyBorder="1" applyFont="1"/>
    <xf borderId="13" fillId="0" fontId="4" numFmtId="0" xfId="0" applyAlignment="1" applyBorder="1" applyFont="1">
      <alignment horizontal="center"/>
    </xf>
    <xf borderId="13" fillId="0" fontId="3" numFmtId="0" xfId="0" applyBorder="1" applyFont="1"/>
    <xf borderId="14" fillId="0" fontId="4" numFmtId="1" xfId="0" applyBorder="1" applyFont="1" applyNumberFormat="1"/>
    <xf borderId="102" fillId="3" fontId="4" numFmtId="0" xfId="0" applyAlignment="1" applyBorder="1" applyFont="1">
      <alignment horizontal="left"/>
    </xf>
    <xf borderId="103" fillId="0" fontId="2" numFmtId="0" xfId="0" applyBorder="1" applyFont="1"/>
    <xf borderId="104" fillId="0" fontId="18" numFmtId="0" xfId="0" applyBorder="1" applyFont="1"/>
    <xf borderId="30" fillId="0" fontId="4" numFmtId="165" xfId="0" applyBorder="1" applyFont="1" applyNumberFormat="1"/>
    <xf borderId="105" fillId="0" fontId="18" numFmtId="0" xfId="0" applyBorder="1" applyFont="1"/>
    <xf borderId="105" fillId="0" fontId="0" numFmtId="0" xfId="0" applyBorder="1" applyFont="1"/>
    <xf borderId="106" fillId="0" fontId="0" numFmtId="0" xfId="0" applyBorder="1" applyFont="1"/>
    <xf borderId="22" fillId="0" fontId="4" numFmtId="0" xfId="0" applyAlignment="1" applyBorder="1" applyFont="1">
      <alignment horizontal="left"/>
    </xf>
    <xf borderId="0" fillId="0" fontId="19" numFmtId="0" xfId="0" applyFont="1"/>
    <xf borderId="0" fillId="0" fontId="0" numFmtId="0" xfId="0" applyAlignment="1" applyFont="1">
      <alignment horizontal="center" vertical="center"/>
    </xf>
    <xf borderId="0" fillId="0" fontId="9" numFmtId="0" xfId="0" applyAlignment="1" applyFont="1">
      <alignment horizontal="right"/>
    </xf>
    <xf borderId="0" fillId="0" fontId="0" numFmtId="0" xfId="0" applyAlignment="1" applyFont="1">
      <alignment horizontal="left"/>
    </xf>
    <xf borderId="0" fillId="0" fontId="0" numFmtId="0" xfId="0" applyAlignment="1" applyFont="1">
      <alignment horizontal="left" vertical="center"/>
    </xf>
    <xf borderId="0" fillId="0" fontId="1" numFmtId="0" xfId="0" applyFont="1"/>
    <xf borderId="10" fillId="9" fontId="0" numFmtId="0" xfId="0" applyAlignment="1" applyBorder="1" applyFont="1">
      <alignment horizontal="center" shrinkToFit="0" vertical="center" wrapText="1"/>
    </xf>
    <xf borderId="0" fillId="0" fontId="0" numFmtId="0" xfId="0" applyAlignment="1" applyFont="1">
      <alignment horizontal="left" vertical="top"/>
    </xf>
    <xf borderId="0" fillId="0" fontId="0" numFmtId="0" xfId="0" applyAlignment="1" applyFont="1">
      <alignment shrinkToFit="0" wrapText="1"/>
    </xf>
    <xf borderId="10" fillId="15" fontId="4" numFmtId="164" xfId="0" applyAlignment="1" applyBorder="1" applyFont="1" applyNumberFormat="1">
      <alignment horizontal="center"/>
    </xf>
    <xf borderId="0" fillId="0" fontId="0" numFmtId="166" xfId="0" applyAlignment="1" applyFont="1" applyNumberFormat="1">
      <alignment shrinkToFit="0" wrapText="1"/>
    </xf>
    <xf borderId="1" fillId="0" fontId="13" numFmtId="0" xfId="0" applyAlignment="1" applyBorder="1" applyFont="1">
      <alignment horizontal="center" shrinkToFit="0" vertical="center" wrapText="1"/>
    </xf>
    <xf borderId="0" fillId="0" fontId="1" numFmtId="0" xfId="0" applyAlignment="1" applyFont="1">
      <alignment horizontal="center" shrinkToFit="0" vertical="center" wrapText="1"/>
    </xf>
    <xf borderId="4" fillId="0" fontId="1" numFmtId="0" xfId="0" applyAlignment="1" applyBorder="1" applyFont="1">
      <alignment horizontal="center" vertical="center"/>
    </xf>
    <xf borderId="107" fillId="0" fontId="20" numFmtId="0" xfId="0" applyAlignment="1" applyBorder="1" applyFont="1">
      <alignment horizontal="center" shrinkToFit="0" vertical="center" wrapText="1"/>
    </xf>
    <xf borderId="108" fillId="0" fontId="20" numFmtId="0" xfId="0" applyAlignment="1" applyBorder="1" applyFont="1">
      <alignment horizontal="center" shrinkToFit="0" vertical="center" wrapText="1"/>
    </xf>
    <xf borderId="109" fillId="0" fontId="20" numFmtId="0" xfId="0" applyAlignment="1" applyBorder="1" applyFont="1">
      <alignment horizontal="center" shrinkToFit="0" vertical="center" wrapText="1"/>
    </xf>
    <xf borderId="110" fillId="0" fontId="4" numFmtId="0" xfId="0" applyAlignment="1" applyBorder="1" applyFont="1">
      <alignment horizontal="right"/>
    </xf>
    <xf borderId="0" fillId="0" fontId="21" numFmtId="0" xfId="0" applyAlignment="1" applyFont="1">
      <alignment horizontal="center" shrinkToFit="0" vertical="center" wrapText="1"/>
    </xf>
    <xf borderId="111" fillId="0" fontId="2" numFmtId="0" xfId="0" applyBorder="1" applyFont="1"/>
    <xf borderId="112" fillId="0" fontId="0" numFmtId="0" xfId="0" applyAlignment="1" applyBorder="1" applyFont="1">
      <alignment horizontal="center" shrinkToFit="0" vertical="center" wrapText="1"/>
    </xf>
    <xf borderId="113" fillId="0" fontId="4" numFmtId="0" xfId="0" applyAlignment="1" applyBorder="1" applyFont="1">
      <alignment horizontal="center"/>
    </xf>
    <xf borderId="111" fillId="0" fontId="4" numFmtId="0" xfId="0" applyAlignment="1" applyBorder="1" applyFont="1">
      <alignment horizontal="center"/>
    </xf>
    <xf borderId="114" fillId="3" fontId="4" numFmtId="0" xfId="0" applyAlignment="1" applyBorder="1" applyFont="1">
      <alignment horizontal="left"/>
    </xf>
    <xf borderId="115" fillId="0" fontId="2" numFmtId="0" xfId="0" applyBorder="1" applyFont="1"/>
    <xf borderId="116" fillId="0" fontId="22" numFmtId="0" xfId="0" applyAlignment="1" applyBorder="1" applyFont="1">
      <alignment horizontal="center" shrinkToFit="0" vertical="center" wrapText="1"/>
    </xf>
    <xf borderId="49" fillId="3" fontId="3" numFmtId="0" xfId="0" applyAlignment="1" applyBorder="1" applyFont="1">
      <alignment horizontal="center"/>
    </xf>
    <xf borderId="49" fillId="3" fontId="4" numFmtId="0" xfId="0" applyAlignment="1" applyBorder="1" applyFont="1">
      <alignment horizontal="center"/>
    </xf>
    <xf borderId="48" fillId="3" fontId="4" numFmtId="0" xfId="0" applyAlignment="1" applyBorder="1" applyFont="1">
      <alignment horizontal="center"/>
    </xf>
    <xf borderId="117" fillId="0" fontId="23" numFmtId="0" xfId="0" applyAlignment="1" applyBorder="1" applyFont="1">
      <alignment horizontal="center" shrinkToFit="0" vertical="center" wrapText="1"/>
    </xf>
    <xf borderId="0" fillId="0" fontId="24" numFmtId="0" xfId="0" applyAlignment="1" applyFont="1">
      <alignment horizontal="center"/>
    </xf>
    <xf borderId="0" fillId="0" fontId="25" numFmtId="164" xfId="0" applyFont="1" applyNumberFormat="1"/>
    <xf borderId="23" fillId="0" fontId="4" numFmtId="164" xfId="0" applyAlignment="1" applyBorder="1" applyFont="1" applyNumberFormat="1">
      <alignment horizontal="center"/>
    </xf>
    <xf borderId="0" fillId="0" fontId="25" numFmtId="1" xfId="0" applyAlignment="1" applyFont="1" applyNumberFormat="1">
      <alignment horizontal="right"/>
    </xf>
    <xf borderId="0" fillId="0" fontId="11" numFmtId="164" xfId="0" applyFont="1" applyNumberFormat="1"/>
    <xf borderId="23" fillId="0" fontId="11" numFmtId="164" xfId="0" applyBorder="1" applyFont="1" applyNumberFormat="1"/>
    <xf borderId="118" fillId="0" fontId="26" numFmtId="0" xfId="0" applyAlignment="1" applyBorder="1" applyFont="1">
      <alignment horizontal="center" shrinkToFit="0" vertical="center" wrapText="1"/>
    </xf>
    <xf borderId="43" fillId="0" fontId="0" numFmtId="0" xfId="0" applyAlignment="1" applyBorder="1" applyFont="1">
      <alignment horizontal="center" shrinkToFit="0" vertical="center" wrapText="1"/>
    </xf>
    <xf borderId="66" fillId="0" fontId="0" numFmtId="166" xfId="0" applyAlignment="1" applyBorder="1" applyFont="1" applyNumberFormat="1">
      <alignment shrinkToFit="0" wrapText="1"/>
    </xf>
    <xf borderId="68" fillId="0" fontId="0" numFmtId="166" xfId="0" applyAlignment="1" applyBorder="1" applyFont="1" applyNumberFormat="1">
      <alignment shrinkToFit="0" wrapText="1"/>
    </xf>
    <xf borderId="119" fillId="0" fontId="0" numFmtId="166" xfId="0" applyAlignment="1" applyBorder="1" applyFont="1" applyNumberFormat="1">
      <alignment shrinkToFit="0" wrapText="1"/>
    </xf>
    <xf borderId="66" fillId="0" fontId="0" numFmtId="0" xfId="0" applyAlignment="1" applyBorder="1" applyFont="1">
      <alignment shrinkToFit="0" wrapText="1"/>
    </xf>
    <xf borderId="68" fillId="0" fontId="0" numFmtId="0" xfId="0" applyAlignment="1" applyBorder="1" applyFont="1">
      <alignment shrinkToFit="0" wrapText="1"/>
    </xf>
    <xf borderId="119" fillId="0" fontId="0" numFmtId="0" xfId="0" applyAlignment="1" applyBorder="1" applyFont="1">
      <alignment shrinkToFit="0" wrapText="1"/>
    </xf>
    <xf borderId="43" fillId="0" fontId="0" numFmtId="0" xfId="0" applyAlignment="1" applyBorder="1" applyFont="1">
      <alignment horizontal="center" vertical="center"/>
    </xf>
    <xf borderId="66" fillId="0" fontId="21" numFmtId="0" xfId="0" applyAlignment="1" applyBorder="1" applyFont="1">
      <alignment horizontal="center" shrinkToFit="0" vertical="center" wrapText="1"/>
    </xf>
    <xf borderId="68" fillId="0" fontId="21" numFmtId="0" xfId="0" applyAlignment="1" applyBorder="1" applyFont="1">
      <alignment horizontal="center" shrinkToFit="0" vertical="center" wrapText="1"/>
    </xf>
    <xf borderId="119" fillId="0" fontId="21" numFmtId="0" xfId="0" applyAlignment="1" applyBorder="1" applyFont="1">
      <alignment horizontal="center" shrinkToFit="0" vertical="center" wrapText="1"/>
    </xf>
    <xf borderId="120" fillId="0" fontId="0" numFmtId="0" xfId="0" applyAlignment="1" applyBorder="1" applyFont="1">
      <alignment horizontal="center" vertical="center"/>
    </xf>
    <xf borderId="121" fillId="0" fontId="21" numFmtId="0" xfId="0" applyAlignment="1" applyBorder="1" applyFont="1">
      <alignment horizontal="center" shrinkToFit="0" vertical="center" wrapText="1"/>
    </xf>
    <xf borderId="122" fillId="0" fontId="21" numFmtId="0" xfId="0" applyAlignment="1" applyBorder="1" applyFont="1">
      <alignment horizontal="center" shrinkToFit="0" vertical="center" wrapText="1"/>
    </xf>
    <xf borderId="123" fillId="0" fontId="21" numFmtId="0" xfId="0" applyAlignment="1" applyBorder="1" applyFont="1">
      <alignment horizontal="center" shrinkToFit="0" vertical="center" wrapText="1"/>
    </xf>
    <xf borderId="39" fillId="0" fontId="0" numFmtId="0" xfId="0" applyAlignment="1" applyBorder="1" applyFont="1">
      <alignment horizontal="center" vertical="center"/>
    </xf>
    <xf borderId="124" fillId="0" fontId="21" numFmtId="0" xfId="0" applyAlignment="1" applyBorder="1" applyFont="1">
      <alignment horizontal="center" shrinkToFit="0" vertical="center" wrapText="1"/>
    </xf>
    <xf borderId="125" fillId="0" fontId="21" numFmtId="0" xfId="0" applyAlignment="1" applyBorder="1" applyFont="1">
      <alignment horizontal="center" shrinkToFit="0" vertical="center" wrapText="1"/>
    </xf>
    <xf borderId="126" fillId="0" fontId="21" numFmtId="0" xfId="0" applyAlignment="1" applyBorder="1" applyFont="1">
      <alignment horizontal="center" shrinkToFit="0" vertical="center" wrapText="1"/>
    </xf>
    <xf borderId="43" fillId="0" fontId="0" numFmtId="0" xfId="0" applyAlignment="1" applyBorder="1" applyFont="1">
      <alignment horizontal="center"/>
    </xf>
    <xf borderId="66" fillId="0" fontId="0" numFmtId="0" xfId="0" applyAlignment="1" applyBorder="1" applyFont="1">
      <alignment horizontal="center" vertical="center"/>
    </xf>
    <xf borderId="68" fillId="0" fontId="0" numFmtId="0" xfId="0" applyAlignment="1" applyBorder="1" applyFont="1">
      <alignment horizontal="center" vertical="center"/>
    </xf>
    <xf borderId="119" fillId="0" fontId="0" numFmtId="0" xfId="0" applyAlignment="1" applyBorder="1" applyFont="1">
      <alignment horizontal="center" vertical="center"/>
    </xf>
    <xf borderId="68" fillId="0" fontId="0" numFmtId="1" xfId="0" applyAlignment="1" applyBorder="1" applyFont="1" applyNumberFormat="1">
      <alignment horizontal="center" vertical="center"/>
    </xf>
    <xf borderId="119" fillId="0" fontId="0" numFmtId="1" xfId="0" applyAlignment="1" applyBorder="1" applyFont="1" applyNumberFormat="1">
      <alignment horizontal="center" vertical="center"/>
    </xf>
    <xf borderId="0" fillId="0" fontId="0" numFmtId="1" xfId="0" applyAlignment="1" applyFont="1" applyNumberFormat="1">
      <alignment horizontal="center" vertical="center"/>
    </xf>
    <xf borderId="127" fillId="9" fontId="0" numFmtId="0" xfId="0" applyAlignment="1" applyBorder="1" applyFont="1">
      <alignment horizontal="center" vertical="center"/>
    </xf>
    <xf borderId="68" fillId="9" fontId="0" numFmtId="0" xfId="0" applyAlignment="1" applyBorder="1" applyFont="1">
      <alignment horizontal="center" vertical="center"/>
    </xf>
    <xf borderId="119" fillId="9" fontId="0" numFmtId="0" xfId="0" applyAlignment="1" applyBorder="1" applyFont="1">
      <alignment horizontal="center" vertical="center"/>
    </xf>
    <xf borderId="120" fillId="0" fontId="0" numFmtId="0" xfId="0" applyAlignment="1" applyBorder="1" applyFont="1">
      <alignment horizontal="center"/>
    </xf>
    <xf borderId="128" fillId="9" fontId="0" numFmtId="0" xfId="0" applyAlignment="1" applyBorder="1" applyFont="1">
      <alignment horizontal="center" vertical="center"/>
    </xf>
    <xf borderId="122" fillId="9" fontId="0" numFmtId="0" xfId="0" applyAlignment="1" applyBorder="1" applyFont="1">
      <alignment horizontal="center" vertical="center"/>
    </xf>
    <xf borderId="123" fillId="9" fontId="0" numFmtId="0" xfId="0" applyAlignment="1" applyBorder="1" applyFont="1">
      <alignment horizontal="center" vertical="center"/>
    </xf>
    <xf borderId="23" fillId="0" fontId="4" numFmtId="0" xfId="0" applyAlignment="1" applyBorder="1" applyFont="1">
      <alignment horizontal="left"/>
    </xf>
    <xf borderId="0" fillId="0" fontId="24" numFmtId="1" xfId="0" applyAlignment="1" applyFont="1" applyNumberFormat="1">
      <alignment horizontal="center"/>
    </xf>
    <xf borderId="49" fillId="3" fontId="4" numFmtId="0" xfId="0" applyBorder="1" applyFont="1"/>
    <xf borderId="48" fillId="3" fontId="4" numFmtId="0" xfId="0" applyBorder="1" applyFont="1"/>
    <xf borderId="28" fillId="0" fontId="4" numFmtId="164" xfId="0" applyAlignment="1" applyBorder="1" applyFont="1" applyNumberFormat="1">
      <alignment horizontal="center"/>
    </xf>
    <xf borderId="0" fillId="0" fontId="0" numFmtId="0" xfId="0" applyAlignment="1" applyFont="1">
      <alignment horizontal="right"/>
    </xf>
    <xf borderId="0" fillId="0" fontId="27" numFmtId="0" xfId="0" applyFont="1"/>
    <xf borderId="0" fillId="0" fontId="0" numFmtId="14" xfId="0" applyAlignment="1" applyFont="1" applyNumberFormat="1">
      <alignment horizontal="left"/>
    </xf>
    <xf borderId="10" fillId="9" fontId="0" numFmtId="0" xfId="0" applyAlignment="1" applyBorder="1" applyFont="1">
      <alignment horizontal="left"/>
    </xf>
    <xf borderId="10" fillId="9" fontId="0" numFmtId="14" xfId="0" applyAlignment="1" applyBorder="1" applyFont="1" applyNumberFormat="1">
      <alignment horizontal="left"/>
    </xf>
    <xf borderId="1" fillId="0" fontId="1" numFmtId="0" xfId="0" applyAlignment="1" applyBorder="1" applyFont="1">
      <alignment horizontal="center" shrinkToFit="0" vertical="center" wrapText="1"/>
    </xf>
    <xf borderId="0" fillId="0" fontId="1" numFmtId="0" xfId="0" applyAlignment="1" applyFont="1">
      <alignment shrinkToFit="0" wrapText="1"/>
    </xf>
    <xf borderId="129" fillId="0" fontId="0" numFmtId="0" xfId="0" applyAlignment="1" applyBorder="1" applyFont="1">
      <alignment horizontal="center"/>
    </xf>
    <xf borderId="130" fillId="0" fontId="0" numFmtId="0" xfId="0" applyAlignment="1" applyBorder="1" applyFont="1">
      <alignment horizontal="center"/>
    </xf>
    <xf borderId="131" fillId="0" fontId="0" numFmtId="0" xfId="0" applyAlignment="1" applyBorder="1" applyFont="1">
      <alignment horizontal="center"/>
    </xf>
    <xf borderId="129" fillId="0" fontId="1" numFmtId="0" xfId="0" applyAlignment="1" applyBorder="1" applyFont="1">
      <alignment horizontal="center"/>
    </xf>
    <xf borderId="130" fillId="0" fontId="1" numFmtId="0" xfId="0" applyAlignment="1" applyBorder="1" applyFont="1">
      <alignment horizontal="center"/>
    </xf>
    <xf borderId="131" fillId="0" fontId="1" numFmtId="0" xfId="0" applyAlignment="1" applyBorder="1" applyFont="1">
      <alignment horizontal="center"/>
    </xf>
    <xf borderId="39" fillId="0" fontId="0" numFmtId="0" xfId="0" applyAlignment="1" applyBorder="1" applyFont="1">
      <alignment horizontal="center"/>
    </xf>
    <xf borderId="124" fillId="0" fontId="0" numFmtId="3" xfId="0" applyBorder="1" applyFont="1" applyNumberFormat="1"/>
    <xf borderId="126" fillId="0" fontId="0" numFmtId="3" xfId="0" applyBorder="1" applyFont="1" applyNumberFormat="1"/>
    <xf borderId="66" fillId="0" fontId="0" numFmtId="3" xfId="0" applyBorder="1" applyFont="1" applyNumberFormat="1"/>
    <xf borderId="119" fillId="0" fontId="0" numFmtId="3" xfId="0" applyBorder="1" applyFont="1" applyNumberFormat="1"/>
    <xf borderId="127" fillId="9" fontId="0" numFmtId="3" xfId="0" applyBorder="1" applyFont="1" applyNumberFormat="1"/>
    <xf borderId="119" fillId="9" fontId="0" numFmtId="3" xfId="0" applyBorder="1" applyFont="1" applyNumberFormat="1"/>
    <xf borderId="128" fillId="9" fontId="0" numFmtId="3" xfId="0" applyBorder="1" applyFont="1" applyNumberFormat="1"/>
    <xf borderId="123" fillId="9" fontId="0" numFmtId="3" xfId="0" applyBorder="1" applyFont="1" applyNumberFormat="1"/>
    <xf borderId="110" fillId="0" fontId="1" numFmtId="0" xfId="0" applyAlignment="1" applyBorder="1" applyFont="1">
      <alignment horizontal="center" shrinkToFit="0" vertical="center" wrapText="1"/>
    </xf>
    <xf borderId="113" fillId="0" fontId="2" numFmtId="0" xfId="0" applyBorder="1" applyFont="1"/>
    <xf borderId="60" fillId="0" fontId="21" numFmtId="0" xfId="0" applyAlignment="1" applyBorder="1" applyFont="1">
      <alignment horizontal="center" shrinkToFit="0" vertical="center" wrapText="1"/>
    </xf>
    <xf borderId="13" fillId="0" fontId="2" numFmtId="0" xfId="0" applyBorder="1" applyFont="1"/>
    <xf borderId="0" fillId="0" fontId="21" numFmtId="0" xfId="0" applyAlignment="1" applyFont="1">
      <alignment horizontal="center" vertical="center"/>
    </xf>
    <xf borderId="1" fillId="0" fontId="28" numFmtId="0" xfId="0" applyAlignment="1" applyBorder="1" applyFont="1">
      <alignment horizontal="center" shrinkToFit="0" vertical="center" wrapText="1"/>
    </xf>
    <xf borderId="132" fillId="0" fontId="5" numFmtId="0" xfId="0" applyAlignment="1" applyBorder="1" applyFont="1">
      <alignment horizontal="right"/>
    </xf>
    <xf borderId="133" fillId="0" fontId="2" numFmtId="0" xfId="0" applyBorder="1" applyFont="1"/>
    <xf borderId="25" fillId="0" fontId="0" numFmtId="3" xfId="0" applyBorder="1" applyFont="1" applyNumberFormat="1"/>
    <xf borderId="78" fillId="0" fontId="5" numFmtId="0" xfId="0" applyAlignment="1" applyBorder="1" applyFont="1">
      <alignment horizontal="center"/>
    </xf>
    <xf borderId="134" fillId="0" fontId="0" numFmtId="3" xfId="0" applyBorder="1" applyFont="1" applyNumberFormat="1"/>
    <xf borderId="133" fillId="0" fontId="5" numFmtId="0" xfId="0" applyAlignment="1" applyBorder="1" applyFont="1">
      <alignment horizontal="center"/>
    </xf>
    <xf borderId="16" fillId="0" fontId="0" numFmtId="3" xfId="0" applyBorder="1" applyFont="1" applyNumberFormat="1"/>
    <xf borderId="135" fillId="3" fontId="6" numFmtId="0" xfId="0" applyBorder="1" applyFont="1"/>
    <xf borderId="118" fillId="0" fontId="0" numFmtId="3" xfId="0" applyBorder="1" applyFont="1" applyNumberFormat="1"/>
    <xf borderId="48" fillId="3" fontId="6" numFmtId="0" xfId="0" applyBorder="1" applyFont="1"/>
    <xf borderId="124" fillId="0" fontId="0" numFmtId="3" xfId="0" applyAlignment="1" applyBorder="1" applyFont="1" applyNumberFormat="1">
      <alignment horizontal="center"/>
    </xf>
    <xf borderId="49" fillId="3" fontId="4" numFmtId="164" xfId="0" applyBorder="1" applyFont="1" applyNumberFormat="1"/>
    <xf borderId="126" fillId="0" fontId="0" numFmtId="3" xfId="0" applyAlignment="1" applyBorder="1" applyFont="1" applyNumberFormat="1">
      <alignment horizontal="center"/>
    </xf>
    <xf borderId="69" fillId="0" fontId="0" numFmtId="3" xfId="0" applyBorder="1" applyFont="1" applyNumberFormat="1"/>
    <xf borderId="136" fillId="0" fontId="0" numFmtId="3" xfId="0" applyBorder="1" applyFont="1" applyNumberFormat="1"/>
    <xf borderId="48" fillId="3" fontId="4" numFmtId="164" xfId="0" applyBorder="1" applyFont="1" applyNumberFormat="1"/>
    <xf borderId="66" fillId="0" fontId="0" numFmtId="3" xfId="0" applyAlignment="1" applyBorder="1" applyFont="1" applyNumberFormat="1">
      <alignment horizontal="center"/>
    </xf>
    <xf borderId="21" fillId="3" fontId="4" numFmtId="0" xfId="0" applyBorder="1" applyFont="1"/>
    <xf borderId="119" fillId="0" fontId="0" numFmtId="3" xfId="0" applyAlignment="1" applyBorder="1" applyFont="1" applyNumberFormat="1">
      <alignment horizontal="center"/>
    </xf>
    <xf borderId="11" fillId="3" fontId="4" numFmtId="0" xfId="0" applyAlignment="1" applyBorder="1" applyFont="1">
      <alignment horizontal="right"/>
    </xf>
    <xf borderId="10" fillId="3" fontId="4" numFmtId="164" xfId="0" applyBorder="1" applyFont="1" applyNumberFormat="1"/>
    <xf borderId="11" fillId="3" fontId="4" numFmtId="164" xfId="0" applyBorder="1" applyFont="1" applyNumberFormat="1"/>
    <xf borderId="137" fillId="0" fontId="0" numFmtId="3" xfId="0" applyBorder="1" applyFont="1" applyNumberFormat="1"/>
    <xf borderId="14" fillId="0" fontId="0" numFmtId="3" xfId="0" applyBorder="1" applyFont="1" applyNumberFormat="1"/>
    <xf borderId="72" fillId="0" fontId="0" numFmtId="3" xfId="0" applyBorder="1" applyFont="1" applyNumberFormat="1"/>
    <xf borderId="138" fillId="0" fontId="0" numFmtId="3" xfId="0" applyBorder="1" applyFont="1" applyNumberFormat="1"/>
    <xf borderId="123" fillId="0" fontId="0" numFmtId="3" xfId="0" applyBorder="1" applyFont="1" applyNumberFormat="1"/>
    <xf borderId="121" fillId="0" fontId="0" numFmtId="3" xfId="0" applyAlignment="1" applyBorder="1" applyFont="1" applyNumberFormat="1">
      <alignment horizontal="center"/>
    </xf>
    <xf borderId="123" fillId="0" fontId="0" numFmtId="3" xfId="0" applyAlignment="1" applyBorder="1" applyFont="1" applyNumberFormat="1">
      <alignment horizontal="center"/>
    </xf>
    <xf borderId="0" fillId="0" fontId="0" numFmtId="0" xfId="0" applyAlignment="1" applyFont="1">
      <alignment vertical="center"/>
    </xf>
    <xf borderId="0" fillId="0" fontId="29" numFmtId="0" xfId="0" applyFont="1"/>
    <xf borderId="10" fillId="9" fontId="4" numFmtId="0" xfId="0" applyBorder="1" applyFont="1"/>
    <xf borderId="139" fillId="9" fontId="3" numFmtId="0" xfId="0" applyAlignment="1" applyBorder="1" applyFont="1">
      <alignment horizontal="center" shrinkToFit="0" vertical="center" wrapText="1"/>
    </xf>
    <xf borderId="140" fillId="0" fontId="2" numFmtId="0" xfId="0" applyBorder="1" applyFont="1"/>
    <xf borderId="141" fillId="0" fontId="2" numFmtId="0" xfId="0" applyBorder="1" applyFont="1"/>
    <xf borderId="0" fillId="0" fontId="3" numFmtId="0" xfId="0" applyAlignment="1" applyFont="1">
      <alignment horizontal="center" shrinkToFit="0" vertical="center" wrapText="1"/>
    </xf>
    <xf borderId="139" fillId="8" fontId="25" numFmtId="0" xfId="0" applyAlignment="1" applyBorder="1" applyFont="1">
      <alignment horizontal="center" vertical="center"/>
    </xf>
    <xf borderId="0" fillId="0" fontId="30" numFmtId="0" xfId="0" applyAlignment="1" applyFont="1">
      <alignment horizontal="center"/>
    </xf>
    <xf borderId="0" fillId="0" fontId="3" numFmtId="0" xfId="0" applyAlignment="1" applyFont="1">
      <alignment horizontal="center" vertical="center"/>
    </xf>
    <xf borderId="0" fillId="0" fontId="3" numFmtId="0" xfId="0" applyAlignment="1" applyFont="1">
      <alignment horizontal="left" shrinkToFit="0" vertical="center" wrapText="1"/>
    </xf>
    <xf borderId="0" fillId="0" fontId="4" numFmtId="3" xfId="0" applyAlignment="1" applyFont="1" applyNumberFormat="1">
      <alignment horizontal="center" shrinkToFit="0" vertical="top" wrapText="1"/>
    </xf>
    <xf borderId="0" fillId="0" fontId="4" numFmtId="0" xfId="0" applyAlignment="1" applyFont="1">
      <alignment horizontal="center" shrinkToFit="0" vertical="center" wrapText="1"/>
    </xf>
    <xf borderId="0" fillId="0" fontId="11" numFmtId="0" xfId="0" applyAlignment="1" applyFont="1">
      <alignment horizontal="center" shrinkToFit="0" vertical="center" wrapText="1"/>
    </xf>
    <xf borderId="0" fillId="0" fontId="4" numFmtId="49" xfId="0" applyAlignment="1" applyFont="1" applyNumberFormat="1">
      <alignment horizontal="center" shrinkToFit="0" vertical="top" wrapText="1"/>
    </xf>
    <xf borderId="0" fillId="0" fontId="4" numFmtId="3" xfId="0" applyFont="1" applyNumberFormat="1"/>
    <xf borderId="0" fillId="0" fontId="4" numFmtId="17" xfId="0" applyAlignment="1" applyFont="1" applyNumberFormat="1">
      <alignment horizontal="left" shrinkToFit="0" vertical="top" wrapText="1"/>
    </xf>
    <xf borderId="0" fillId="0" fontId="4" numFmtId="0" xfId="0" applyAlignment="1" applyFont="1">
      <alignment horizontal="center" shrinkToFit="0" vertical="top" wrapText="1"/>
    </xf>
    <xf borderId="0" fillId="0" fontId="11" numFmtId="17" xfId="0" applyAlignment="1" applyFont="1" applyNumberFormat="1">
      <alignment horizontal="left" shrinkToFit="0" vertical="top" wrapText="1"/>
    </xf>
    <xf borderId="0" fillId="0" fontId="11" numFmtId="3" xfId="0" applyAlignment="1" applyFont="1" applyNumberFormat="1">
      <alignment horizontal="center" shrinkToFit="0" vertical="top" wrapText="1"/>
    </xf>
    <xf borderId="0" fillId="0" fontId="11" numFmtId="0" xfId="0" applyAlignment="1" applyFont="1">
      <alignment horizontal="center" shrinkToFit="0" vertical="top" wrapText="1"/>
    </xf>
    <xf borderId="0" fillId="0" fontId="4" numFmtId="49" xfId="0" applyAlignment="1" applyFont="1" applyNumberFormat="1">
      <alignment horizontal="center" shrinkToFit="0" vertical="center" wrapText="1"/>
    </xf>
    <xf borderId="22" fillId="0" fontId="4" numFmtId="164" xfId="0" applyAlignment="1" applyBorder="1" applyFont="1" applyNumberFormat="1">
      <alignment horizontal="center"/>
    </xf>
    <xf borderId="0" fillId="0" fontId="11" numFmtId="0" xfId="0" applyFont="1"/>
    <xf borderId="0" fillId="0" fontId="11" numFmtId="0" xfId="0" applyAlignment="1" applyFont="1">
      <alignment horizontal="center"/>
    </xf>
    <xf borderId="60" fillId="0" fontId="4" numFmtId="164" xfId="0" applyAlignment="1" applyBorder="1" applyFont="1" applyNumberFormat="1">
      <alignment horizontal="center"/>
    </xf>
    <xf borderId="13" fillId="0" fontId="4" numFmtId="164" xfId="0" applyAlignment="1" applyBorder="1" applyFont="1" applyNumberFormat="1">
      <alignment horizontal="center"/>
    </xf>
    <xf borderId="13" fillId="0" fontId="3" numFmtId="164" xfId="0" applyAlignment="1" applyBorder="1" applyFont="1" applyNumberFormat="1">
      <alignment horizontal="center"/>
    </xf>
    <xf borderId="10" fillId="9" fontId="4" numFmtId="0" xfId="0" applyAlignment="1" applyBorder="1" applyFont="1">
      <alignment horizontal="center" shrinkToFit="0" vertical="top" wrapText="1"/>
    </xf>
    <xf borderId="0" fillId="0" fontId="1" numFmtId="0" xfId="0" applyAlignment="1" applyFont="1">
      <alignment horizontal="center"/>
    </xf>
    <xf borderId="49" fillId="3" fontId="3" numFmtId="0" xfId="0" applyAlignment="1" applyBorder="1" applyFont="1">
      <alignment horizontal="center" shrinkToFit="0" vertical="center" wrapText="1"/>
    </xf>
    <xf borderId="10" fillId="9" fontId="0" numFmtId="0" xfId="0" applyBorder="1" applyFont="1"/>
    <xf borderId="49" fillId="3" fontId="4" numFmtId="0" xfId="0" applyAlignment="1" applyBorder="1" applyFont="1">
      <alignment horizontal="center" vertical="center"/>
    </xf>
    <xf borderId="68" fillId="0" fontId="1" numFmtId="0" xfId="0" applyBorder="1" applyFont="1"/>
    <xf borderId="48" fillId="3" fontId="4" numFmtId="0" xfId="0" applyAlignment="1" applyBorder="1" applyFont="1">
      <alignment horizontal="center" vertical="center"/>
    </xf>
    <xf borderId="68" fillId="0" fontId="0" numFmtId="0" xfId="0" applyBorder="1" applyFont="1"/>
    <xf borderId="68" fillId="0" fontId="0" numFmtId="0" xfId="0" applyAlignment="1" applyBorder="1" applyFont="1">
      <alignment horizontal="center"/>
    </xf>
    <xf borderId="0" fillId="0" fontId="4" numFmtId="165" xfId="0" applyFont="1" applyNumberFormat="1"/>
    <xf borderId="68" fillId="0" fontId="21" numFmtId="0" xfId="0" applyBorder="1" applyFont="1"/>
    <xf borderId="23" fillId="0" fontId="4" numFmtId="165" xfId="0" applyBorder="1" applyFont="1" applyNumberFormat="1"/>
    <xf borderId="68" fillId="0" fontId="21" numFmtId="0" xfId="0" applyAlignment="1" applyBorder="1" applyFont="1">
      <alignment horizontal="center"/>
    </xf>
    <xf borderId="68" fillId="0" fontId="0" numFmtId="164" xfId="0" applyBorder="1" applyFont="1" applyNumberFormat="1"/>
    <xf borderId="22" fillId="0" fontId="11" numFmtId="0" xfId="0" applyAlignment="1" applyBorder="1" applyFont="1">
      <alignment horizontal="right"/>
    </xf>
    <xf borderId="23" fillId="0" fontId="11" numFmtId="0" xfId="0" applyAlignment="1" applyBorder="1" applyFont="1">
      <alignment horizontal="center"/>
    </xf>
    <xf borderId="68" fillId="9" fontId="0" numFmtId="164" xfId="0" applyBorder="1" applyFont="1" applyNumberFormat="1"/>
    <xf borderId="139" fillId="4" fontId="0" numFmtId="0" xfId="0" applyAlignment="1" applyBorder="1" applyFont="1">
      <alignment horizontal="center"/>
    </xf>
    <xf borderId="0" fillId="0" fontId="0" numFmtId="0" xfId="0" applyAlignment="1" applyFont="1">
      <alignment horizontal="center"/>
    </xf>
    <xf borderId="0" fillId="0" fontId="0" numFmtId="164" xfId="0" applyAlignment="1" applyFont="1" applyNumberFormat="1">
      <alignment horizontal="center"/>
    </xf>
    <xf borderId="0" fillId="0" fontId="0" numFmtId="164" xfId="0" applyFont="1" applyNumberFormat="1"/>
    <xf borderId="25" fillId="0" fontId="4" numFmtId="165" xfId="0" applyBorder="1" applyFont="1" applyNumberFormat="1"/>
    <xf borderId="10" fillId="9" fontId="0" numFmtId="164" xfId="0" applyBorder="1" applyFont="1" applyNumberFormat="1"/>
    <xf borderId="0" fillId="0" fontId="4" numFmtId="1" xfId="0" applyAlignment="1" applyFont="1" applyNumberFormat="1">
      <alignment horizontal="center"/>
    </xf>
    <xf borderId="0" fillId="0" fontId="3" numFmtId="3" xfId="0" applyFont="1" applyNumberFormat="1"/>
    <xf borderId="13" fillId="0" fontId="4" numFmtId="3" xfId="0" applyAlignment="1" applyBorder="1" applyFont="1" applyNumberFormat="1">
      <alignment horizontal="right"/>
    </xf>
    <xf borderId="13" fillId="0" fontId="4" numFmtId="3" xfId="0" applyBorder="1" applyFont="1" applyNumberFormat="1"/>
    <xf borderId="14" fillId="0" fontId="4" numFmtId="3" xfId="0" applyBorder="1" applyFont="1" applyNumberFormat="1"/>
    <xf borderId="22" fillId="0" fontId="4" numFmtId="0" xfId="0" applyAlignment="1" applyBorder="1" applyFont="1">
      <alignment horizontal="center"/>
    </xf>
    <xf borderId="0" fillId="0" fontId="3" numFmtId="1" xfId="0" applyAlignment="1" applyFont="1" applyNumberFormat="1">
      <alignment horizontal="center"/>
    </xf>
    <xf borderId="23" fillId="0" fontId="4" numFmtId="1" xfId="0" applyAlignment="1" applyBorder="1" applyFont="1" applyNumberFormat="1">
      <alignment horizontal="center"/>
    </xf>
    <xf borderId="13" fillId="0" fontId="4" numFmtId="1" xfId="0" applyAlignment="1" applyBorder="1" applyFont="1" applyNumberFormat="1">
      <alignment horizontal="center"/>
    </xf>
    <xf borderId="13" fillId="0" fontId="3" numFmtId="1" xfId="0" applyAlignment="1" applyBorder="1" applyFont="1" applyNumberFormat="1">
      <alignment horizontal="center"/>
    </xf>
    <xf borderId="13" fillId="0" fontId="3" numFmtId="0" xfId="0" applyAlignment="1" applyBorder="1" applyFont="1">
      <alignment horizontal="center"/>
    </xf>
    <xf borderId="14" fillId="0" fontId="4" numFmtId="164" xfId="0" applyAlignment="1" applyBorder="1" applyFont="1" applyNumberFormat="1">
      <alignment horizontal="center"/>
    </xf>
  </cellXfs>
  <cellStyles count="1">
    <cellStyle xfId="0" name="Normal" builtinId="0"/>
  </cellStyles>
  <dxfs count="2">
    <dxf>
      <font/>
      <fill>
        <patternFill patternType="solid">
          <fgColor rgb="FF5B9BD5"/>
          <bgColor rgb="FF5B9BD5"/>
        </patternFill>
      </fill>
      <border/>
    </dxf>
    <dxf>
      <font/>
      <fill>
        <patternFill patternType="solid">
          <fgColor rgb="FFED7D31"/>
          <bgColor rgb="FFED7D31"/>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customschemas.google.com/relationships/workbookmetadata" Target="metadata"/><Relationship Id="rId14" Type="http://schemas.openxmlformats.org/officeDocument/2006/relationships/externalLink" Target="externalLinks/externalLink1.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Bear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Use'!$D$5:$AH$5</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Use'!$D$8:$AH$8</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Use'!$D$11:$AH$11</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Use'!$D$14:$AH$14</c:f>
            </c:numRef>
          </c:yVal>
        </c:ser>
        <c:dLbls>
          <c:showLegendKey val="0"/>
          <c:showVal val="0"/>
          <c:showCatName val="0"/>
          <c:showSerName val="0"/>
          <c:showPercent val="0"/>
          <c:showBubbleSize val="0"/>
        </c:dLbls>
        <c:axId val="1899520467"/>
        <c:axId val="499383567"/>
      </c:scatterChart>
      <c:valAx>
        <c:axId val="1899520467"/>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499383567"/>
      </c:valAx>
      <c:valAx>
        <c:axId val="499383567"/>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899520467"/>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Green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Use'!$D$17:$AH$17</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Use'!$D$20:$AH$20</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Use'!$D$24:$AH$24</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Use'!$D$27:$AH$27</c:f>
            </c:numRef>
          </c:yVal>
        </c:ser>
        <c:dLbls>
          <c:showLegendKey val="0"/>
          <c:showVal val="0"/>
          <c:showCatName val="0"/>
          <c:showSerName val="0"/>
          <c:showPercent val="0"/>
          <c:showBubbleSize val="0"/>
        </c:dLbls>
        <c:axId val="934562368"/>
        <c:axId val="1069093887"/>
      </c:scatterChart>
      <c:valAx>
        <c:axId val="934562368"/>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069093887"/>
      </c:valAx>
      <c:valAx>
        <c:axId val="1069093887"/>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934562368"/>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Platte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Use'!$D$42:$AH$42</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Use'!$D$45:$AH$45</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Use'!$D$48:$AH$48</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Use'!$D$51:$AH$51</c:f>
            </c:numRef>
          </c:yVal>
        </c:ser>
        <c:dLbls>
          <c:showLegendKey val="0"/>
          <c:showVal val="0"/>
          <c:showCatName val="0"/>
          <c:showSerName val="0"/>
          <c:showPercent val="0"/>
          <c:showBubbleSize val="0"/>
        </c:dLbls>
        <c:axId val="791262230"/>
        <c:axId val="1061944702"/>
      </c:scatterChart>
      <c:valAx>
        <c:axId val="791262230"/>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061944702"/>
      </c:valAx>
      <c:valAx>
        <c:axId val="1061944702"/>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79126223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Powder-Tongue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Use'!$D$54:$AH$54</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Use'!$D$57:$AH$57</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Use'!$D$60:$AH$60</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Use'!$D$63:$AH$63</c:f>
            </c:numRef>
          </c:yVal>
        </c:ser>
        <c:dLbls>
          <c:showLegendKey val="0"/>
          <c:showVal val="0"/>
          <c:showCatName val="0"/>
          <c:showSerName val="0"/>
          <c:showPercent val="0"/>
          <c:showBubbleSize val="0"/>
        </c:dLbls>
        <c:axId val="120196210"/>
        <c:axId val="1786371511"/>
      </c:scatterChart>
      <c:valAx>
        <c:axId val="120196210"/>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786371511"/>
      </c:valAx>
      <c:valAx>
        <c:axId val="1786371511"/>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2019621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Northeast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Use'!$D$30:$AH$30</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Use'!$D$33:$AH$33</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Use'!$D$36:$AH$36</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Use'!$D$39:$AH$39</c:f>
            </c:numRef>
          </c:yVal>
        </c:ser>
        <c:dLbls>
          <c:showLegendKey val="0"/>
          <c:showVal val="0"/>
          <c:showCatName val="0"/>
          <c:showSerName val="0"/>
          <c:showPercent val="0"/>
          <c:showBubbleSize val="0"/>
        </c:dLbls>
        <c:axId val="1594617185"/>
        <c:axId val="397165216"/>
      </c:scatterChart>
      <c:valAx>
        <c:axId val="1594617185"/>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397165216"/>
      </c:valAx>
      <c:valAx>
        <c:axId val="397165216"/>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594617185"/>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Salt-Snake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Use'!$D$66:$AH$66</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Use'!$D$69:$AH$69</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Use'!$D$72:$AH$72</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Use'!$D$75:$AH$75</c:f>
            </c:numRef>
          </c:yVal>
        </c:ser>
        <c:dLbls>
          <c:showLegendKey val="0"/>
          <c:showVal val="0"/>
          <c:showCatName val="0"/>
          <c:showSerName val="0"/>
          <c:showPercent val="0"/>
          <c:showBubbleSize val="0"/>
        </c:dLbls>
        <c:axId val="2050201041"/>
        <c:axId val="1595699332"/>
      </c:scatterChart>
      <c:valAx>
        <c:axId val="2050201041"/>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595699332"/>
      </c:valAx>
      <c:valAx>
        <c:axId val="1595699332"/>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050201041"/>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Wind-Bighorn River Planning Basin</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Use'!$D$78:$AH$78</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Use'!$D$81:$AH$81</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Use'!$D$84:$AH$84</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Use'!$D$87:$AH$87</c:f>
            </c:numRef>
          </c:yVal>
        </c:ser>
        <c:dLbls>
          <c:showLegendKey val="0"/>
          <c:showVal val="0"/>
          <c:showCatName val="0"/>
          <c:showSerName val="0"/>
          <c:showPercent val="0"/>
          <c:showBubbleSize val="0"/>
        </c:dLbls>
        <c:axId val="586578254"/>
        <c:axId val="40605087"/>
      </c:scatterChart>
      <c:valAx>
        <c:axId val="586578254"/>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40605087"/>
      </c:valAx>
      <c:valAx>
        <c:axId val="40605087"/>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586578254"/>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latin typeface="Verdana"/>
              </a:defRPr>
            </a:pPr>
            <a:r>
              <a:t>Statewide Water Use Index</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'Indexed Water Use'!$D$4:$AH$4</c:f>
            </c:numRef>
          </c:xVal>
          <c:yVal>
            <c:numRef>
              <c:f>'Indexed Water Use'!$D$90:$AH$90</c:f>
            </c:numRef>
          </c:yVal>
        </c:ser>
        <c:ser>
          <c:idx val="1"/>
          <c:order val="1"/>
          <c:spPr>
            <a:ln w="47625">
              <a:noFill/>
            </a:ln>
          </c:spPr>
          <c:marker>
            <c:symbol val="circle"/>
            <c:size val="7"/>
            <c:spPr>
              <a:solidFill>
                <a:srgbClr val="ED7D31"/>
              </a:solidFill>
              <a:ln cmpd="sng">
                <a:solidFill>
                  <a:srgbClr val="ED7D31"/>
                </a:solidFill>
              </a:ln>
            </c:spPr>
          </c:marker>
          <c:xVal>
            <c:numRef>
              <c:f>'Indexed Water Use'!$D$4:$AH$4</c:f>
            </c:numRef>
          </c:xVal>
          <c:yVal>
            <c:numRef>
              <c:f>'Indexed Water Use'!$D$93:$AH$93</c:f>
            </c:numRef>
          </c:yVal>
        </c:ser>
        <c:ser>
          <c:idx val="2"/>
          <c:order val="2"/>
          <c:spPr>
            <a:ln w="47625">
              <a:noFill/>
            </a:ln>
          </c:spPr>
          <c:marker>
            <c:symbol val="circle"/>
            <c:size val="7"/>
            <c:spPr>
              <a:solidFill>
                <a:srgbClr val="A5A5A5"/>
              </a:solidFill>
              <a:ln cmpd="sng">
                <a:solidFill>
                  <a:srgbClr val="A5A5A5"/>
                </a:solidFill>
              </a:ln>
            </c:spPr>
          </c:marker>
          <c:xVal>
            <c:numRef>
              <c:f>'Indexed Water Use'!$D$4:$AH$4</c:f>
            </c:numRef>
          </c:xVal>
          <c:yVal>
            <c:numRef>
              <c:f>'Indexed Water Use'!$D$96:$AH$96</c:f>
            </c:numRef>
          </c:yVal>
        </c:ser>
        <c:ser>
          <c:idx val="3"/>
          <c:order val="3"/>
          <c:spPr>
            <a:ln w="47625">
              <a:noFill/>
            </a:ln>
          </c:spPr>
          <c:marker>
            <c:symbol val="circle"/>
            <c:size val="7"/>
            <c:spPr>
              <a:solidFill>
                <a:srgbClr val="FFC000"/>
              </a:solidFill>
              <a:ln cmpd="sng">
                <a:solidFill>
                  <a:srgbClr val="FFC000"/>
                </a:solidFill>
              </a:ln>
            </c:spPr>
          </c:marker>
          <c:xVal>
            <c:numRef>
              <c:f>'Indexed Water Use'!$D$4:$AH$4</c:f>
            </c:numRef>
          </c:xVal>
          <c:yVal>
            <c:numRef>
              <c:f>'Indexed Water Use'!$D$99:$AH$99</c:f>
            </c:numRef>
          </c:yVal>
        </c:ser>
        <c:dLbls>
          <c:showLegendKey val="0"/>
          <c:showVal val="0"/>
          <c:showCatName val="0"/>
          <c:showSerName val="0"/>
          <c:showPercent val="0"/>
          <c:showBubbleSize val="0"/>
        </c:dLbls>
        <c:axId val="327155174"/>
        <c:axId val="1073680630"/>
      </c:scatterChart>
      <c:valAx>
        <c:axId val="327155174"/>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073680630"/>
      </c:valAx>
      <c:valAx>
        <c:axId val="1073680630"/>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327155174"/>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Calcs'!$G$8:$AD$8</c:f>
            </c:numRef>
          </c:xVal>
          <c:yVal>
            <c:numRef>
              <c:f>'Agricultural Water Use Calcs'!$G$6:$AD$6</c:f>
            </c:numRef>
          </c:yVal>
        </c:ser>
        <c:dLbls>
          <c:showLegendKey val="0"/>
          <c:showVal val="0"/>
          <c:showCatName val="0"/>
          <c:showSerName val="0"/>
          <c:showPercent val="0"/>
          <c:showBubbleSize val="0"/>
        </c:dLbls>
        <c:axId val="124495518"/>
        <c:axId val="242289012"/>
      </c:scatterChart>
      <c:valAx>
        <c:axId val="124495518"/>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Average of Full and 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42289012"/>
      </c:valAx>
      <c:valAx>
        <c:axId val="242289012"/>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24495518"/>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Calcs'!$B$4:$AD$4</c:f>
            </c:numRef>
          </c:xVal>
          <c:yVal>
            <c:numRef>
              <c:f>'Agricultural Water Use Calcs'!$B$6:$AD$6</c:f>
            </c:numRef>
          </c:yVal>
        </c:ser>
        <c:dLbls>
          <c:showLegendKey val="0"/>
          <c:showVal val="0"/>
          <c:showCatName val="0"/>
          <c:showSerName val="0"/>
          <c:showPercent val="0"/>
          <c:showBubbleSize val="0"/>
        </c:dLbls>
        <c:axId val="1018795257"/>
        <c:axId val="1833196193"/>
      </c:scatterChart>
      <c:valAx>
        <c:axId val="1018795257"/>
        <c:scaling>
          <c:orientation val="minMax"/>
          <c:max val="2030.0"/>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833196193"/>
      </c:valAx>
      <c:valAx>
        <c:axId val="1833196193"/>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Agricultural Consumptive Water Use,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018795257"/>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Calcs'!$H$47</c:f>
            </c:numRef>
          </c:xVal>
          <c:yVal>
            <c:numRef>
              <c:f>'Agricultural Water Use Calcs'!$J$47</c:f>
            </c:numRef>
          </c:yVal>
        </c:ser>
        <c:ser>
          <c:idx val="1"/>
          <c:order val="1"/>
          <c:spPr>
            <a:ln w="47625">
              <a:noFill/>
            </a:ln>
          </c:spPr>
          <c:marker>
            <c:symbol val="circle"/>
            <c:size val="7"/>
            <c:spPr>
              <a:solidFill>
                <a:srgbClr val="DC3912"/>
              </a:solidFill>
              <a:ln cmpd="sng">
                <a:solidFill>
                  <a:srgbClr val="DC3912"/>
                </a:solidFill>
              </a:ln>
            </c:spPr>
          </c:marker>
          <c:xVal>
            <c:numRef>
              <c:f>'Agricultural Water Use Calcs'!$H$47</c:f>
            </c:numRef>
          </c:xVal>
          <c:yVal>
            <c:numRef>
              <c:f>'Agricultural Water Use Calcs'!$L$47</c:f>
            </c:numRef>
          </c:yVal>
        </c:ser>
        <c:ser>
          <c:idx val="2"/>
          <c:order val="2"/>
          <c:spPr>
            <a:ln w="47625">
              <a:noFill/>
            </a:ln>
          </c:spPr>
          <c:marker>
            <c:symbol val="circle"/>
            <c:size val="7"/>
            <c:spPr>
              <a:solidFill>
                <a:srgbClr val="FF9900"/>
              </a:solidFill>
              <a:ln cmpd="sng">
                <a:solidFill>
                  <a:srgbClr val="FF9900"/>
                </a:solidFill>
              </a:ln>
            </c:spPr>
          </c:marker>
          <c:xVal>
            <c:numRef>
              <c:f>'Agricultural Water Use Calcs'!$H$47</c:f>
            </c:numRef>
          </c:xVal>
          <c:yVal>
            <c:numRef>
              <c:f>'Agricultural Water Use Calcs'!$N$47</c:f>
            </c:numRef>
          </c:yVal>
        </c:ser>
        <c:ser>
          <c:idx val="3"/>
          <c:order val="3"/>
          <c:spPr>
            <a:ln w="47625">
              <a:noFill/>
            </a:ln>
          </c:spPr>
          <c:marker>
            <c:symbol val="circle"/>
            <c:size val="7"/>
            <c:spPr>
              <a:solidFill>
                <a:srgbClr val="109618"/>
              </a:solidFill>
              <a:ln cmpd="sng">
                <a:solidFill>
                  <a:srgbClr val="109618"/>
                </a:solidFill>
              </a:ln>
            </c:spPr>
          </c:marker>
          <c:xVal>
            <c:numRef>
              <c:f>'Agricultural Water Use Calcs'!$H$47</c:f>
            </c:numRef>
          </c:xVal>
          <c:yVal>
            <c:numRef>
              <c:f>'Agricultural Water Use Calcs'!$P$47</c:f>
            </c:numRef>
          </c:yVal>
        </c:ser>
        <c:ser>
          <c:idx val="4"/>
          <c:order val="4"/>
          <c:spPr>
            <a:ln w="47625">
              <a:noFill/>
            </a:ln>
          </c:spPr>
          <c:marker>
            <c:symbol val="circle"/>
            <c:size val="7"/>
            <c:spPr>
              <a:solidFill>
                <a:srgbClr val="990099"/>
              </a:solidFill>
              <a:ln cmpd="sng">
                <a:solidFill>
                  <a:srgbClr val="990099"/>
                </a:solidFill>
              </a:ln>
            </c:spPr>
          </c:marker>
          <c:xVal>
            <c:numRef>
              <c:f>'Agricultural Water Use Calcs'!$H$47</c:f>
            </c:numRef>
          </c:xVal>
          <c:yVal>
            <c:numRef>
              <c:f>'Agricultural Water Use Calcs'!$S$47</c:f>
            </c:numRef>
          </c:yVal>
        </c:ser>
        <c:ser>
          <c:idx val="5"/>
          <c:order val="5"/>
          <c:spPr>
            <a:ln w="47625">
              <a:noFill/>
            </a:ln>
          </c:spPr>
          <c:marker>
            <c:symbol val="circle"/>
            <c:size val="7"/>
            <c:spPr>
              <a:solidFill>
                <a:srgbClr val="0099C6"/>
              </a:solidFill>
              <a:ln cmpd="sng">
                <a:solidFill>
                  <a:srgbClr val="0099C6"/>
                </a:solidFill>
              </a:ln>
            </c:spPr>
          </c:marker>
          <c:xVal>
            <c:numRef>
              <c:f>'Agricultural Water Use Calcs'!$H$47</c:f>
            </c:numRef>
          </c:xVal>
          <c:yVal>
            <c:numRef>
              <c:f>'Agricultural Water Use Calcs'!$W$47:$X$47</c:f>
            </c:numRef>
          </c:yVal>
        </c:ser>
        <c:ser>
          <c:idx val="6"/>
          <c:order val="6"/>
          <c:spPr>
            <a:ln w="47625">
              <a:noFill/>
            </a:ln>
          </c:spPr>
          <c:marker>
            <c:symbol val="circle"/>
            <c:size val="7"/>
            <c:spPr>
              <a:solidFill>
                <a:srgbClr val="DD4477"/>
              </a:solidFill>
              <a:ln cmpd="sng">
                <a:solidFill>
                  <a:srgbClr val="DD4477"/>
                </a:solidFill>
              </a:ln>
            </c:spPr>
          </c:marker>
          <c:xVal>
            <c:numRef>
              <c:f>'Agricultural Water Use Calcs'!$H$47</c:f>
            </c:numRef>
          </c:xVal>
          <c:yVal>
            <c:numRef>
              <c:f>'Agricultural Water Use Calcs'!$Z$47</c:f>
            </c:numRef>
          </c:yVal>
        </c:ser>
        <c:ser>
          <c:idx val="7"/>
          <c:order val="7"/>
          <c:spPr>
            <a:ln w="47625">
              <a:noFill/>
            </a:ln>
          </c:spPr>
          <c:marker>
            <c:symbol val="circle"/>
            <c:size val="7"/>
            <c:spPr>
              <a:solidFill>
                <a:srgbClr val="66AA00"/>
              </a:solidFill>
              <a:ln cmpd="sng">
                <a:solidFill>
                  <a:srgbClr val="66AA00"/>
                </a:solidFill>
              </a:ln>
            </c:spPr>
          </c:marker>
          <c:xVal>
            <c:numRef>
              <c:f>'Agricultural Water Use Calcs'!$H$47</c:f>
            </c:numRef>
          </c:xVal>
          <c:yVal>
            <c:numRef>
              <c:f>'Agricultural Water Use Calcs'!$AC$47</c:f>
            </c:numRef>
          </c:yVal>
        </c:ser>
        <c:ser>
          <c:idx val="8"/>
          <c:order val="8"/>
          <c:spPr>
            <a:ln w="47625">
              <a:noFill/>
            </a:ln>
          </c:spPr>
          <c:marker>
            <c:symbol val="circle"/>
            <c:size val="7"/>
            <c:spPr>
              <a:solidFill>
                <a:srgbClr val="B82E2E"/>
              </a:solidFill>
              <a:ln cmpd="sng">
                <a:solidFill>
                  <a:srgbClr val="B82E2E"/>
                </a:solidFill>
              </a:ln>
            </c:spPr>
          </c:marker>
          <c:xVal>
            <c:numRef>
              <c:f>'Agricultural Water Use Calcs'!$H$47</c:f>
            </c:numRef>
          </c:xVal>
          <c:yVal>
            <c:numRef>
              <c:f>'Agricultural Water Use Calcs'!$AE$47:$AG$47</c:f>
            </c:numRef>
          </c:yVal>
        </c:ser>
        <c:ser>
          <c:idx val="9"/>
          <c:order val="9"/>
          <c:spPr>
            <a:ln w="47625">
              <a:noFill/>
            </a:ln>
          </c:spPr>
          <c:marker>
            <c:symbol val="circle"/>
            <c:size val="7"/>
            <c:spPr>
              <a:solidFill>
                <a:srgbClr val="316395"/>
              </a:solidFill>
              <a:ln cmpd="sng">
                <a:solidFill>
                  <a:srgbClr val="316395"/>
                </a:solidFill>
              </a:ln>
            </c:spPr>
          </c:marker>
          <c:xVal>
            <c:numRef>
              <c:f>'Agricultural Water Use Calcs'!$H$47</c:f>
            </c:numRef>
          </c:xVal>
          <c:yVal>
            <c:numRef>
              <c:f>'Agricultural Water Use Calcs'!$AI$47:$AJ$47</c:f>
            </c:numRef>
          </c:yVal>
        </c:ser>
        <c:ser>
          <c:idx val="10"/>
          <c:order val="10"/>
          <c:spPr>
            <a:ln w="47625">
              <a:noFill/>
            </a:ln>
          </c:spPr>
          <c:marker>
            <c:symbol val="circle"/>
            <c:size val="7"/>
            <c:spPr>
              <a:solidFill>
                <a:srgbClr val="994499"/>
              </a:solidFill>
              <a:ln cmpd="sng">
                <a:solidFill>
                  <a:srgbClr val="994499"/>
                </a:solidFill>
              </a:ln>
            </c:spPr>
          </c:marker>
          <c:xVal>
            <c:numRef>
              <c:f>'Agricultural Water Use Calcs'!$H$47</c:f>
            </c:numRef>
          </c:xVal>
          <c:yVal>
            <c:numRef>
              <c:f>'Agricultural Water Use Calcs'!$AM$47</c:f>
            </c:numRef>
          </c:yVal>
        </c:ser>
        <c:ser>
          <c:idx val="11"/>
          <c:order val="11"/>
          <c:spPr>
            <a:ln w="47625">
              <a:noFill/>
            </a:ln>
          </c:spPr>
          <c:marker>
            <c:symbol val="circle"/>
            <c:size val="7"/>
            <c:spPr>
              <a:solidFill>
                <a:srgbClr val="22AA99"/>
              </a:solidFill>
              <a:ln cmpd="sng">
                <a:solidFill>
                  <a:srgbClr val="22AA99"/>
                </a:solidFill>
              </a:ln>
            </c:spPr>
          </c:marker>
          <c:xVal>
            <c:numRef>
              <c:f>'Agricultural Water Use Calcs'!$H$47</c:f>
            </c:numRef>
          </c:xVal>
          <c:yVal>
            <c:numRef>
              <c:f>'Agricultural Water Use Calcs'!$H$45</c:f>
            </c:numRef>
          </c:yVal>
        </c:ser>
        <c:ser>
          <c:idx val="12"/>
          <c:order val="12"/>
          <c:spPr>
            <a:ln w="47625">
              <a:noFill/>
            </a:ln>
          </c:spPr>
          <c:marker>
            <c:symbol val="circle"/>
            <c:size val="7"/>
            <c:spPr>
              <a:solidFill>
                <a:srgbClr val="AAAA11"/>
              </a:solidFill>
              <a:ln cmpd="sng">
                <a:solidFill>
                  <a:srgbClr val="AAAA11"/>
                </a:solidFill>
              </a:ln>
            </c:spPr>
          </c:marker>
          <c:xVal>
            <c:numRef>
              <c:f>'Agricultural Water Use Calcs'!$H$47</c:f>
            </c:numRef>
          </c:xVal>
          <c:yVal>
            <c:numRef>
              <c:f>'Agricultural Water Use Calcs'!$J$45</c:f>
            </c:numRef>
          </c:yVal>
        </c:ser>
        <c:ser>
          <c:idx val="13"/>
          <c:order val="13"/>
          <c:spPr>
            <a:ln w="47625">
              <a:noFill/>
            </a:ln>
          </c:spPr>
          <c:marker>
            <c:symbol val="circle"/>
            <c:size val="7"/>
            <c:spPr>
              <a:solidFill>
                <a:srgbClr val="6633CC"/>
              </a:solidFill>
              <a:ln cmpd="sng">
                <a:solidFill>
                  <a:srgbClr val="6633CC"/>
                </a:solidFill>
              </a:ln>
            </c:spPr>
          </c:marker>
          <c:xVal>
            <c:numRef>
              <c:f>'Agricultural Water Use Calcs'!$H$47</c:f>
            </c:numRef>
          </c:xVal>
          <c:yVal>
            <c:numRef>
              <c:f>'Agricultural Water Use Calcs'!$L$45</c:f>
            </c:numRef>
          </c:yVal>
        </c:ser>
        <c:ser>
          <c:idx val="14"/>
          <c:order val="14"/>
          <c:spPr>
            <a:ln w="47625">
              <a:noFill/>
            </a:ln>
          </c:spPr>
          <c:marker>
            <c:symbol val="circle"/>
            <c:size val="7"/>
            <c:spPr>
              <a:solidFill>
                <a:srgbClr val="E67300"/>
              </a:solidFill>
              <a:ln cmpd="sng">
                <a:solidFill>
                  <a:srgbClr val="E67300"/>
                </a:solidFill>
              </a:ln>
            </c:spPr>
          </c:marker>
          <c:xVal>
            <c:numRef>
              <c:f>'Agricultural Water Use Calcs'!$H$47</c:f>
            </c:numRef>
          </c:xVal>
          <c:yVal>
            <c:numRef>
              <c:f>'Agricultural Water Use Calcs'!$N$45</c:f>
            </c:numRef>
          </c:yVal>
        </c:ser>
        <c:ser>
          <c:idx val="15"/>
          <c:order val="15"/>
          <c:spPr>
            <a:ln w="47625">
              <a:noFill/>
            </a:ln>
          </c:spPr>
          <c:marker>
            <c:symbol val="circle"/>
            <c:size val="7"/>
            <c:spPr>
              <a:solidFill>
                <a:srgbClr val="8B0707"/>
              </a:solidFill>
              <a:ln cmpd="sng">
                <a:solidFill>
                  <a:srgbClr val="8B0707"/>
                </a:solidFill>
              </a:ln>
            </c:spPr>
          </c:marker>
          <c:xVal>
            <c:numRef>
              <c:f>'Agricultural Water Use Calcs'!$H$47</c:f>
            </c:numRef>
          </c:xVal>
          <c:yVal>
            <c:numRef>
              <c:f>'Agricultural Water Use Calcs'!$P$45</c:f>
            </c:numRef>
          </c:yVal>
        </c:ser>
        <c:ser>
          <c:idx val="16"/>
          <c:order val="16"/>
          <c:spPr>
            <a:ln w="47625">
              <a:noFill/>
            </a:ln>
          </c:spPr>
          <c:marker>
            <c:symbol val="circle"/>
            <c:size val="7"/>
            <c:spPr>
              <a:solidFill>
                <a:srgbClr val="651067"/>
              </a:solidFill>
              <a:ln cmpd="sng">
                <a:solidFill>
                  <a:srgbClr val="651067"/>
                </a:solidFill>
              </a:ln>
            </c:spPr>
          </c:marker>
          <c:xVal>
            <c:numRef>
              <c:f>'Agricultural Water Use Calcs'!$H$47</c:f>
            </c:numRef>
          </c:xVal>
          <c:yVal>
            <c:numRef>
              <c:f>'Agricultural Water Use Calcs'!$S$45</c:f>
            </c:numRef>
          </c:yVal>
        </c:ser>
        <c:ser>
          <c:idx val="17"/>
          <c:order val="17"/>
          <c:spPr>
            <a:ln w="47625">
              <a:noFill/>
            </a:ln>
          </c:spPr>
          <c:marker>
            <c:symbol val="circle"/>
            <c:size val="7"/>
            <c:spPr>
              <a:solidFill>
                <a:srgbClr val="329262"/>
              </a:solidFill>
              <a:ln cmpd="sng">
                <a:solidFill>
                  <a:srgbClr val="329262"/>
                </a:solidFill>
              </a:ln>
            </c:spPr>
          </c:marker>
          <c:xVal>
            <c:numRef>
              <c:f>'Agricultural Water Use Calcs'!$H$47</c:f>
            </c:numRef>
          </c:xVal>
          <c:yVal>
            <c:numRef>
              <c:f>'Agricultural Water Use Calcs'!$W$45:$X$45</c:f>
            </c:numRef>
          </c:yVal>
        </c:ser>
        <c:ser>
          <c:idx val="18"/>
          <c:order val="18"/>
          <c:spPr>
            <a:ln w="47625">
              <a:noFill/>
            </a:ln>
          </c:spPr>
          <c:marker>
            <c:symbol val="circle"/>
            <c:size val="7"/>
            <c:spPr>
              <a:solidFill>
                <a:srgbClr val="5574A6"/>
              </a:solidFill>
              <a:ln cmpd="sng">
                <a:solidFill>
                  <a:srgbClr val="5574A6"/>
                </a:solidFill>
              </a:ln>
            </c:spPr>
          </c:marker>
          <c:xVal>
            <c:numRef>
              <c:f>'Agricultural Water Use Calcs'!$H$47</c:f>
            </c:numRef>
          </c:xVal>
          <c:yVal>
            <c:numRef>
              <c:f>'Agricultural Water Use Calcs'!$Z$45</c:f>
            </c:numRef>
          </c:yVal>
        </c:ser>
        <c:ser>
          <c:idx val="19"/>
          <c:order val="19"/>
          <c:spPr>
            <a:ln w="47625">
              <a:noFill/>
            </a:ln>
          </c:spPr>
          <c:marker>
            <c:symbol val="circle"/>
            <c:size val="7"/>
            <c:spPr>
              <a:solidFill>
                <a:srgbClr val="3B3EAC"/>
              </a:solidFill>
              <a:ln cmpd="sng">
                <a:solidFill>
                  <a:srgbClr val="3B3EAC"/>
                </a:solidFill>
              </a:ln>
            </c:spPr>
          </c:marker>
          <c:xVal>
            <c:numRef>
              <c:f>'Agricultural Water Use Calcs'!$H$47</c:f>
            </c:numRef>
          </c:xVal>
          <c:yVal>
            <c:numRef>
              <c:f>'Agricultural Water Use Calcs'!$AC$45</c:f>
            </c:numRef>
          </c:yVal>
        </c:ser>
        <c:ser>
          <c:idx val="20"/>
          <c:order val="20"/>
          <c:spPr>
            <a:ln w="47625">
              <a:noFill/>
            </a:ln>
          </c:spPr>
          <c:marker>
            <c:symbol val="circle"/>
            <c:size val="7"/>
            <c:spPr>
              <a:solidFill>
                <a:srgbClr val="B77322"/>
              </a:solidFill>
              <a:ln cmpd="sng">
                <a:solidFill>
                  <a:srgbClr val="B77322"/>
                </a:solidFill>
              </a:ln>
            </c:spPr>
          </c:marker>
          <c:xVal>
            <c:numRef>
              <c:f>'Agricultural Water Use Calcs'!$H$47</c:f>
            </c:numRef>
          </c:xVal>
          <c:yVal>
            <c:numRef>
              <c:f>'Agricultural Water Use Calcs'!$AE$45:$AG$45</c:f>
            </c:numRef>
          </c:yVal>
        </c:ser>
        <c:ser>
          <c:idx val="21"/>
          <c:order val="21"/>
          <c:spPr>
            <a:ln w="47625">
              <a:noFill/>
            </a:ln>
          </c:spPr>
          <c:marker>
            <c:symbol val="circle"/>
            <c:size val="7"/>
            <c:spPr>
              <a:solidFill>
                <a:srgbClr val="16D620"/>
              </a:solidFill>
              <a:ln cmpd="sng">
                <a:solidFill>
                  <a:srgbClr val="16D620"/>
                </a:solidFill>
              </a:ln>
            </c:spPr>
          </c:marker>
          <c:xVal>
            <c:numRef>
              <c:f>'Agricultural Water Use Calcs'!$H$47</c:f>
            </c:numRef>
          </c:xVal>
          <c:yVal>
            <c:numRef>
              <c:f>'Agricultural Water Use Calcs'!$AI$45:$AJ$45</c:f>
            </c:numRef>
          </c:yVal>
        </c:ser>
        <c:ser>
          <c:idx val="22"/>
          <c:order val="22"/>
          <c:spPr>
            <a:ln w="47625">
              <a:noFill/>
            </a:ln>
          </c:spPr>
          <c:marker>
            <c:symbol val="circle"/>
            <c:size val="7"/>
            <c:spPr>
              <a:solidFill>
                <a:srgbClr val="B91383"/>
              </a:solidFill>
              <a:ln cmpd="sng">
                <a:solidFill>
                  <a:srgbClr val="B91383"/>
                </a:solidFill>
              </a:ln>
            </c:spPr>
          </c:marker>
          <c:xVal>
            <c:numRef>
              <c:f>'Agricultural Water Use Calcs'!$H$47</c:f>
            </c:numRef>
          </c:xVal>
          <c:yVal>
            <c:numRef>
              <c:f>'Agricultural Water Use Calcs'!$AM$45</c:f>
            </c:numRef>
          </c:yVal>
        </c:ser>
        <c:dLbls>
          <c:showLegendKey val="0"/>
          <c:showVal val="0"/>
          <c:showCatName val="0"/>
          <c:showSerName val="0"/>
          <c:showPercent val="0"/>
          <c:showBubbleSize val="0"/>
        </c:dLbls>
        <c:axId val="1165853024"/>
        <c:axId val="714830868"/>
      </c:scatterChart>
      <c:valAx>
        <c:axId val="1165853024"/>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714830868"/>
      </c:valAx>
      <c:valAx>
        <c:axId val="714830868"/>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165853024"/>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Calcs'!$B$43:$AN$43</c:f>
            </c:numRef>
          </c:xVal>
          <c:yVal>
            <c:numRef>
              <c:f>'Agricultural Water Use Calcs'!$B$45:$AN$45</c:f>
            </c:numRef>
          </c:yVal>
        </c:ser>
        <c:dLbls>
          <c:showLegendKey val="0"/>
          <c:showVal val="0"/>
          <c:showCatName val="0"/>
          <c:showSerName val="0"/>
          <c:showPercent val="0"/>
          <c:showBubbleSize val="0"/>
        </c:dLbls>
        <c:axId val="1971821940"/>
        <c:axId val="633276643"/>
      </c:scatterChart>
      <c:valAx>
        <c:axId val="1971821940"/>
        <c:scaling>
          <c:orientation val="minMax"/>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633276643"/>
      </c:valAx>
      <c:valAx>
        <c:axId val="633276643"/>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Irrigation Water Requirement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97182194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Calcs'!$G$87:$AM$87</c:f>
            </c:numRef>
          </c:xVal>
          <c:yVal>
            <c:numRef>
              <c:f>'Agricultural Water Use Calcs'!$G$85:$AM$85</c:f>
            </c:numRef>
          </c:yVal>
        </c:ser>
        <c:dLbls>
          <c:showLegendKey val="0"/>
          <c:showVal val="0"/>
          <c:showCatName val="0"/>
          <c:showSerName val="0"/>
          <c:showPercent val="0"/>
          <c:showBubbleSize val="0"/>
        </c:dLbls>
        <c:axId val="298879558"/>
        <c:axId val="238365690"/>
      </c:scatterChart>
      <c:valAx>
        <c:axId val="298879558"/>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38365690"/>
      </c:valAx>
      <c:valAx>
        <c:axId val="238365690"/>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98879558"/>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Calcs'!$B$83:$AZ$83</c:f>
            </c:numRef>
          </c:xVal>
          <c:yVal>
            <c:numRef>
              <c:f>'Agricultural Water Use Calcs'!$B$85:$AN$85</c:f>
            </c:numRef>
          </c:yVal>
        </c:ser>
        <c:dLbls>
          <c:showLegendKey val="0"/>
          <c:showVal val="0"/>
          <c:showCatName val="0"/>
          <c:showSerName val="0"/>
          <c:showPercent val="0"/>
          <c:showBubbleSize val="0"/>
        </c:dLbls>
        <c:axId val="1545706240"/>
        <c:axId val="1447753393"/>
      </c:scatterChart>
      <c:valAx>
        <c:axId val="1545706240"/>
        <c:scaling>
          <c:orientation val="minMax"/>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1447753393"/>
      </c:valAx>
      <c:valAx>
        <c:axId val="1447753393"/>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Irrigation Water Requirement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54570624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Calcs'!$G$127:$AD$127</c:f>
            </c:numRef>
          </c:xVal>
          <c:yVal>
            <c:numRef>
              <c:f>'Agricultural Water Use Calcs'!$G$125:$AD$125</c:f>
            </c:numRef>
          </c:yVal>
        </c:ser>
        <c:dLbls>
          <c:showLegendKey val="0"/>
          <c:showVal val="0"/>
          <c:showCatName val="0"/>
          <c:showSerName val="0"/>
          <c:showPercent val="0"/>
          <c:showBubbleSize val="0"/>
        </c:dLbls>
        <c:axId val="1427314238"/>
        <c:axId val="205748551"/>
      </c:scatterChart>
      <c:valAx>
        <c:axId val="1427314238"/>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05748551"/>
      </c:valAx>
      <c:valAx>
        <c:axId val="205748551"/>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427314238"/>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Calcs'!$B$123:$AD$123</c:f>
            </c:numRef>
          </c:xVal>
          <c:yVal>
            <c:numRef>
              <c:f>'Agricultural Water Use Calcs'!$B$125:$AD$125</c:f>
            </c:numRef>
          </c:yVal>
        </c:ser>
        <c:dLbls>
          <c:showLegendKey val="0"/>
          <c:showVal val="0"/>
          <c:showCatName val="0"/>
          <c:showSerName val="0"/>
          <c:showPercent val="0"/>
          <c:showBubbleSize val="0"/>
        </c:dLbls>
        <c:axId val="1676386670"/>
        <c:axId val="2012580629"/>
      </c:scatterChart>
      <c:valAx>
        <c:axId val="1676386670"/>
        <c:scaling>
          <c:orientation val="minMax"/>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2012580629"/>
      </c:valAx>
      <c:valAx>
        <c:axId val="2012580629"/>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Irrigation Water Requirement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67638667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Calcs'!$G$168:$AN$168</c:f>
            </c:numRef>
          </c:xVal>
          <c:yVal>
            <c:numRef>
              <c:f>'Agricultural Water Use Calcs'!$G$165:$AN$165</c:f>
            </c:numRef>
          </c:yVal>
        </c:ser>
        <c:ser>
          <c:idx val="1"/>
          <c:order val="1"/>
          <c:spPr>
            <a:ln w="47625">
              <a:noFill/>
            </a:ln>
          </c:spPr>
          <c:marker>
            <c:symbol val="circle"/>
            <c:size val="5"/>
            <c:spPr>
              <a:solidFill>
                <a:srgbClr val="4472C4"/>
              </a:solidFill>
              <a:ln cmpd="sng">
                <a:solidFill>
                  <a:srgbClr val="4472C4"/>
                </a:solidFill>
              </a:ln>
            </c:spPr>
          </c:marker>
          <c:trendline>
            <c:name/>
            <c:spPr>
              <a:ln w="19050">
                <a:solidFill>
                  <a:srgbClr val="4472C4"/>
                </a:solidFill>
              </a:ln>
            </c:spPr>
            <c:trendlineType val="linear"/>
            <c:dispRSqr val="0"/>
            <c:dispEq val="0"/>
          </c:trendline>
          <c:xVal>
            <c:numRef>
              <c:f>'Agricultural Water Use Calcs'!$G$168:$AN$168</c:f>
            </c:numRef>
          </c:xVal>
          <c:yVal>
            <c:numRef>
              <c:f>'Agricultural Water Use Calcs'!$G$166:$AN$166</c:f>
            </c:numRef>
          </c:yVal>
        </c:ser>
        <c:dLbls>
          <c:showLegendKey val="0"/>
          <c:showVal val="0"/>
          <c:showCatName val="0"/>
          <c:showSerName val="0"/>
          <c:showPercent val="0"/>
          <c:showBubbleSize val="0"/>
        </c:dLbls>
        <c:axId val="115840443"/>
        <c:axId val="1550983719"/>
      </c:scatterChart>
      <c:valAx>
        <c:axId val="115840443"/>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550983719"/>
      </c:valAx>
      <c:valAx>
        <c:axId val="1550983719"/>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15840443"/>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Calcs'!$B$163:$AN$163</c:f>
            </c:numRef>
          </c:xVal>
          <c:yVal>
            <c:numRef>
              <c:f>'Agricultural Water Use Calcs'!$G$165:$AN$165</c:f>
            </c:numRef>
          </c:yVal>
        </c:ser>
        <c:dLbls>
          <c:showLegendKey val="0"/>
          <c:showVal val="0"/>
          <c:showCatName val="0"/>
          <c:showSerName val="0"/>
          <c:showPercent val="0"/>
          <c:showBubbleSize val="0"/>
        </c:dLbls>
        <c:axId val="1817113193"/>
        <c:axId val="395537424"/>
      </c:scatterChart>
      <c:valAx>
        <c:axId val="1817113193"/>
        <c:scaling>
          <c:orientation val="minMax"/>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395537424"/>
      </c:valAx>
      <c:valAx>
        <c:axId val="395537424"/>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Irrigation Water Requirement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817113193"/>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Calcs'!$G$211:$AF$211</c:f>
            </c:numRef>
          </c:xVal>
          <c:yVal>
            <c:numRef>
              <c:f>'Agricultural Water Use Calcs'!$G$209:$AF$209</c:f>
            </c:numRef>
          </c:yVal>
        </c:ser>
        <c:dLbls>
          <c:showLegendKey val="0"/>
          <c:showVal val="0"/>
          <c:showCatName val="0"/>
          <c:showSerName val="0"/>
          <c:showPercent val="0"/>
          <c:showBubbleSize val="0"/>
        </c:dLbls>
        <c:axId val="79196780"/>
        <c:axId val="1818158079"/>
      </c:scatterChart>
      <c:valAx>
        <c:axId val="79196780"/>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818158079"/>
      </c:valAx>
      <c:valAx>
        <c:axId val="1818158079"/>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7919678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Calcs'!$G$207:$AF$207</c:f>
            </c:numRef>
          </c:xVal>
          <c:yVal>
            <c:numRef>
              <c:f>'Agricultural Water Use Calcs'!$G$209:$AF$209</c:f>
            </c:numRef>
          </c:yVal>
        </c:ser>
        <c:dLbls>
          <c:showLegendKey val="0"/>
          <c:showVal val="0"/>
          <c:showCatName val="0"/>
          <c:showSerName val="0"/>
          <c:showPercent val="0"/>
          <c:showBubbleSize val="0"/>
        </c:dLbls>
        <c:axId val="803006534"/>
        <c:axId val="557731443"/>
      </c:scatterChart>
      <c:valAx>
        <c:axId val="803006534"/>
        <c:scaling>
          <c:orientation val="minMax"/>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557731443"/>
      </c:valAx>
      <c:valAx>
        <c:axId val="557731443"/>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Irrigation Water Requirement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803006534"/>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5"/>
            <c:spPr>
              <a:solidFill>
                <a:srgbClr val="A5A5A5"/>
              </a:solidFill>
              <a:ln cmpd="sng">
                <a:solidFill>
                  <a:srgbClr val="A5A5A5"/>
                </a:solidFill>
              </a:ln>
            </c:spPr>
          </c:marker>
          <c:trendline>
            <c:name/>
            <c:spPr>
              <a:ln w="19050">
                <a:solidFill>
                  <a:srgbClr val="A5A5A5"/>
                </a:solidFill>
              </a:ln>
            </c:spPr>
            <c:trendlineType val="linear"/>
            <c:dispRSqr val="0"/>
            <c:dispEq val="0"/>
          </c:trendline>
          <c:xVal>
            <c:numRef>
              <c:f>'Agricultural Water Use Calcs'!$G$251:$AD$251</c:f>
            </c:numRef>
          </c:xVal>
          <c:yVal>
            <c:numRef>
              <c:f>'Agricultural Water Use Calcs'!$G$249:$AD$249</c:f>
            </c:numRef>
          </c:yVal>
        </c:ser>
        <c:dLbls>
          <c:showLegendKey val="0"/>
          <c:showVal val="0"/>
          <c:showCatName val="0"/>
          <c:showSerName val="0"/>
          <c:showPercent val="0"/>
          <c:showBubbleSize val="0"/>
        </c:dLbls>
        <c:axId val="29212282"/>
        <c:axId val="240723758"/>
      </c:scatterChart>
      <c:valAx>
        <c:axId val="29212282"/>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40723758"/>
      </c:valAx>
      <c:valAx>
        <c:axId val="240723758"/>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Basin Plan IWR</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29212282"/>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4472C4"/>
              </a:solidFill>
              <a:ln cmpd="sng">
                <a:solidFill>
                  <a:srgbClr val="4472C4"/>
                </a:solidFill>
              </a:ln>
            </c:spPr>
          </c:marker>
          <c:xVal>
            <c:numRef>
              <c:f>'Agricultural Water Use Calcs'!$B$247:$AD$247</c:f>
            </c:numRef>
          </c:xVal>
          <c:yVal>
            <c:numRef>
              <c:f>'Agricultural Water Use Calcs'!$B$249:$AD$249</c:f>
            </c:numRef>
          </c:yVal>
        </c:ser>
        <c:dLbls>
          <c:showLegendKey val="0"/>
          <c:showVal val="0"/>
          <c:showCatName val="0"/>
          <c:showSerName val="0"/>
          <c:showPercent val="0"/>
          <c:showBubbleSize val="0"/>
        </c:dLbls>
        <c:axId val="1358433473"/>
        <c:axId val="435120253"/>
      </c:scatterChart>
      <c:valAx>
        <c:axId val="1358433473"/>
        <c:scaling>
          <c:orientation val="minMax"/>
          <c:min val="1980.0"/>
        </c:scaling>
        <c:delete val="0"/>
        <c:axPos val="b"/>
        <c:majorGridlines>
          <c:spPr>
            <a:ln>
              <a:solidFill>
                <a:srgbClr val="808080"/>
              </a:solidFill>
            </a:ln>
          </c:spPr>
        </c:majorGridlines>
        <c:numFmt formatCode="General" sourceLinked="1"/>
        <c:tickLblPos val="nextTo"/>
        <c:spPr>
          <a:ln w="47625">
            <a:noFill/>
          </a:ln>
        </c:spPr>
        <c:txPr>
          <a:bodyPr/>
          <a:lstStyle/>
          <a:p>
            <a:pPr lvl="0">
              <a:defRPr b="0" i="0" sz="1000">
                <a:solidFill>
                  <a:srgbClr val="000000"/>
                </a:solidFill>
                <a:latin typeface="Verdana"/>
              </a:defRPr>
            </a:pPr>
          </a:p>
        </c:txPr>
        <c:crossAx val="435120253"/>
      </c:valAx>
      <c:valAx>
        <c:axId val="435120253"/>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Verdana"/>
                  </a:defRPr>
                </a:pPr>
                <a:r>
                  <a:t>Irrigation Water Requirement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358433473"/>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3"/>
            <c:spPr>
              <a:solidFill>
                <a:srgbClr val="000000"/>
              </a:solidFill>
              <a:ln cmpd="sng">
                <a:solidFill>
                  <a:srgbClr val="000000"/>
                </a:solidFill>
              </a:ln>
            </c:spPr>
          </c:marker>
          <c:trendline>
            <c:name/>
            <c:spPr>
              <a:ln w="19050">
                <a:solidFill>
                  <a:srgbClr val="000000"/>
                </a:solidFill>
              </a:ln>
            </c:spPr>
            <c:trendlineType val="linear"/>
            <c:dispRSqr val="0"/>
            <c:dispEq val="0"/>
          </c:trendline>
          <c:xVal>
            <c:numRef>
              <c:f>'Agricultural Water Use Calcs'!$G$127:$AD$127</c:f>
            </c:numRef>
          </c:xVal>
          <c:yVal>
            <c:numRef>
              <c:f>'Agricultural Water Use Calcs'!$G$125:$AD$125</c:f>
            </c:numRef>
          </c:yVal>
        </c:ser>
        <c:dLbls>
          <c:showLegendKey val="0"/>
          <c:showVal val="0"/>
          <c:showCatName val="0"/>
          <c:showSerName val="0"/>
          <c:showPercent val="0"/>
          <c:showBubbleSize val="0"/>
        </c:dLbls>
        <c:axId val="1839192360"/>
        <c:axId val="1070829520"/>
      </c:scatterChart>
      <c:valAx>
        <c:axId val="1839192360"/>
        <c:scaling>
          <c:orientation val="minMax"/>
        </c:scaling>
        <c:delete val="0"/>
        <c:axPos val="b"/>
        <c:majorGridlines>
          <c:spPr>
            <a:ln>
              <a:solidFill>
                <a:srgbClr val="808080"/>
              </a:solidFill>
            </a:ln>
          </c:spPr>
        </c:majorGridlines>
        <c:title>
          <c:tx>
            <c:rich>
              <a:bodyPr/>
              <a:lstStyle/>
              <a:p>
                <a:pPr lvl="0">
                  <a:defRPr b="1" i="0" sz="1000">
                    <a:solidFill>
                      <a:srgbClr val="000000"/>
                    </a:solidFill>
                    <a:latin typeface="Verdana"/>
                  </a:defRPr>
                </a:pPr>
                <a:r>
                  <a:t>Average of Full and Late Season Irrigated Acres</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070829520"/>
      </c:valAx>
      <c:valAx>
        <c:axId val="1070829520"/>
        <c:scaling>
          <c:orientation val="minMax"/>
          <c:max val="250000.0"/>
        </c:scaling>
        <c:delete val="0"/>
        <c:axPos val="l"/>
        <c:majorGridlines>
          <c:spPr>
            <a:ln>
              <a:solidFill>
                <a:srgbClr val="808080"/>
              </a:solidFill>
            </a:ln>
          </c:spPr>
        </c:majorGridlines>
        <c:title>
          <c:tx>
            <c:rich>
              <a:bodyPr/>
              <a:lstStyle/>
              <a:p>
                <a:pPr lvl="0">
                  <a:defRPr b="1" i="0" sz="1000">
                    <a:solidFill>
                      <a:srgbClr val="000000"/>
                    </a:solidFill>
                    <a:latin typeface="Verdana"/>
                  </a:defRPr>
                </a:pPr>
                <a:r>
                  <a:t>Basin Plan IWR, ACFT</a:t>
                </a:r>
              </a:p>
            </c:rich>
          </c:tx>
          <c:overlay val="0"/>
        </c:title>
        <c:numFmt formatCode="General" sourceLinked="1"/>
        <c:tickLblPos val="nextTo"/>
        <c:spPr>
          <a:ln w="47625">
            <a:noFill/>
          </a:ln>
        </c:spPr>
        <c:txPr>
          <a:bodyPr/>
          <a:lstStyle/>
          <a:p>
            <a:pPr lvl="0">
              <a:defRPr b="0" i="0" sz="1000">
                <a:solidFill>
                  <a:srgbClr val="000000"/>
                </a:solidFill>
                <a:latin typeface="Verdana"/>
              </a:defRPr>
            </a:pPr>
          </a:p>
        </c:txPr>
        <c:crossAx val="1839192360"/>
      </c:valAx>
    </c:plotArea>
    <c:legend>
      <c:legendPos val="b"/>
      <c:overlay val="0"/>
      <c:txPr>
        <a:bodyPr/>
        <a:lstStyle/>
        <a:p>
          <a:pPr lvl="0">
            <a:defRPr sz="1000">
              <a:solidFill>
                <a:srgbClr val="000000"/>
              </a:solidFill>
              <a:latin typeface="Verdana"/>
            </a:defRPr>
          </a:pPr>
        </a:p>
      </c:txPr>
    </c:legend>
    <c:plotVisOnly val="1"/>
  </c:chart>
  <c:spPr>
    <a:solidFill>
      <a:srgbClr val="FFFFFF"/>
    </a:solidFill>
  </c:spPr>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Powder-Tongue River</a:t>
            </a:r>
          </a:p>
        </c:rich>
      </c:tx>
      <c:overlay val="0"/>
    </c:title>
    <c:plotArea>
      <c:layout/>
      <c:scatterChart>
        <c:scatterStyle val="lineMarker"/>
        <c:ser>
          <c:idx val="0"/>
          <c:order val="0"/>
          <c:tx>
            <c:strRef>
              <c:f>'NDVI Acreage'!$A$14:$G$14</c:f>
            </c:strRef>
          </c:tx>
          <c:spPr>
            <a:ln w="47625">
              <a:noFill/>
            </a:ln>
          </c:spPr>
          <c:marker>
            <c:symbol val="circle"/>
            <c:size val="7"/>
            <c:spPr>
              <a:solidFill>
                <a:srgbClr val="4472C4"/>
              </a:solidFill>
              <a:ln cmpd="sng">
                <a:solidFill>
                  <a:srgbClr val="4472C4"/>
                </a:solidFill>
              </a:ln>
            </c:spPr>
          </c:marker>
          <c:xVal>
            <c:numRef>
              <c:f>'NDVI Acreage'!$H$1:$BA$1</c:f>
            </c:numRef>
          </c:xVal>
          <c:yVal>
            <c:numRef>
              <c:f>'NDVI Acreage'!$H$14:$BA$14</c:f>
            </c:numRef>
          </c:yVal>
        </c:ser>
        <c:ser>
          <c:idx val="1"/>
          <c:order val="1"/>
          <c:tx>
            <c:strRef>
              <c:f>'NDVI Acreage'!$A$15:$G$15</c:f>
            </c:strRef>
          </c:tx>
          <c:spPr>
            <a:ln w="47625">
              <a:noFill/>
            </a:ln>
          </c:spPr>
          <c:marker>
            <c:symbol val="circle"/>
            <c:size val="7"/>
            <c:spPr>
              <a:solidFill>
                <a:srgbClr val="DC3912"/>
              </a:solidFill>
              <a:ln cmpd="sng">
                <a:solidFill>
                  <a:srgbClr val="DC3912"/>
                </a:solidFill>
              </a:ln>
            </c:spPr>
          </c:marker>
          <c:xVal>
            <c:numRef>
              <c:f>'NDVI Acreage'!$H$1:$BA$1</c:f>
            </c:numRef>
          </c:xVal>
          <c:yVal>
            <c:numRef>
              <c:f>'NDVI Acreage'!$H$15:$BA$15</c:f>
            </c:numRef>
          </c:yVal>
        </c:ser>
        <c:ser>
          <c:idx val="2"/>
          <c:order val="2"/>
          <c:tx>
            <c:strRef>
              <c:f>'NDVI Acreage'!$A$16:$G$16</c:f>
            </c:strRef>
          </c:tx>
          <c:spPr>
            <a:ln w="47625">
              <a:noFill/>
            </a:ln>
          </c:spPr>
          <c:marker>
            <c:symbol val="circle"/>
            <c:size val="7"/>
            <c:spPr>
              <a:solidFill>
                <a:srgbClr val="FF9900"/>
              </a:solidFill>
              <a:ln cmpd="sng">
                <a:solidFill>
                  <a:srgbClr val="FF9900"/>
                </a:solidFill>
              </a:ln>
            </c:spPr>
          </c:marker>
          <c:xVal>
            <c:numRef>
              <c:f>'NDVI Acreage'!$H$1:$BA$1</c:f>
            </c:numRef>
          </c:xVal>
          <c:yVal>
            <c:numRef>
              <c:f>'NDVI Acreage'!$H$16:$BA$16</c:f>
            </c:numRef>
          </c:yVal>
        </c:ser>
        <c:dLbls>
          <c:showLegendKey val="0"/>
          <c:showVal val="0"/>
          <c:showCatName val="0"/>
          <c:showSerName val="0"/>
          <c:showPercent val="0"/>
          <c:showBubbleSize val="0"/>
        </c:dLbls>
        <c:axId val="831767101"/>
        <c:axId val="874281437"/>
      </c:scatterChart>
      <c:valAx>
        <c:axId val="831767101"/>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874281437"/>
      </c:valAx>
      <c:valAx>
        <c:axId val="874281437"/>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831767101"/>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Wind-Bighorn River</a:t>
            </a:r>
          </a:p>
        </c:rich>
      </c:tx>
      <c:overlay val="0"/>
    </c:title>
    <c:plotArea>
      <c:layout/>
      <c:scatterChart>
        <c:scatterStyle val="lineMarker"/>
        <c:ser>
          <c:idx val="0"/>
          <c:order val="0"/>
          <c:tx>
            <c:strRef>
              <c:f>'NDVI Acreage'!$A$26:$G$26</c:f>
            </c:strRef>
          </c:tx>
          <c:spPr>
            <a:ln w="47625">
              <a:noFill/>
            </a:ln>
          </c:spPr>
          <c:marker>
            <c:symbol val="circle"/>
            <c:size val="7"/>
            <c:spPr>
              <a:solidFill>
                <a:srgbClr val="3366CC"/>
              </a:solidFill>
              <a:ln cmpd="sng">
                <a:solidFill>
                  <a:srgbClr val="3366CC"/>
                </a:solidFill>
              </a:ln>
            </c:spPr>
          </c:marker>
          <c:xVal>
            <c:numRef>
              <c:f>'NDVI Acreage'!$H$1:$BA$1</c:f>
            </c:numRef>
          </c:xVal>
          <c:yVal>
            <c:numRef>
              <c:f>'NDVI Acreage'!$H$26:$BA$26</c:f>
            </c:numRef>
          </c:yVal>
        </c:ser>
        <c:ser>
          <c:idx val="1"/>
          <c:order val="1"/>
          <c:tx>
            <c:strRef>
              <c:f>'NDVI Acreage'!$A$27:$G$27</c:f>
            </c:strRef>
          </c:tx>
          <c:spPr>
            <a:ln w="47625">
              <a:noFill/>
            </a:ln>
          </c:spPr>
          <c:marker>
            <c:symbol val="circle"/>
            <c:size val="7"/>
            <c:spPr>
              <a:solidFill>
                <a:srgbClr val="DC3912"/>
              </a:solidFill>
              <a:ln cmpd="sng">
                <a:solidFill>
                  <a:srgbClr val="DC3912"/>
                </a:solidFill>
              </a:ln>
            </c:spPr>
          </c:marker>
          <c:xVal>
            <c:numRef>
              <c:f>'NDVI Acreage'!$H$1:$BA$1</c:f>
            </c:numRef>
          </c:xVal>
          <c:yVal>
            <c:numRef>
              <c:f>'NDVI Acreage'!$H$27:$BA$27</c:f>
            </c:numRef>
          </c:yVal>
        </c:ser>
        <c:ser>
          <c:idx val="2"/>
          <c:order val="2"/>
          <c:tx>
            <c:strRef>
              <c:f>'NDVI Acreage'!$A$28:$G$28</c:f>
            </c:strRef>
          </c:tx>
          <c:spPr>
            <a:ln w="47625">
              <a:noFill/>
            </a:ln>
          </c:spPr>
          <c:marker>
            <c:symbol val="circle"/>
            <c:size val="7"/>
            <c:spPr>
              <a:solidFill>
                <a:srgbClr val="FF9900"/>
              </a:solidFill>
              <a:ln cmpd="sng">
                <a:solidFill>
                  <a:srgbClr val="FF9900"/>
                </a:solidFill>
              </a:ln>
            </c:spPr>
          </c:marker>
          <c:xVal>
            <c:numRef>
              <c:f>'NDVI Acreage'!$H$1:$BA$1</c:f>
            </c:numRef>
          </c:xVal>
          <c:yVal>
            <c:numRef>
              <c:f>'NDVI Acreage'!$H$28:$BA$28</c:f>
            </c:numRef>
          </c:yVal>
        </c:ser>
        <c:dLbls>
          <c:showLegendKey val="0"/>
          <c:showVal val="0"/>
          <c:showCatName val="0"/>
          <c:showSerName val="0"/>
          <c:showPercent val="0"/>
          <c:showBubbleSize val="0"/>
        </c:dLbls>
        <c:axId val="1866727836"/>
        <c:axId val="836420598"/>
      </c:scatterChart>
      <c:valAx>
        <c:axId val="1866727836"/>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836420598"/>
      </c:valAx>
      <c:valAx>
        <c:axId val="836420598"/>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1866727836"/>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Bear River	</a:t>
            </a:r>
          </a:p>
        </c:rich>
      </c:tx>
      <c:overlay val="0"/>
    </c:title>
    <c:plotArea>
      <c:layout/>
      <c:scatterChart>
        <c:scatterStyle val="lineMarker"/>
        <c:ser>
          <c:idx val="0"/>
          <c:order val="0"/>
          <c:tx>
            <c:strRef>
              <c:f>'NDVI Acreage'!$A$2:$G$2</c:f>
            </c:strRef>
          </c:tx>
          <c:spPr>
            <a:ln w="47625">
              <a:noFill/>
            </a:ln>
          </c:spPr>
          <c:marker>
            <c:symbol val="circle"/>
            <c:size val="7"/>
            <c:spPr>
              <a:solidFill>
                <a:srgbClr val="4472C4"/>
              </a:solidFill>
              <a:ln cmpd="sng">
                <a:solidFill>
                  <a:srgbClr val="4472C4"/>
                </a:solidFill>
              </a:ln>
            </c:spPr>
          </c:marker>
          <c:xVal>
            <c:numRef>
              <c:f>'NDVI Acreage'!$H$1:$BA$1</c:f>
            </c:numRef>
          </c:xVal>
          <c:yVal>
            <c:numRef>
              <c:f>'NDVI Acreage'!$H$2:$BA$2</c:f>
            </c:numRef>
          </c:yVal>
        </c:ser>
        <c:ser>
          <c:idx val="1"/>
          <c:order val="1"/>
          <c:tx>
            <c:strRef>
              <c:f>'NDVI Acreage'!$A$3:$G$3</c:f>
            </c:strRef>
          </c:tx>
          <c:spPr>
            <a:ln w="47625">
              <a:noFill/>
            </a:ln>
          </c:spPr>
          <c:marker>
            <c:symbol val="circle"/>
            <c:size val="7"/>
            <c:spPr>
              <a:solidFill>
                <a:srgbClr val="ED7D31"/>
              </a:solidFill>
              <a:ln cmpd="sng">
                <a:solidFill>
                  <a:srgbClr val="ED7D31"/>
                </a:solidFill>
              </a:ln>
            </c:spPr>
          </c:marker>
          <c:xVal>
            <c:numRef>
              <c:f>'NDVI Acreage'!$H$1:$BA$1</c:f>
            </c:numRef>
          </c:xVal>
          <c:yVal>
            <c:numRef>
              <c:f>'NDVI Acreage'!$H$3:$BA$3</c:f>
            </c:numRef>
          </c:yVal>
        </c:ser>
        <c:ser>
          <c:idx val="2"/>
          <c:order val="2"/>
          <c:tx>
            <c:strRef>
              <c:f>'NDVI Acreage'!$A$4:$G$4</c:f>
            </c:strRef>
          </c:tx>
          <c:spPr>
            <a:ln w="47625">
              <a:noFill/>
            </a:ln>
          </c:spPr>
          <c:marker>
            <c:symbol val="circle"/>
            <c:size val="7"/>
            <c:spPr>
              <a:solidFill>
                <a:srgbClr val="A5A5A5"/>
              </a:solidFill>
              <a:ln cmpd="sng">
                <a:solidFill>
                  <a:srgbClr val="A5A5A5"/>
                </a:solidFill>
              </a:ln>
            </c:spPr>
          </c:marker>
          <c:xVal>
            <c:numRef>
              <c:f>'NDVI Acreage'!$H$1:$BA$1</c:f>
            </c:numRef>
          </c:xVal>
          <c:yVal>
            <c:numRef>
              <c:f>'NDVI Acreage'!$H$4:$BA$4</c:f>
            </c:numRef>
          </c:yVal>
        </c:ser>
        <c:dLbls>
          <c:showLegendKey val="0"/>
          <c:showVal val="0"/>
          <c:showCatName val="0"/>
          <c:showSerName val="0"/>
          <c:showPercent val="0"/>
          <c:showBubbleSize val="0"/>
        </c:dLbls>
        <c:axId val="703690083"/>
        <c:axId val="800865163"/>
      </c:scatterChart>
      <c:valAx>
        <c:axId val="703690083"/>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800865163"/>
      </c:valAx>
      <c:valAx>
        <c:axId val="800865163"/>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703690083"/>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Green River</a:t>
            </a:r>
          </a:p>
        </c:rich>
      </c:tx>
      <c:overlay val="0"/>
    </c:title>
    <c:plotArea>
      <c:layout/>
      <c:scatterChart>
        <c:scatterStyle val="lineMarker"/>
        <c:ser>
          <c:idx val="0"/>
          <c:order val="0"/>
          <c:tx>
            <c:strRef>
              <c:f>'NDVI Acreage'!$A$6:$G$6</c:f>
            </c:strRef>
          </c:tx>
          <c:spPr>
            <a:ln w="47625">
              <a:noFill/>
            </a:ln>
          </c:spPr>
          <c:marker>
            <c:symbol val="circle"/>
            <c:size val="7"/>
            <c:spPr>
              <a:solidFill>
                <a:srgbClr val="5B9BD5"/>
              </a:solidFill>
              <a:ln cmpd="sng">
                <a:solidFill>
                  <a:srgbClr val="5B9BD5"/>
                </a:solidFill>
              </a:ln>
            </c:spPr>
          </c:marker>
          <c:xVal>
            <c:numRef>
              <c:f>'NDVI Acreage'!$H$1:$BA$1</c:f>
            </c:numRef>
          </c:xVal>
          <c:yVal>
            <c:numRef>
              <c:f>'NDVI Acreage'!$H$6:$BA$6</c:f>
            </c:numRef>
          </c:yVal>
        </c:ser>
        <c:ser>
          <c:idx val="1"/>
          <c:order val="1"/>
          <c:tx>
            <c:strRef>
              <c:f>'NDVI Acreage'!$A$7:$G$7</c:f>
            </c:strRef>
          </c:tx>
          <c:spPr>
            <a:ln w="47625">
              <a:noFill/>
            </a:ln>
          </c:spPr>
          <c:marker>
            <c:symbol val="circle"/>
            <c:size val="7"/>
            <c:spPr>
              <a:solidFill>
                <a:srgbClr val="70AD47"/>
              </a:solidFill>
              <a:ln cmpd="sng">
                <a:solidFill>
                  <a:srgbClr val="70AD47"/>
                </a:solidFill>
              </a:ln>
            </c:spPr>
          </c:marker>
          <c:xVal>
            <c:numRef>
              <c:f>'NDVI Acreage'!$H$1:$BA$1</c:f>
            </c:numRef>
          </c:xVal>
          <c:yVal>
            <c:numRef>
              <c:f>'NDVI Acreage'!$H$7:$BA$7</c:f>
            </c:numRef>
          </c:yVal>
        </c:ser>
        <c:ser>
          <c:idx val="2"/>
          <c:order val="2"/>
          <c:tx>
            <c:strRef>
              <c:f>'NDVI Acreage'!$A$8:$G$8</c:f>
            </c:strRef>
          </c:tx>
          <c:spPr>
            <a:ln w="47625">
              <a:noFill/>
            </a:ln>
          </c:spPr>
          <c:marker>
            <c:symbol val="circle"/>
            <c:size val="7"/>
            <c:spPr>
              <a:solidFill>
                <a:srgbClr val="4472C4"/>
              </a:solidFill>
              <a:ln cmpd="sng">
                <a:solidFill>
                  <a:srgbClr val="4472C4"/>
                </a:solidFill>
              </a:ln>
            </c:spPr>
          </c:marker>
          <c:xVal>
            <c:numRef>
              <c:f>'NDVI Acreage'!$H$1:$BA$1</c:f>
            </c:numRef>
          </c:xVal>
          <c:yVal>
            <c:numRef>
              <c:f>'NDVI Acreage'!$H$8:$BA$8</c:f>
            </c:numRef>
          </c:yVal>
        </c:ser>
        <c:dLbls>
          <c:showLegendKey val="0"/>
          <c:showVal val="0"/>
          <c:showCatName val="0"/>
          <c:showSerName val="0"/>
          <c:showPercent val="0"/>
          <c:showBubbleSize val="0"/>
        </c:dLbls>
        <c:axId val="51404283"/>
        <c:axId val="1426517129"/>
      </c:scatterChart>
      <c:valAx>
        <c:axId val="51404283"/>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1426517129"/>
      </c:valAx>
      <c:valAx>
        <c:axId val="1426517129"/>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51404283"/>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Platte River</a:t>
            </a:r>
          </a:p>
        </c:rich>
      </c:tx>
      <c:overlay val="0"/>
    </c:title>
    <c:plotArea>
      <c:layout/>
      <c:scatterChart>
        <c:scatterStyle val="lineMarker"/>
        <c:ser>
          <c:idx val="0"/>
          <c:order val="0"/>
          <c:tx>
            <c:strRef>
              <c:f>'NDVI Acreage'!$A$10:$G$10</c:f>
            </c:strRef>
          </c:tx>
          <c:spPr>
            <a:ln w="47625">
              <a:noFill/>
            </a:ln>
          </c:spPr>
          <c:marker>
            <c:symbol val="circle"/>
            <c:size val="7"/>
            <c:spPr>
              <a:solidFill>
                <a:srgbClr val="A5A5A5"/>
              </a:solidFill>
              <a:ln cmpd="sng">
                <a:solidFill>
                  <a:srgbClr val="A5A5A5"/>
                </a:solidFill>
              </a:ln>
            </c:spPr>
          </c:marker>
          <c:xVal>
            <c:numRef>
              <c:f>'NDVI Acreage'!$H$1:$BA$1</c:f>
            </c:numRef>
          </c:xVal>
          <c:yVal>
            <c:numRef>
              <c:f>'NDVI Acreage'!$H$10:$BA$10</c:f>
            </c:numRef>
          </c:yVal>
        </c:ser>
        <c:ser>
          <c:idx val="1"/>
          <c:order val="1"/>
          <c:tx>
            <c:strRef>
              <c:f>'NDVI Acreage'!$A$11:$G$11</c:f>
            </c:strRef>
          </c:tx>
          <c:spPr>
            <a:ln w="47625">
              <a:noFill/>
            </a:ln>
          </c:spPr>
          <c:marker>
            <c:symbol val="circle"/>
            <c:size val="7"/>
            <c:spPr>
              <a:solidFill>
                <a:srgbClr val="FFC000"/>
              </a:solidFill>
              <a:ln cmpd="sng">
                <a:solidFill>
                  <a:srgbClr val="FFC000"/>
                </a:solidFill>
              </a:ln>
            </c:spPr>
          </c:marker>
          <c:xVal>
            <c:numRef>
              <c:f>'NDVI Acreage'!$H$1:$BA$1</c:f>
            </c:numRef>
          </c:xVal>
          <c:yVal>
            <c:numRef>
              <c:f>'NDVI Acreage'!$H$11:$BA$11</c:f>
            </c:numRef>
          </c:yVal>
        </c:ser>
        <c:ser>
          <c:idx val="2"/>
          <c:order val="2"/>
          <c:tx>
            <c:strRef>
              <c:f>'NDVI Acreage'!$A$12:$G$12</c:f>
            </c:strRef>
          </c:tx>
          <c:spPr>
            <a:ln w="47625">
              <a:noFill/>
            </a:ln>
          </c:spPr>
          <c:marker>
            <c:symbol val="circle"/>
            <c:size val="7"/>
            <c:spPr>
              <a:solidFill>
                <a:srgbClr val="5B9BD5"/>
              </a:solidFill>
              <a:ln cmpd="sng">
                <a:solidFill>
                  <a:srgbClr val="5B9BD5"/>
                </a:solidFill>
              </a:ln>
            </c:spPr>
          </c:marker>
          <c:xVal>
            <c:numRef>
              <c:f>'NDVI Acreage'!$H$1:$BA$1</c:f>
            </c:numRef>
          </c:xVal>
          <c:yVal>
            <c:numRef>
              <c:f>'NDVI Acreage'!$H$12:$BA$12</c:f>
            </c:numRef>
          </c:yVal>
        </c:ser>
        <c:dLbls>
          <c:showLegendKey val="0"/>
          <c:showVal val="0"/>
          <c:showCatName val="0"/>
          <c:showSerName val="0"/>
          <c:showPercent val="0"/>
          <c:showBubbleSize val="0"/>
        </c:dLbls>
        <c:axId val="1577471455"/>
        <c:axId val="541673466"/>
      </c:scatterChart>
      <c:valAx>
        <c:axId val="1577471455"/>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541673466"/>
      </c:valAx>
      <c:valAx>
        <c:axId val="541673466"/>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1577471455"/>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Northeast River</a:t>
            </a:r>
          </a:p>
        </c:rich>
      </c:tx>
      <c:overlay val="0"/>
    </c:title>
    <c:plotArea>
      <c:layout/>
      <c:scatterChart>
        <c:scatterStyle val="lineMarker"/>
        <c:ser>
          <c:idx val="0"/>
          <c:order val="0"/>
          <c:tx>
            <c:strRef>
              <c:f>'NDVI Acreage'!$A$18:$G$18</c:f>
            </c:strRef>
          </c:tx>
          <c:spPr>
            <a:ln w="47625">
              <a:noFill/>
            </a:ln>
          </c:spPr>
          <c:marker>
            <c:symbol val="circle"/>
            <c:size val="7"/>
            <c:spPr>
              <a:solidFill>
                <a:srgbClr val="3366CC"/>
              </a:solidFill>
              <a:ln cmpd="sng">
                <a:solidFill>
                  <a:srgbClr val="3366CC"/>
                </a:solidFill>
              </a:ln>
            </c:spPr>
          </c:marker>
          <c:xVal>
            <c:numRef>
              <c:f>'NDVI Acreage'!$H$1:$BA$1</c:f>
            </c:numRef>
          </c:xVal>
          <c:yVal>
            <c:numRef>
              <c:f>'NDVI Acreage'!$H$18:$BA$18</c:f>
            </c:numRef>
          </c:yVal>
        </c:ser>
        <c:ser>
          <c:idx val="1"/>
          <c:order val="1"/>
          <c:tx>
            <c:strRef>
              <c:f>'NDVI Acreage'!$A$19:$G$19</c:f>
            </c:strRef>
          </c:tx>
          <c:spPr>
            <a:ln w="47625">
              <a:noFill/>
            </a:ln>
          </c:spPr>
          <c:marker>
            <c:symbol val="circle"/>
            <c:size val="7"/>
            <c:spPr>
              <a:solidFill>
                <a:srgbClr val="DC3912"/>
              </a:solidFill>
              <a:ln cmpd="sng">
                <a:solidFill>
                  <a:srgbClr val="DC3912"/>
                </a:solidFill>
              </a:ln>
            </c:spPr>
          </c:marker>
          <c:xVal>
            <c:numRef>
              <c:f>'NDVI Acreage'!$H$1:$BA$1</c:f>
            </c:numRef>
          </c:xVal>
          <c:yVal>
            <c:numRef>
              <c:f>'NDVI Acreage'!$H$19:$BA$19</c:f>
            </c:numRef>
          </c:yVal>
        </c:ser>
        <c:ser>
          <c:idx val="2"/>
          <c:order val="2"/>
          <c:tx>
            <c:strRef>
              <c:f>'NDVI Acreage'!$A$20:$G$20</c:f>
            </c:strRef>
          </c:tx>
          <c:spPr>
            <a:ln w="47625">
              <a:noFill/>
            </a:ln>
          </c:spPr>
          <c:marker>
            <c:symbol val="circle"/>
            <c:size val="7"/>
            <c:spPr>
              <a:solidFill>
                <a:srgbClr val="FF9900"/>
              </a:solidFill>
              <a:ln cmpd="sng">
                <a:solidFill>
                  <a:srgbClr val="FF9900"/>
                </a:solidFill>
              </a:ln>
            </c:spPr>
          </c:marker>
          <c:xVal>
            <c:numRef>
              <c:f>'NDVI Acreage'!$H$1:$BA$1</c:f>
            </c:numRef>
          </c:xVal>
          <c:yVal>
            <c:numRef>
              <c:f>'NDVI Acreage'!$H$20:$BA$20</c:f>
            </c:numRef>
          </c:yVal>
        </c:ser>
        <c:dLbls>
          <c:showLegendKey val="0"/>
          <c:showVal val="0"/>
          <c:showCatName val="0"/>
          <c:showSerName val="0"/>
          <c:showPercent val="0"/>
          <c:showBubbleSize val="0"/>
        </c:dLbls>
        <c:axId val="234184796"/>
        <c:axId val="1109697008"/>
      </c:scatterChart>
      <c:valAx>
        <c:axId val="234184796"/>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1109697008"/>
      </c:valAx>
      <c:valAx>
        <c:axId val="1109697008"/>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234184796"/>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t>Salt-Snake River</a:t>
            </a:r>
          </a:p>
        </c:rich>
      </c:tx>
      <c:overlay val="0"/>
    </c:title>
    <c:plotArea>
      <c:layout/>
      <c:scatterChart>
        <c:scatterStyle val="lineMarker"/>
        <c:ser>
          <c:idx val="0"/>
          <c:order val="0"/>
          <c:tx>
            <c:strRef>
              <c:f>'NDVI Acreage'!$A$22:$G$22</c:f>
            </c:strRef>
          </c:tx>
          <c:spPr>
            <a:ln w="47625">
              <a:noFill/>
            </a:ln>
          </c:spPr>
          <c:marker>
            <c:symbol val="circle"/>
            <c:size val="7"/>
            <c:spPr>
              <a:solidFill>
                <a:srgbClr val="3366CC"/>
              </a:solidFill>
              <a:ln cmpd="sng">
                <a:solidFill>
                  <a:srgbClr val="3366CC"/>
                </a:solidFill>
              </a:ln>
            </c:spPr>
          </c:marker>
          <c:xVal>
            <c:numRef>
              <c:f>'NDVI Acreage'!$H$1:$BA$1</c:f>
            </c:numRef>
          </c:xVal>
          <c:yVal>
            <c:numRef>
              <c:f>'NDVI Acreage'!$H$22:$BA$22</c:f>
            </c:numRef>
          </c:yVal>
        </c:ser>
        <c:ser>
          <c:idx val="1"/>
          <c:order val="1"/>
          <c:tx>
            <c:strRef>
              <c:f>'NDVI Acreage'!$A$23:$G$23</c:f>
            </c:strRef>
          </c:tx>
          <c:spPr>
            <a:ln w="47625">
              <a:noFill/>
            </a:ln>
          </c:spPr>
          <c:marker>
            <c:symbol val="circle"/>
            <c:size val="7"/>
            <c:spPr>
              <a:solidFill>
                <a:srgbClr val="DC3912"/>
              </a:solidFill>
              <a:ln cmpd="sng">
                <a:solidFill>
                  <a:srgbClr val="DC3912"/>
                </a:solidFill>
              </a:ln>
            </c:spPr>
          </c:marker>
          <c:xVal>
            <c:numRef>
              <c:f>'NDVI Acreage'!$H$1:$BA$1</c:f>
            </c:numRef>
          </c:xVal>
          <c:yVal>
            <c:numRef>
              <c:f>'NDVI Acreage'!$H$23:$BA$23</c:f>
            </c:numRef>
          </c:yVal>
        </c:ser>
        <c:ser>
          <c:idx val="2"/>
          <c:order val="2"/>
          <c:tx>
            <c:strRef>
              <c:f>'NDVI Acreage'!$A$24:$G$24</c:f>
            </c:strRef>
          </c:tx>
          <c:spPr>
            <a:ln w="47625">
              <a:noFill/>
            </a:ln>
          </c:spPr>
          <c:marker>
            <c:symbol val="circle"/>
            <c:size val="7"/>
            <c:spPr>
              <a:solidFill>
                <a:srgbClr val="FF9900"/>
              </a:solidFill>
              <a:ln cmpd="sng">
                <a:solidFill>
                  <a:srgbClr val="FF9900"/>
                </a:solidFill>
              </a:ln>
            </c:spPr>
          </c:marker>
          <c:xVal>
            <c:numRef>
              <c:f>'NDVI Acreage'!$H$1:$BA$1</c:f>
            </c:numRef>
          </c:xVal>
          <c:yVal>
            <c:numRef>
              <c:f>'NDVI Acreage'!$H$24:$BA$24</c:f>
            </c:numRef>
          </c:yVal>
        </c:ser>
        <c:dLbls>
          <c:showLegendKey val="0"/>
          <c:showVal val="0"/>
          <c:showCatName val="0"/>
          <c:showSerName val="0"/>
          <c:showPercent val="0"/>
          <c:showBubbleSize val="0"/>
        </c:dLbls>
        <c:axId val="455887750"/>
        <c:axId val="1187189281"/>
      </c:scatterChart>
      <c:valAx>
        <c:axId val="455887750"/>
        <c:scaling>
          <c:orientation val="minMax"/>
          <c:max val="2030.0"/>
          <c:min val="1985.0"/>
        </c:scaling>
        <c:delete val="0"/>
        <c:axPos val="b"/>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1187189281"/>
      </c:valAx>
      <c:valAx>
        <c:axId val="1187189281"/>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455887750"/>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000000"/>
                </a:solidFill>
                <a:latin typeface="Calibri"/>
              </a:defRPr>
            </a:pPr>
            <a:r>
              <a:t>Platte River Basin Indexed Municipal and Domestic Water Use</a:t>
            </a:r>
          </a:p>
        </c:rich>
      </c:tx>
      <c:overlay val="0"/>
    </c:title>
    <c:plotArea>
      <c:layout/>
      <c:scatterChart>
        <c:scatterStyle val="lineMarker"/>
        <c:ser>
          <c:idx val="0"/>
          <c:order val="0"/>
          <c:spPr>
            <a:ln w="47625">
              <a:noFill/>
            </a:ln>
          </c:spPr>
          <c:marker>
            <c:symbol val="circle"/>
            <c:size val="7"/>
            <c:spPr>
              <a:solidFill>
                <a:srgbClr val="4472C4"/>
              </a:solidFill>
              <a:ln cmpd="sng">
                <a:solidFill>
                  <a:srgbClr val="4472C4"/>
                </a:solidFill>
              </a:ln>
            </c:spPr>
          </c:marker>
          <c:xVal>
            <c:numRef>
              <c:f>'Industrial Water Use Cals'!$C$78:$AG$78</c:f>
            </c:numRef>
          </c:xVal>
          <c:yVal>
            <c:numRef>
              <c:f>'Industrial Water Use Cals'!$C$137:$AG$137</c:f>
            </c:numRef>
          </c:yVal>
        </c:ser>
        <c:ser>
          <c:idx val="1"/>
          <c:order val="1"/>
          <c:spPr>
            <a:ln w="47625">
              <a:noFill/>
            </a:ln>
          </c:spPr>
          <c:marker>
            <c:symbol val="circle"/>
            <c:size val="7"/>
            <c:spPr>
              <a:solidFill>
                <a:srgbClr val="ED7D31"/>
              </a:solidFill>
              <a:ln cmpd="sng">
                <a:solidFill>
                  <a:srgbClr val="ED7D31"/>
                </a:solidFill>
              </a:ln>
            </c:spPr>
          </c:marker>
          <c:xVal>
            <c:numRef>
              <c:f>'Industrial Water Use Cals'!$C$78:$AG$78</c:f>
            </c:numRef>
          </c:xVal>
          <c:yVal>
            <c:numRef>
              <c:f>'Industrial Water Use Cals'!$C$136:$AG$136</c:f>
            </c:numRef>
          </c:yVal>
        </c:ser>
        <c:dLbls>
          <c:showLegendKey val="0"/>
          <c:showVal val="0"/>
          <c:showCatName val="0"/>
          <c:showSerName val="0"/>
          <c:showPercent val="0"/>
          <c:showBubbleSize val="0"/>
        </c:dLbls>
        <c:axId val="245630791"/>
        <c:axId val="1190505208"/>
      </c:scatterChart>
      <c:valAx>
        <c:axId val="245630791"/>
        <c:scaling>
          <c:orientation val="minMax"/>
        </c:scaling>
        <c:delete val="0"/>
        <c:axPos val="b"/>
        <c:majorGridlines>
          <c:spPr>
            <a:ln>
              <a:solidFill>
                <a:srgbClr val="808080"/>
              </a:solidFill>
            </a:ln>
          </c:spPr>
        </c:majorGridlines>
        <c:title>
          <c:tx>
            <c:rich>
              <a:bodyPr/>
              <a:lstStyle/>
              <a:p>
                <a:pPr lvl="0">
                  <a:defRPr b="0" i="0" sz="1000">
                    <a:solidFill>
                      <a:srgbClr val="000000"/>
                    </a:solidFill>
                    <a:latin typeface="Calibri"/>
                  </a:defRPr>
                </a:pPr>
                <a:r>
                  <a:t>Year</a:t>
                </a:r>
              </a:p>
            </c:rich>
          </c:tx>
          <c:overlay val="0"/>
        </c:title>
        <c:numFmt formatCode="General" sourceLinked="1"/>
        <c:tickLblPos val="nextTo"/>
        <c:spPr>
          <a:ln w="47625">
            <a:noFill/>
          </a:ln>
        </c:spPr>
        <c:txPr>
          <a:bodyPr/>
          <a:lstStyle/>
          <a:p>
            <a:pPr lvl="0">
              <a:defRPr b="0" i="0" sz="900">
                <a:solidFill>
                  <a:srgbClr val="000000"/>
                </a:solidFill>
                <a:latin typeface="Calibri"/>
              </a:defRPr>
            </a:pPr>
          </a:p>
        </c:txPr>
        <c:crossAx val="1190505208"/>
      </c:valAx>
      <c:valAx>
        <c:axId val="1190505208"/>
        <c:scaling>
          <c:orientation val="minMax"/>
        </c:scaling>
        <c:delete val="0"/>
        <c:axPos val="l"/>
        <c:majorGridlines>
          <c:spPr>
            <a:ln>
              <a:solidFill>
                <a:srgbClr val="808080"/>
              </a:solidFill>
            </a:ln>
          </c:spPr>
        </c:majorGridlines>
        <c:title>
          <c:tx>
            <c:rich>
              <a:bodyPr/>
              <a:lstStyle/>
              <a:p>
                <a:pPr lvl="0">
                  <a:defRPr b="0" i="0" sz="1000">
                    <a:solidFill>
                      <a:srgbClr val="000000"/>
                    </a:solidFill>
                    <a:latin typeface="Calibri"/>
                  </a:defRPr>
                </a:pPr>
                <a:r>
                  <a:t>Consumptive Use (AF/yr)</a:t>
                </a:r>
              </a:p>
            </c:rich>
          </c:tx>
          <c:overlay val="0"/>
        </c:title>
        <c:numFmt formatCode="General" sourceLinked="1"/>
        <c:tickLblPos val="nextTo"/>
        <c:spPr>
          <a:ln w="47625">
            <a:noFill/>
          </a:ln>
        </c:spPr>
        <c:txPr>
          <a:bodyPr/>
          <a:lstStyle/>
          <a:p>
            <a:pPr lvl="0">
              <a:defRPr b="0" i="0" sz="900">
                <a:solidFill>
                  <a:srgbClr val="000000"/>
                </a:solidFill>
                <a:latin typeface="Calibri"/>
              </a:defRPr>
            </a:pPr>
          </a:p>
        </c:txPr>
        <c:crossAx val="245630791"/>
      </c:valAx>
    </c:plotArea>
    <c:legend>
      <c:legendPos val="b"/>
      <c:overlay val="0"/>
      <c:txPr>
        <a:bodyPr/>
        <a:lstStyle/>
        <a:p>
          <a:pPr lvl="0">
            <a:defRPr sz="900">
              <a:solidFill>
                <a:srgbClr val="000000"/>
              </a:solidFill>
              <a:latin typeface="Calibri"/>
            </a:defRPr>
          </a:pPr>
        </a:p>
      </c:txPr>
    </c:legend>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3366CC"/>
              </a:solidFill>
              <a:ln cmpd="sng">
                <a:solidFill>
                  <a:srgbClr val="3366CC"/>
                </a:solidFill>
              </a:ln>
            </c:spPr>
          </c:marker>
          <c:xVal>
            <c:numRef>
              <c:f>'Mine Production'!$A$15:$A$45</c:f>
            </c:numRef>
          </c:xVal>
          <c:yVal>
            <c:numRef>
              <c:f>'Mine Production'!$C$15:$C$45</c:f>
            </c:numRef>
          </c:yVal>
        </c:ser>
        <c:dLbls>
          <c:showLegendKey val="0"/>
          <c:showVal val="0"/>
          <c:showCatName val="0"/>
          <c:showSerName val="0"/>
          <c:showPercent val="0"/>
          <c:showBubbleSize val="0"/>
        </c:dLbls>
        <c:axId val="2074785785"/>
        <c:axId val="1520468114"/>
      </c:scatterChart>
      <c:valAx>
        <c:axId val="2074785785"/>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520468114"/>
      </c:valAx>
      <c:valAx>
        <c:axId val="1520468114"/>
        <c:scaling>
          <c:orientation val="minMax"/>
        </c:scaling>
        <c:delete val="0"/>
        <c:axPos val="l"/>
        <c:majorGridlines>
          <c:spPr>
            <a:ln>
              <a:solidFill>
                <a:srgbClr val="D9D9D9"/>
              </a:solidFill>
            </a:ln>
          </c:spPr>
        </c:majorGridlines>
        <c:numFmt formatCode="General" sourceLinked="1"/>
        <c:tickLblPos val="nextTo"/>
        <c:spPr>
          <a:ln w="47625">
            <a:noFill/>
          </a:ln>
        </c:spPr>
        <c:txPr>
          <a:bodyPr/>
          <a:lstStyle/>
          <a:p>
            <a:pPr lvl="0">
              <a:defRPr b="0" i="0" sz="900">
                <a:solidFill>
                  <a:srgbClr val="595959"/>
                </a:solidFill>
                <a:latin typeface="Calibri"/>
              </a:defRPr>
            </a:pPr>
          </a:p>
        </c:txPr>
        <c:crossAx val="2074785785"/>
      </c:valAx>
    </c:plotArea>
    <c:legend>
      <c:legendPos val="b"/>
      <c:overlay val="0"/>
      <c:txPr>
        <a:bodyPr/>
        <a:lstStyle/>
        <a:p>
          <a:pPr lvl="0">
            <a:defRPr sz="900">
              <a:solidFill>
                <a:srgbClr val="595959"/>
              </a:solidFill>
              <a:latin typeface="Calibri"/>
            </a:defRPr>
          </a:pPr>
        </a:p>
      </c:txPr>
    </c:legend>
    <c:plotVisOnly val="1"/>
  </c:chart>
  <c:spPr>
    <a:solidFill>
      <a:srgbClr val="FFFFFF"/>
    </a:solidFill>
  </c:spPr>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1" Type="http://schemas.openxmlformats.org/officeDocument/2006/relationships/chart" Target="../charts/chart19.xml"/><Relationship Id="rId10" Type="http://schemas.openxmlformats.org/officeDocument/2006/relationships/chart" Target="../charts/chart18.xml"/><Relationship Id="rId13" Type="http://schemas.openxmlformats.org/officeDocument/2006/relationships/chart" Target="../charts/chart21.xml"/><Relationship Id="rId12" Type="http://schemas.openxmlformats.org/officeDocument/2006/relationships/chart" Target="../charts/chart20.xml"/><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9" Type="http://schemas.openxmlformats.org/officeDocument/2006/relationships/chart" Target="../charts/chart17.xml"/><Relationship Id="rId15" Type="http://schemas.openxmlformats.org/officeDocument/2006/relationships/chart" Target="../charts/chart23.xml"/><Relationship Id="rId14" Type="http://schemas.openxmlformats.org/officeDocument/2006/relationships/chart" Target="../charts/chart2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 Id="rId3" Type="http://schemas.openxmlformats.org/officeDocument/2006/relationships/chart" Target="../charts/chart26.xml"/><Relationship Id="rId4" Type="http://schemas.openxmlformats.org/officeDocument/2006/relationships/chart" Target="../charts/chart27.xml"/><Relationship Id="rId5" Type="http://schemas.openxmlformats.org/officeDocument/2006/relationships/chart" Target="../charts/chart28.xml"/><Relationship Id="rId6" Type="http://schemas.openxmlformats.org/officeDocument/2006/relationships/chart" Target="../charts/chart29.xml"/><Relationship Id="rId7" Type="http://schemas.openxmlformats.org/officeDocument/2006/relationships/chart" Target="../charts/chart3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102</xdr:row>
      <xdr:rowOff>152400</xdr:rowOff>
    </xdr:from>
    <xdr:ext cx="6257925" cy="3400425"/>
    <xdr:graphicFrame>
      <xdr:nvGraphicFramePr>
        <xdr:cNvPr id="1810371582"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114300</xdr:colOff>
      <xdr:row>102</xdr:row>
      <xdr:rowOff>152400</xdr:rowOff>
    </xdr:from>
    <xdr:ext cx="6810375" cy="3400425"/>
    <xdr:graphicFrame>
      <xdr:nvGraphicFramePr>
        <xdr:cNvPr id="803364657" name="Chart 6"/>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276225</xdr:colOff>
      <xdr:row>102</xdr:row>
      <xdr:rowOff>142875</xdr:rowOff>
    </xdr:from>
    <xdr:ext cx="6438900" cy="3409950"/>
    <xdr:graphicFrame>
      <xdr:nvGraphicFramePr>
        <xdr:cNvPr id="471373815" name="Chart 10"/>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25</xdr:col>
      <xdr:colOff>447675</xdr:colOff>
      <xdr:row>102</xdr:row>
      <xdr:rowOff>142875</xdr:rowOff>
    </xdr:from>
    <xdr:ext cx="5895975" cy="3409950"/>
    <xdr:graphicFrame>
      <xdr:nvGraphicFramePr>
        <xdr:cNvPr id="1822754133" name="Chart 13"/>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124</xdr:row>
      <xdr:rowOff>47625</xdr:rowOff>
    </xdr:from>
    <xdr:ext cx="6238875" cy="3400425"/>
    <xdr:graphicFrame>
      <xdr:nvGraphicFramePr>
        <xdr:cNvPr id="1099063448" name="Chart 17"/>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95250</xdr:colOff>
      <xdr:row>124</xdr:row>
      <xdr:rowOff>66675</xdr:rowOff>
    </xdr:from>
    <xdr:ext cx="6867525" cy="3400425"/>
    <xdr:graphicFrame>
      <xdr:nvGraphicFramePr>
        <xdr:cNvPr id="1180536572" name="Chart 21"/>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16</xdr:col>
      <xdr:colOff>323850</xdr:colOff>
      <xdr:row>124</xdr:row>
      <xdr:rowOff>19050</xdr:rowOff>
    </xdr:from>
    <xdr:ext cx="6448425" cy="3400425"/>
    <xdr:graphicFrame>
      <xdr:nvGraphicFramePr>
        <xdr:cNvPr id="1975007094" name="Chart 25"/>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25</xdr:col>
      <xdr:colOff>476250</xdr:colOff>
      <xdr:row>124</xdr:row>
      <xdr:rowOff>0</xdr:rowOff>
    </xdr:from>
    <xdr:ext cx="5905500" cy="3400425"/>
    <xdr:graphicFrame>
      <xdr:nvGraphicFramePr>
        <xdr:cNvPr id="520021707" name="Chart 29"/>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17</xdr:row>
      <xdr:rowOff>85725</xdr:rowOff>
    </xdr:from>
    <xdr:ext cx="5753100" cy="3524250"/>
    <xdr:graphicFrame>
      <xdr:nvGraphicFramePr>
        <xdr:cNvPr id="801366326"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104775</xdr:colOff>
      <xdr:row>17</xdr:row>
      <xdr:rowOff>95250</xdr:rowOff>
    </xdr:from>
    <xdr:ext cx="5743575" cy="3524250"/>
    <xdr:graphicFrame>
      <xdr:nvGraphicFramePr>
        <xdr:cNvPr id="251511424" name="Chart 4"/>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57150</xdr:colOff>
      <xdr:row>56</xdr:row>
      <xdr:rowOff>114300</xdr:rowOff>
    </xdr:from>
    <xdr:ext cx="5753100" cy="3543300"/>
    <xdr:graphicFrame>
      <xdr:nvGraphicFramePr>
        <xdr:cNvPr id="916270987" name="Chart 7"/>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152400</xdr:colOff>
      <xdr:row>56</xdr:row>
      <xdr:rowOff>123825</xdr:rowOff>
    </xdr:from>
    <xdr:ext cx="5743575" cy="3524250"/>
    <xdr:graphicFrame>
      <xdr:nvGraphicFramePr>
        <xdr:cNvPr id="1101322887" name="Chart 9"/>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57150</xdr:colOff>
      <xdr:row>96</xdr:row>
      <xdr:rowOff>114300</xdr:rowOff>
    </xdr:from>
    <xdr:ext cx="5753100" cy="3543300"/>
    <xdr:graphicFrame>
      <xdr:nvGraphicFramePr>
        <xdr:cNvPr id="716313131" name="Chart 11"/>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152400</xdr:colOff>
      <xdr:row>96</xdr:row>
      <xdr:rowOff>123825</xdr:rowOff>
    </xdr:from>
    <xdr:ext cx="5743575" cy="3524250"/>
    <xdr:graphicFrame>
      <xdr:nvGraphicFramePr>
        <xdr:cNvPr id="1564751543" name="Chart 14"/>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57150</xdr:colOff>
      <xdr:row>136</xdr:row>
      <xdr:rowOff>114300</xdr:rowOff>
    </xdr:from>
    <xdr:ext cx="5753100" cy="3543300"/>
    <xdr:graphicFrame>
      <xdr:nvGraphicFramePr>
        <xdr:cNvPr id="1191073011" name="Chart 16"/>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xdr:col>
      <xdr:colOff>152400</xdr:colOff>
      <xdr:row>136</xdr:row>
      <xdr:rowOff>123825</xdr:rowOff>
    </xdr:from>
    <xdr:ext cx="5743575" cy="3524250"/>
    <xdr:graphicFrame>
      <xdr:nvGraphicFramePr>
        <xdr:cNvPr id="2116455602" name="Chart 18"/>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57150</xdr:colOff>
      <xdr:row>180</xdr:row>
      <xdr:rowOff>114300</xdr:rowOff>
    </xdr:from>
    <xdr:ext cx="5753100" cy="3543300"/>
    <xdr:graphicFrame>
      <xdr:nvGraphicFramePr>
        <xdr:cNvPr id="506126605" name="Chart 20"/>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7</xdr:col>
      <xdr:colOff>152400</xdr:colOff>
      <xdr:row>180</xdr:row>
      <xdr:rowOff>123825</xdr:rowOff>
    </xdr:from>
    <xdr:ext cx="5743575" cy="3524250"/>
    <xdr:graphicFrame>
      <xdr:nvGraphicFramePr>
        <xdr:cNvPr id="1202050742" name="Chart 23"/>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0</xdr:col>
      <xdr:colOff>57150</xdr:colOff>
      <xdr:row>220</xdr:row>
      <xdr:rowOff>114300</xdr:rowOff>
    </xdr:from>
    <xdr:ext cx="5753100" cy="3543300"/>
    <xdr:graphicFrame>
      <xdr:nvGraphicFramePr>
        <xdr:cNvPr id="1855418463" name="Chart 24"/>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7</xdr:col>
      <xdr:colOff>152400</xdr:colOff>
      <xdr:row>220</xdr:row>
      <xdr:rowOff>123825</xdr:rowOff>
    </xdr:from>
    <xdr:ext cx="5743575" cy="3524250"/>
    <xdr:graphicFrame>
      <xdr:nvGraphicFramePr>
        <xdr:cNvPr id="803758169" name="Chart 26"/>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57150</xdr:colOff>
      <xdr:row>260</xdr:row>
      <xdr:rowOff>114300</xdr:rowOff>
    </xdr:from>
    <xdr:ext cx="5753100" cy="3543300"/>
    <xdr:graphicFrame>
      <xdr:nvGraphicFramePr>
        <xdr:cNvPr id="640599344" name="Chart 27"/>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7</xdr:col>
      <xdr:colOff>152400</xdr:colOff>
      <xdr:row>260</xdr:row>
      <xdr:rowOff>123825</xdr:rowOff>
    </xdr:from>
    <xdr:ext cx="5743575" cy="3524250"/>
    <xdr:graphicFrame>
      <xdr:nvGraphicFramePr>
        <xdr:cNvPr id="987868890" name="Chart 28"/>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16</xdr:col>
      <xdr:colOff>457200</xdr:colOff>
      <xdr:row>133</xdr:row>
      <xdr:rowOff>38100</xdr:rowOff>
    </xdr:from>
    <xdr:ext cx="5781675" cy="3724275"/>
    <xdr:graphicFrame>
      <xdr:nvGraphicFramePr>
        <xdr:cNvPr id="2073336667" name="Chart 30"/>
        <xdr:cNvGraphicFramePr/>
      </xdr:nvGraphicFramePr>
      <xdr:xfrm>
        <a:off x="0" y="0"/>
        <a:ext cx="0" cy="0"/>
      </xdr:xfrm>
      <a:graphic>
        <a:graphicData uri="http://schemas.openxmlformats.org/drawingml/2006/chart">
          <c:chart r:id="rId1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xdr:col>
      <xdr:colOff>219075</xdr:colOff>
      <xdr:row>29</xdr:row>
      <xdr:rowOff>38100</xdr:rowOff>
    </xdr:from>
    <xdr:ext cx="4352925" cy="4181475"/>
    <xdr:graphicFrame>
      <xdr:nvGraphicFramePr>
        <xdr:cNvPr id="901031379" name="Chart 3"/>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43</xdr:col>
      <xdr:colOff>361950</xdr:colOff>
      <xdr:row>29</xdr:row>
      <xdr:rowOff>38100</xdr:rowOff>
    </xdr:from>
    <xdr:ext cx="4324350" cy="4171950"/>
    <xdr:graphicFrame>
      <xdr:nvGraphicFramePr>
        <xdr:cNvPr id="1847554832" name="Chart 5"/>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66675</xdr:colOff>
      <xdr:row>29</xdr:row>
      <xdr:rowOff>57150</xdr:rowOff>
    </xdr:from>
    <xdr:ext cx="4391025" cy="4181475"/>
    <xdr:graphicFrame>
      <xdr:nvGraphicFramePr>
        <xdr:cNvPr id="391263947" name="Chart 8"/>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304800</xdr:colOff>
      <xdr:row>29</xdr:row>
      <xdr:rowOff>57150</xdr:rowOff>
    </xdr:from>
    <xdr:ext cx="4352925" cy="4181475"/>
    <xdr:graphicFrame>
      <xdr:nvGraphicFramePr>
        <xdr:cNvPr id="331764044" name="Chart 1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20</xdr:col>
      <xdr:colOff>419100</xdr:colOff>
      <xdr:row>29</xdr:row>
      <xdr:rowOff>47625</xdr:rowOff>
    </xdr:from>
    <xdr:ext cx="4324350" cy="4171950"/>
    <xdr:graphicFrame>
      <xdr:nvGraphicFramePr>
        <xdr:cNvPr id="1839380987" name="Chart 15"/>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13</xdr:col>
      <xdr:colOff>47625</xdr:colOff>
      <xdr:row>29</xdr:row>
      <xdr:rowOff>57150</xdr:rowOff>
    </xdr:from>
    <xdr:ext cx="4352925" cy="4162425"/>
    <xdr:graphicFrame>
      <xdr:nvGraphicFramePr>
        <xdr:cNvPr id="1107037312" name="Chart 19"/>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36</xdr:col>
      <xdr:colOff>0</xdr:colOff>
      <xdr:row>29</xdr:row>
      <xdr:rowOff>38100</xdr:rowOff>
    </xdr:from>
    <xdr:ext cx="4343400" cy="4171950"/>
    <xdr:graphicFrame>
      <xdr:nvGraphicFramePr>
        <xdr:cNvPr id="425877917" name="Chart 22"/>
        <xdr:cNvGraphicFramePr/>
      </xdr:nvGraphicFramePr>
      <xdr:xfrm>
        <a:off x="0" y="0"/>
        <a:ext cx="0" cy="0"/>
      </xdr:xfrm>
      <a:graphic>
        <a:graphicData uri="http://schemas.openxmlformats.org/drawingml/2006/chart">
          <c:chart r:id="rId7"/>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666750</xdr:colOff>
      <xdr:row>84</xdr:row>
      <xdr:rowOff>171450</xdr:rowOff>
    </xdr:from>
    <xdr:ext cx="7000875" cy="3676650"/>
    <xdr:graphicFrame>
      <xdr:nvGraphicFramePr>
        <xdr:cNvPr id="673270473" name="Chart 3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1104900</xdr:colOff>
      <xdr:row>52</xdr:row>
      <xdr:rowOff>114300</xdr:rowOff>
    </xdr:from>
    <xdr:ext cx="9048750" cy="6143625"/>
    <xdr:graphicFrame>
      <xdr:nvGraphicFramePr>
        <xdr:cNvPr id="273557980" name="Chart 3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Y:\1-Technical\2822%20WWDC\Water%20Supply%20Index\Indecies\Industrial%20Use%20Indicies.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Industrial Use Index"/>
      <sheetName val="Bear Creek Index Data"/>
    </sheetNames>
    <sheetDataSet>
      <sheetData sheetId="0"/>
      <sheetData sheetId="1"/>
    </sheetDataSet>
  </externalBook>
</externalLink>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1" Type="http://schemas.openxmlformats.org/officeDocument/2006/relationships/hyperlink" Target="https://www.eia.gov/electricity/data/browser/" TargetMode="External"/><Relationship Id="rId10" Type="http://schemas.openxmlformats.org/officeDocument/2006/relationships/hyperlink" Target="https://www.eia.gov/electricity/data/browser/" TargetMode="External"/><Relationship Id="rId13" Type="http://schemas.openxmlformats.org/officeDocument/2006/relationships/hyperlink" Target="https://www.eia.gov/electricity/data/browser/" TargetMode="External"/><Relationship Id="rId12" Type="http://schemas.openxmlformats.org/officeDocument/2006/relationships/hyperlink" Target="https://www.eia.gov/electricity/data/browser/" TargetMode="External"/><Relationship Id="rId1" Type="http://schemas.openxmlformats.org/officeDocument/2006/relationships/hyperlink" Target="https://www.eia.gov/electricity/data/browser/" TargetMode="External"/><Relationship Id="rId2" Type="http://schemas.openxmlformats.org/officeDocument/2006/relationships/hyperlink" Target="https://www.eia.gov/electricity/data/browser/" TargetMode="External"/><Relationship Id="rId3" Type="http://schemas.openxmlformats.org/officeDocument/2006/relationships/hyperlink" Target="https://www.eia.gov/electricity/data/browser/" TargetMode="External"/><Relationship Id="rId4" Type="http://schemas.openxmlformats.org/officeDocument/2006/relationships/hyperlink" Target="https://www.eia.gov/electricity/data/browser/" TargetMode="External"/><Relationship Id="rId9" Type="http://schemas.openxmlformats.org/officeDocument/2006/relationships/hyperlink" Target="https://www.eia.gov/electricity/data/browser/" TargetMode="External"/><Relationship Id="rId15" Type="http://schemas.openxmlformats.org/officeDocument/2006/relationships/drawing" Target="../drawings/drawing7.xml"/><Relationship Id="rId14" Type="http://schemas.openxmlformats.org/officeDocument/2006/relationships/hyperlink" Target="https://www.eia.gov/electricity/data/browser/" TargetMode="External"/><Relationship Id="rId5" Type="http://schemas.openxmlformats.org/officeDocument/2006/relationships/hyperlink" Target="https://www.eia.gov/electricity/data/browser/" TargetMode="External"/><Relationship Id="rId6" Type="http://schemas.openxmlformats.org/officeDocument/2006/relationships/hyperlink" Target="https://www.eia.gov/electricity/data/browser/" TargetMode="External"/><Relationship Id="rId7" Type="http://schemas.openxmlformats.org/officeDocument/2006/relationships/hyperlink" Target="https://www.eia.gov/electricity/data/browser/" TargetMode="External"/><Relationship Id="rId8" Type="http://schemas.openxmlformats.org/officeDocument/2006/relationships/hyperlink" Target="https://www.eia.gov/electricity/data/browse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pipeline.wyo.gov/Basins2.ht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pipeline.wyo.gov/GasPlant.cfm?nCODE=129" TargetMode="External"/><Relationship Id="rId2" Type="http://schemas.openxmlformats.org/officeDocument/2006/relationships/hyperlink" Target="http://pipeline.wyo.gov/GasPlant.cfm?nCODE=4560"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arlweb.msha.gov/OpenGovernmentData/OGIMSHA.asp"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8.86"/>
    <col customWidth="1" min="2" max="3" width="19.57"/>
    <col customWidth="1" min="4" max="22" width="11.14"/>
    <col customWidth="1" min="23" max="34" width="9.29"/>
    <col customWidth="1" min="35" max="54" width="8.86"/>
  </cols>
  <sheetData>
    <row r="1" ht="12.75" customHeight="1">
      <c r="A1" s="57" t="s">
        <v>42</v>
      </c>
      <c r="B1" s="24"/>
      <c r="C1" s="49"/>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row>
    <row r="2" ht="12.75" customHeight="1">
      <c r="A2" s="24" t="s">
        <v>43</v>
      </c>
      <c r="B2" s="24"/>
      <c r="C2" s="49"/>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row>
    <row r="3" ht="12.75" customHeight="1">
      <c r="A3" s="24"/>
      <c r="B3" s="24"/>
      <c r="C3" s="49"/>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row>
    <row r="4" ht="12.75" customHeight="1">
      <c r="A4" s="61" t="s">
        <v>45</v>
      </c>
      <c r="B4" s="31"/>
      <c r="C4" s="32"/>
      <c r="D4" s="62">
        <v>2000.0</v>
      </c>
      <c r="E4" s="62">
        <v>2001.0</v>
      </c>
      <c r="F4" s="62">
        <v>2002.0</v>
      </c>
      <c r="G4" s="62">
        <v>2003.0</v>
      </c>
      <c r="H4" s="62">
        <v>2004.0</v>
      </c>
      <c r="I4" s="62">
        <v>2005.0</v>
      </c>
      <c r="J4" s="62">
        <v>2006.0</v>
      </c>
      <c r="K4" s="62">
        <v>2007.0</v>
      </c>
      <c r="L4" s="62">
        <v>2008.0</v>
      </c>
      <c r="M4" s="62">
        <v>2009.0</v>
      </c>
      <c r="N4" s="62">
        <v>2010.0</v>
      </c>
      <c r="O4" s="62">
        <v>2011.0</v>
      </c>
      <c r="P4" s="62">
        <v>2012.0</v>
      </c>
      <c r="Q4" s="62">
        <v>2013.0</v>
      </c>
      <c r="R4" s="62">
        <v>2014.0</v>
      </c>
      <c r="S4" s="62">
        <v>2015.0</v>
      </c>
      <c r="T4" s="62">
        <v>2016.0</v>
      </c>
      <c r="U4" s="62">
        <v>2017.0</v>
      </c>
      <c r="V4" s="62">
        <v>2018.0</v>
      </c>
      <c r="W4" s="62">
        <v>2019.0</v>
      </c>
      <c r="X4" s="62">
        <v>2020.0</v>
      </c>
      <c r="Y4" s="62">
        <v>2021.0</v>
      </c>
      <c r="Z4" s="62">
        <v>2022.0</v>
      </c>
      <c r="AA4" s="62">
        <v>2023.0</v>
      </c>
      <c r="AB4" s="62">
        <v>2024.0</v>
      </c>
      <c r="AC4" s="62">
        <v>2025.0</v>
      </c>
      <c r="AD4" s="62">
        <v>2026.0</v>
      </c>
      <c r="AE4" s="62">
        <v>2027.0</v>
      </c>
      <c r="AF4" s="62">
        <v>2028.0</v>
      </c>
      <c r="AG4" s="62">
        <v>2029.0</v>
      </c>
      <c r="AH4" s="64">
        <v>2030.0</v>
      </c>
      <c r="AI4" s="24"/>
      <c r="AJ4" s="24"/>
      <c r="AK4" s="24"/>
      <c r="AL4" s="24"/>
      <c r="AM4" s="24"/>
      <c r="AN4" s="24"/>
      <c r="AO4" s="24"/>
      <c r="AP4" s="24"/>
      <c r="AQ4" s="24"/>
      <c r="AR4" s="24"/>
      <c r="AS4" s="24"/>
      <c r="AT4" s="24"/>
      <c r="AU4" s="24"/>
      <c r="AV4" s="24"/>
      <c r="AW4" s="24"/>
      <c r="AX4" s="24"/>
      <c r="AY4" s="24"/>
      <c r="AZ4" s="24"/>
      <c r="BA4" s="24"/>
      <c r="BB4" s="24"/>
    </row>
    <row r="5" ht="12.75" customHeight="1">
      <c r="A5" s="66" t="s">
        <v>2</v>
      </c>
      <c r="B5" s="68" t="s">
        <v>46</v>
      </c>
      <c r="C5" s="70" t="s">
        <v>47</v>
      </c>
      <c r="D5" s="73">
        <f>'Agricultural Water Use Calcs'!V9</f>
        <v>66151.8195</v>
      </c>
      <c r="E5" s="73">
        <f>'Agricultural Water Use Calcs'!W9</f>
        <v>74287.40085</v>
      </c>
      <c r="F5" s="73">
        <f>'Agricultural Water Use Calcs'!X9</f>
        <v>60814.1703</v>
      </c>
      <c r="G5" s="73">
        <f>'Agricultural Water Use Calcs'!Y9</f>
        <v>80190.23415</v>
      </c>
      <c r="H5" s="73">
        <f>'Agricultural Water Use Calcs'!Z9</f>
        <v>91557.11565</v>
      </c>
      <c r="I5" s="73">
        <f>'Agricultural Water Use Calcs'!AA9</f>
        <v>102132.1977</v>
      </c>
      <c r="J5" s="73">
        <f>'Agricultural Water Use Calcs'!AB9</f>
        <v>90562.17495</v>
      </c>
      <c r="K5" s="73">
        <f>'Agricultural Water Use Calcs'!AC9</f>
        <v>70278.74685</v>
      </c>
      <c r="L5" s="73">
        <f>'Agricultural Water Use Calcs'!AD9</f>
        <v>92369.68065</v>
      </c>
      <c r="M5" s="73">
        <f>'Agricultural Water Use Calcs'!AE9</f>
        <v>104457.9393</v>
      </c>
      <c r="N5" s="73">
        <f>'Agricultural Water Use Calcs'!AF9</f>
        <v>95931.4239</v>
      </c>
      <c r="O5" s="73">
        <f>'Agricultural Water Use Calcs'!AG9</f>
        <v>111974.1656</v>
      </c>
      <c r="P5" s="73">
        <f>'Agricultural Water Use Calcs'!AH9</f>
        <v>75696.7497</v>
      </c>
      <c r="Q5" s="73">
        <f>'Agricultural Water Use Calcs'!AI9</f>
        <v>76665.50775</v>
      </c>
      <c r="R5" s="73">
        <f>'Agricultural Water Use Calcs'!AJ9</f>
        <v>108878.2929</v>
      </c>
      <c r="S5" s="73">
        <f>'Agricultural Water Use Calcs'!AK9</f>
        <v>86587.82925</v>
      </c>
      <c r="T5" s="73">
        <f>'Agricultural Water Use Calcs'!AL9</f>
        <v>112565.5323</v>
      </c>
      <c r="U5" s="73">
        <f>'Agricultural Water Use Calcs'!AM9</f>
        <v>113407.8914</v>
      </c>
      <c r="V5" s="73">
        <f>'Agricultural Water Use Calcs'!AN9</f>
        <v>104616.8409</v>
      </c>
      <c r="W5" s="73" t="str">
        <f>'Agricultural Water Use Calcs'!AO9</f>
        <v>#DIV/0!</v>
      </c>
      <c r="X5" s="73" t="str">
        <f>'Agricultural Water Use Calcs'!AP9</f>
        <v>#DIV/0!</v>
      </c>
      <c r="Y5" s="73" t="str">
        <f>'Agricultural Water Use Calcs'!AQ9</f>
        <v>#DIV/0!</v>
      </c>
      <c r="Z5" s="73" t="str">
        <f>'Agricultural Water Use Calcs'!AR9</f>
        <v>#DIV/0!</v>
      </c>
      <c r="AA5" s="73" t="str">
        <f>'Agricultural Water Use Calcs'!AS9</f>
        <v>#DIV/0!</v>
      </c>
      <c r="AB5" s="73" t="str">
        <f>'Agricultural Water Use Calcs'!AT9</f>
        <v>#DIV/0!</v>
      </c>
      <c r="AC5" s="73" t="str">
        <f>'Agricultural Water Use Calcs'!AU9</f>
        <v>#DIV/0!</v>
      </c>
      <c r="AD5" s="73" t="str">
        <f>'Agricultural Water Use Calcs'!AV9</f>
        <v>#DIV/0!</v>
      </c>
      <c r="AE5" s="73" t="str">
        <f>'Agricultural Water Use Calcs'!AW9</f>
        <v>#DIV/0!</v>
      </c>
      <c r="AF5" s="73" t="str">
        <f>'Agricultural Water Use Calcs'!AX9</f>
        <v>#DIV/0!</v>
      </c>
      <c r="AG5" s="73" t="str">
        <f>'Agricultural Water Use Calcs'!AY9</f>
        <v>#DIV/0!</v>
      </c>
      <c r="AH5" s="85" t="str">
        <f>'Agricultural Water Use Calcs'!AZ9</f>
        <v>#DIV/0!</v>
      </c>
      <c r="AI5" s="24"/>
      <c r="AJ5" s="24"/>
      <c r="AK5" s="24"/>
      <c r="AL5" s="24"/>
      <c r="AM5" s="24"/>
      <c r="AN5" s="24"/>
      <c r="AO5" s="24"/>
      <c r="AP5" s="24"/>
      <c r="AQ5" s="24"/>
      <c r="AR5" s="24"/>
      <c r="AS5" s="24"/>
      <c r="AT5" s="24"/>
      <c r="AU5" s="24"/>
      <c r="AV5" s="24"/>
      <c r="AW5" s="24"/>
      <c r="AX5" s="24"/>
      <c r="AY5" s="24"/>
      <c r="AZ5" s="24"/>
      <c r="BA5" s="24"/>
      <c r="BB5" s="24"/>
    </row>
    <row r="6" ht="12.75" customHeight="1">
      <c r="A6" s="9"/>
      <c r="B6" s="86"/>
      <c r="C6" s="51" t="s">
        <v>49</v>
      </c>
      <c r="D6" s="87">
        <f>'Agricultural Water Use Calcs'!V10</f>
        <v>64817.54713</v>
      </c>
      <c r="E6" s="87">
        <f>'Agricultural Water Use Calcs'!W10</f>
        <v>72789.03502</v>
      </c>
      <c r="F6" s="87">
        <f>'Agricultural Water Use Calcs'!X10</f>
        <v>59587.55752</v>
      </c>
      <c r="G6" s="87">
        <f>'Agricultural Water Use Calcs'!Y10</f>
        <v>78572.80905</v>
      </c>
      <c r="H6" s="87">
        <f>'Agricultural Water Use Calcs'!Z10</f>
        <v>89710.42223</v>
      </c>
      <c r="I6" s="87">
        <f>'Agricultural Water Use Calcs'!AA10</f>
        <v>100072.2065</v>
      </c>
      <c r="J6" s="87">
        <f>'Agricultural Water Use Calcs'!AB10</f>
        <v>88735.54934</v>
      </c>
      <c r="K6" s="87">
        <f>'Agricultural Water Use Calcs'!AC10</f>
        <v>68861.23497</v>
      </c>
      <c r="L6" s="87">
        <f>'Agricultural Water Use Calcs'!AD10</f>
        <v>90506.59792</v>
      </c>
      <c r="M6" s="87">
        <f>'Agricultural Water Use Calcs'!AE10</f>
        <v>102351.0382</v>
      </c>
      <c r="N6" s="87">
        <f>'Agricultural Water Use Calcs'!AF10</f>
        <v>93996.50134</v>
      </c>
      <c r="O6" s="87">
        <f>'Agricultural Water Use Calcs'!AG10</f>
        <v>109715.6633</v>
      </c>
      <c r="P6" s="87">
        <f>'Agricultural Water Use Calcs'!AH10</f>
        <v>74169.95751</v>
      </c>
      <c r="Q6" s="87">
        <f>'Agricultural Water Use Calcs'!AI10</f>
        <v>75119.17585</v>
      </c>
      <c r="R6" s="87">
        <f>'Agricultural Water Use Calcs'!AJ10</f>
        <v>106682.2339</v>
      </c>
      <c r="S6" s="87">
        <f>'Agricultural Water Use Calcs'!AK10</f>
        <v>84841.3656</v>
      </c>
      <c r="T6" s="87">
        <f>'Agricultural Water Use Calcs'!AL10</f>
        <v>110295.1022</v>
      </c>
      <c r="U6" s="87">
        <f>'Agricultural Water Use Calcs'!AM10</f>
        <v>111120.471</v>
      </c>
      <c r="V6" s="87">
        <f>'Agricultural Water Use Calcs'!AN10</f>
        <v>102506.7348</v>
      </c>
      <c r="W6" s="87" t="str">
        <f>'Agricultural Water Use Calcs'!AO10</f>
        <v>#DIV/0!</v>
      </c>
      <c r="X6" s="87" t="str">
        <f>'Agricultural Water Use Calcs'!AP10</f>
        <v>#DIV/0!</v>
      </c>
      <c r="Y6" s="87" t="str">
        <f>'Agricultural Water Use Calcs'!AQ10</f>
        <v>#DIV/0!</v>
      </c>
      <c r="Z6" s="87" t="str">
        <f>'Agricultural Water Use Calcs'!AR10</f>
        <v>#DIV/0!</v>
      </c>
      <c r="AA6" s="87" t="str">
        <f>'Agricultural Water Use Calcs'!AS10</f>
        <v>#DIV/0!</v>
      </c>
      <c r="AB6" s="87" t="str">
        <f>'Agricultural Water Use Calcs'!AT10</f>
        <v>#DIV/0!</v>
      </c>
      <c r="AC6" s="87" t="str">
        <f>'Agricultural Water Use Calcs'!AU10</f>
        <v>#DIV/0!</v>
      </c>
      <c r="AD6" s="87" t="str">
        <f>'Agricultural Water Use Calcs'!AV10</f>
        <v>#DIV/0!</v>
      </c>
      <c r="AE6" s="87" t="str">
        <f>'Agricultural Water Use Calcs'!AW10</f>
        <v>#DIV/0!</v>
      </c>
      <c r="AF6" s="87" t="str">
        <f>'Agricultural Water Use Calcs'!AX10</f>
        <v>#DIV/0!</v>
      </c>
      <c r="AG6" s="87" t="str">
        <f>'Agricultural Water Use Calcs'!AY10</f>
        <v>#DIV/0!</v>
      </c>
      <c r="AH6" s="90" t="str">
        <f>'Agricultural Water Use Calcs'!AZ10</f>
        <v>#DIV/0!</v>
      </c>
      <c r="AI6" s="24"/>
      <c r="AJ6" s="24"/>
      <c r="AK6" s="24"/>
      <c r="AL6" s="24"/>
      <c r="AM6" s="24"/>
      <c r="AN6" s="24"/>
      <c r="AO6" s="24"/>
      <c r="AP6" s="24"/>
      <c r="AQ6" s="24"/>
      <c r="AR6" s="24"/>
      <c r="AS6" s="24"/>
      <c r="AT6" s="24"/>
      <c r="AU6" s="24"/>
      <c r="AV6" s="24"/>
      <c r="AW6" s="24"/>
      <c r="AX6" s="24"/>
      <c r="AY6" s="24"/>
      <c r="AZ6" s="24"/>
      <c r="BA6" s="24"/>
      <c r="BB6" s="24"/>
    </row>
    <row r="7" ht="12.75" customHeight="1">
      <c r="A7" s="9"/>
      <c r="B7" s="92"/>
      <c r="C7" s="51" t="s">
        <v>48</v>
      </c>
      <c r="D7" s="87">
        <f>'Agricultural Water Use Calcs'!V11</f>
        <v>1334.272368</v>
      </c>
      <c r="E7" s="87">
        <f>'Agricultural Water Use Calcs'!W11</f>
        <v>1498.365835</v>
      </c>
      <c r="F7" s="87">
        <f>'Agricultural Water Use Calcs'!X11</f>
        <v>1226.612777</v>
      </c>
      <c r="G7" s="87">
        <f>'Agricultural Water Use Calcs'!Y11</f>
        <v>1617.425105</v>
      </c>
      <c r="H7" s="87">
        <f>'Agricultural Water Use Calcs'!Z11</f>
        <v>1846.693415</v>
      </c>
      <c r="I7" s="87">
        <f>'Agricultural Water Use Calcs'!AA11</f>
        <v>2059.991249</v>
      </c>
      <c r="J7" s="87">
        <f>'Agricultural Water Use Calcs'!AB11</f>
        <v>1826.625609</v>
      </c>
      <c r="K7" s="87">
        <f>'Agricultural Water Use Calcs'!AC11</f>
        <v>1417.511879</v>
      </c>
      <c r="L7" s="87">
        <f>'Agricultural Water Use Calcs'!AD11</f>
        <v>1863.082731</v>
      </c>
      <c r="M7" s="87">
        <f>'Agricultural Water Use Calcs'!AE11</f>
        <v>2106.901111</v>
      </c>
      <c r="N7" s="87">
        <f>'Agricultural Water Use Calcs'!AF11</f>
        <v>1934.922563</v>
      </c>
      <c r="O7" s="87">
        <f>'Agricultural Water Use Calcs'!AG11</f>
        <v>2258.502278</v>
      </c>
      <c r="P7" s="87">
        <f>'Agricultural Water Use Calcs'!AH11</f>
        <v>1526.792191</v>
      </c>
      <c r="Q7" s="87">
        <f>'Agricultural Water Use Calcs'!AI11</f>
        <v>1546.331897</v>
      </c>
      <c r="R7" s="87">
        <f>'Agricultural Water Use Calcs'!AJ11</f>
        <v>2196.058986</v>
      </c>
      <c r="S7" s="87">
        <f>'Agricultural Water Use Calcs'!AK11</f>
        <v>1746.463647</v>
      </c>
      <c r="T7" s="87">
        <f>'Agricultural Water Use Calcs'!AL11</f>
        <v>2270.430057</v>
      </c>
      <c r="U7" s="87">
        <f>'Agricultural Water Use Calcs'!AM11</f>
        <v>2287.420314</v>
      </c>
      <c r="V7" s="87">
        <f>'Agricultural Water Use Calcs'!AN11</f>
        <v>2110.106133</v>
      </c>
      <c r="W7" s="87" t="str">
        <f>'Agricultural Water Use Calcs'!AO11</f>
        <v>#DIV/0!</v>
      </c>
      <c r="X7" s="87" t="str">
        <f>'Agricultural Water Use Calcs'!AP11</f>
        <v>#DIV/0!</v>
      </c>
      <c r="Y7" s="87" t="str">
        <f>'Agricultural Water Use Calcs'!AQ11</f>
        <v>#DIV/0!</v>
      </c>
      <c r="Z7" s="87" t="str">
        <f>'Agricultural Water Use Calcs'!AR11</f>
        <v>#DIV/0!</v>
      </c>
      <c r="AA7" s="87" t="str">
        <f>'Agricultural Water Use Calcs'!AS11</f>
        <v>#DIV/0!</v>
      </c>
      <c r="AB7" s="87" t="str">
        <f>'Agricultural Water Use Calcs'!AT11</f>
        <v>#DIV/0!</v>
      </c>
      <c r="AC7" s="87" t="str">
        <f>'Agricultural Water Use Calcs'!AU11</f>
        <v>#DIV/0!</v>
      </c>
      <c r="AD7" s="87" t="str">
        <f>'Agricultural Water Use Calcs'!AV11</f>
        <v>#DIV/0!</v>
      </c>
      <c r="AE7" s="87" t="str">
        <f>'Agricultural Water Use Calcs'!AW11</f>
        <v>#DIV/0!</v>
      </c>
      <c r="AF7" s="87" t="str">
        <f>'Agricultural Water Use Calcs'!AX11</f>
        <v>#DIV/0!</v>
      </c>
      <c r="AG7" s="87" t="str">
        <f>'Agricultural Water Use Calcs'!AY11</f>
        <v>#DIV/0!</v>
      </c>
      <c r="AH7" s="90" t="str">
        <f>'Agricultural Water Use Calcs'!AZ11</f>
        <v>#DIV/0!</v>
      </c>
      <c r="AI7" s="24"/>
      <c r="AJ7" s="24"/>
      <c r="AK7" s="24"/>
      <c r="AL7" s="24"/>
      <c r="AM7" s="24"/>
      <c r="AN7" s="24"/>
      <c r="AO7" s="24"/>
      <c r="AP7" s="24"/>
      <c r="AQ7" s="24"/>
      <c r="AR7" s="24"/>
      <c r="AS7" s="24"/>
      <c r="AT7" s="24"/>
      <c r="AU7" s="24"/>
      <c r="AV7" s="24"/>
      <c r="AW7" s="24"/>
      <c r="AX7" s="24"/>
      <c r="AY7" s="24"/>
      <c r="AZ7" s="24"/>
      <c r="BA7" s="24"/>
      <c r="BB7" s="24"/>
    </row>
    <row r="8" ht="12.75" customHeight="1">
      <c r="A8" s="9"/>
      <c r="B8" s="111" t="s">
        <v>60</v>
      </c>
      <c r="C8" s="112" t="s">
        <v>47</v>
      </c>
      <c r="D8" s="114">
        <f>'Muni &amp; Domestic Water Use Calcs'!C21</f>
        <v>1040</v>
      </c>
      <c r="E8" s="114">
        <f>'Muni &amp; Domestic Water Use Calcs'!D21</f>
        <v>1026.908301</v>
      </c>
      <c r="F8" s="114">
        <f>'Muni &amp; Domestic Water Use Calcs'!E21</f>
        <v>1035.672578</v>
      </c>
      <c r="G8" s="114">
        <f>'Muni &amp; Domestic Water Use Calcs'!F21</f>
        <v>1030.453148</v>
      </c>
      <c r="H8" s="114">
        <f>'Muni &amp; Domestic Water Use Calcs'!G21</f>
        <v>1030.588319</v>
      </c>
      <c r="I8" s="114">
        <f>'Muni &amp; Domestic Water Use Calcs'!H21</f>
        <v>1032.389191</v>
      </c>
      <c r="J8" s="114">
        <f>'Muni &amp; Domestic Water Use Calcs'!I21</f>
        <v>1044.173587</v>
      </c>
      <c r="K8" s="114">
        <f>'Muni &amp; Domestic Water Use Calcs'!J21</f>
        <v>1068.575681</v>
      </c>
      <c r="L8" s="114">
        <f>'Muni &amp; Domestic Water Use Calcs'!K21</f>
        <v>1092.193394</v>
      </c>
      <c r="M8" s="114">
        <f>'Muni &amp; Domestic Water Use Calcs'!L21</f>
        <v>3100</v>
      </c>
      <c r="N8" s="114">
        <f>'Muni &amp; Domestic Water Use Calcs'!M21</f>
        <v>3104.933909</v>
      </c>
      <c r="O8" s="114">
        <f>'Muni &amp; Domestic Water Use Calcs'!N21</f>
        <v>3071.759039</v>
      </c>
      <c r="P8" s="114">
        <f>'Muni &amp; Domestic Water Use Calcs'!O21</f>
        <v>3081.222271</v>
      </c>
      <c r="Q8" s="114">
        <f>'Muni &amp; Domestic Water Use Calcs'!P21</f>
        <v>3078.507555</v>
      </c>
      <c r="R8" s="114">
        <f>'Muni &amp; Domestic Water Use Calcs'!Q21</f>
        <v>3072.502712</v>
      </c>
      <c r="S8" s="114">
        <f>'Muni &amp; Domestic Water Use Calcs'!R21</f>
        <v>3061.750967</v>
      </c>
      <c r="T8" s="114">
        <f>'Muni &amp; Domestic Water Use Calcs'!S21</f>
        <v>3052.389718</v>
      </c>
      <c r="U8" s="114">
        <f>'Muni &amp; Domestic Water Use Calcs'!T21</f>
        <v>3020.159141</v>
      </c>
      <c r="V8" s="114">
        <f>'Muni &amp; Domestic Water Use Calcs'!U21</f>
        <v>2983.247939</v>
      </c>
      <c r="W8" s="114">
        <f>'Muni &amp; Domestic Water Use Calcs'!V21</f>
        <v>0</v>
      </c>
      <c r="X8" s="114">
        <f>'Muni &amp; Domestic Water Use Calcs'!W21</f>
        <v>0</v>
      </c>
      <c r="Y8" s="114">
        <f>'Muni &amp; Domestic Water Use Calcs'!X21</f>
        <v>0</v>
      </c>
      <c r="Z8" s="114">
        <f>'Muni &amp; Domestic Water Use Calcs'!Y21</f>
        <v>0</v>
      </c>
      <c r="AA8" s="114">
        <f>'Muni &amp; Domestic Water Use Calcs'!Z21</f>
        <v>0</v>
      </c>
      <c r="AB8" s="114">
        <f>'Muni &amp; Domestic Water Use Calcs'!AA21</f>
        <v>0</v>
      </c>
      <c r="AC8" s="114">
        <f>'Muni &amp; Domestic Water Use Calcs'!AB21</f>
        <v>0</v>
      </c>
      <c r="AD8" s="114">
        <f>'Muni &amp; Domestic Water Use Calcs'!AC21</f>
        <v>0</v>
      </c>
      <c r="AE8" s="114">
        <f>'Muni &amp; Domestic Water Use Calcs'!AD21</f>
        <v>0</v>
      </c>
      <c r="AF8" s="114">
        <f>'Muni &amp; Domestic Water Use Calcs'!AE21</f>
        <v>0</v>
      </c>
      <c r="AG8" s="114">
        <f>'Muni &amp; Domestic Water Use Calcs'!AF21</f>
        <v>0</v>
      </c>
      <c r="AH8" s="128">
        <f>'Muni &amp; Domestic Water Use Calcs'!AG21</f>
        <v>0</v>
      </c>
      <c r="AI8" s="24"/>
      <c r="AJ8" s="24"/>
      <c r="AK8" s="24"/>
      <c r="AL8" s="24"/>
      <c r="AM8" s="24"/>
      <c r="AN8" s="24"/>
      <c r="AO8" s="24"/>
      <c r="AP8" s="24"/>
      <c r="AQ8" s="24"/>
      <c r="AR8" s="24"/>
      <c r="AS8" s="24"/>
      <c r="AT8" s="24"/>
      <c r="AU8" s="24"/>
      <c r="AV8" s="24"/>
      <c r="AW8" s="24"/>
      <c r="AX8" s="24"/>
      <c r="AY8" s="24"/>
      <c r="AZ8" s="24"/>
      <c r="BA8" s="24"/>
      <c r="BB8" s="24"/>
    </row>
    <row r="9" ht="12.75" customHeight="1">
      <c r="A9" s="9"/>
      <c r="B9" s="86"/>
      <c r="C9" s="51" t="s">
        <v>49</v>
      </c>
      <c r="D9" s="87">
        <f>'Muni &amp; Domestic Water Use Calcs'!C23</f>
        <v>1000</v>
      </c>
      <c r="E9" s="87">
        <f>'Muni &amp; Domestic Water Use Calcs'!D23</f>
        <v>987.4498867</v>
      </c>
      <c r="F9" s="87">
        <f>'Muni &amp; Domestic Water Use Calcs'!E23</f>
        <v>996.601011</v>
      </c>
      <c r="G9" s="87">
        <f>'Muni &amp; Domestic Water Use Calcs'!F23</f>
        <v>991.4589507</v>
      </c>
      <c r="H9" s="87">
        <f>'Muni &amp; Domestic Water Use Calcs'!G23</f>
        <v>991.2846435</v>
      </c>
      <c r="I9" s="87">
        <f>'Muni &amp; Domestic Water Use Calcs'!H23</f>
        <v>992.8534077</v>
      </c>
      <c r="J9" s="87">
        <f>'Muni &amp; Domestic Water Use Calcs'!I23</f>
        <v>1004.096218</v>
      </c>
      <c r="K9" s="87">
        <f>'Muni &amp; Domestic Water Use Calcs'!J23</f>
        <v>1027.801987</v>
      </c>
      <c r="L9" s="87">
        <f>'Muni &amp; Domestic Water Use Calcs'!K23</f>
        <v>1050.723375</v>
      </c>
      <c r="M9" s="87">
        <f>'Muni &amp; Domestic Water Use Calcs'!L23</f>
        <v>2408</v>
      </c>
      <c r="N9" s="87">
        <f>'Muni &amp; Domestic Water Use Calcs'!M23</f>
        <v>2416.210424</v>
      </c>
      <c r="O9" s="87">
        <f>'Muni &amp; Domestic Water Use Calcs'!N23</f>
        <v>2384.34616</v>
      </c>
      <c r="P9" s="87">
        <f>'Muni &amp; Domestic Water Use Calcs'!O23</f>
        <v>2391.18818</v>
      </c>
      <c r="Q9" s="87">
        <f>'Muni &amp; Domestic Water Use Calcs'!P23</f>
        <v>2384.541646</v>
      </c>
      <c r="R9" s="87">
        <f>'Muni &amp; Domestic Water Use Calcs'!Q23</f>
        <v>2368.707258</v>
      </c>
      <c r="S9" s="87">
        <f>'Muni &amp; Domestic Water Use Calcs'!R23</f>
        <v>2357.955512</v>
      </c>
      <c r="T9" s="87">
        <f>'Muni &amp; Domestic Water Use Calcs'!S23</f>
        <v>2344.662445</v>
      </c>
      <c r="U9" s="87">
        <f>'Muni &amp; Domestic Water Use Calcs'!T23</f>
        <v>2319.640201</v>
      </c>
      <c r="V9" s="87">
        <f>'Muni &amp; Domestic Water Use Calcs'!U23</f>
        <v>2287.971424</v>
      </c>
      <c r="W9" s="87">
        <f>'Muni &amp; Domestic Water Use Calcs'!V23</f>
        <v>0</v>
      </c>
      <c r="X9" s="87">
        <f>'Muni &amp; Domestic Water Use Calcs'!W23</f>
        <v>0</v>
      </c>
      <c r="Y9" s="87">
        <f>'Muni &amp; Domestic Water Use Calcs'!X23</f>
        <v>0</v>
      </c>
      <c r="Z9" s="87">
        <f>'Muni &amp; Domestic Water Use Calcs'!Y23</f>
        <v>0</v>
      </c>
      <c r="AA9" s="87">
        <f>'Muni &amp; Domestic Water Use Calcs'!Z23</f>
        <v>0</v>
      </c>
      <c r="AB9" s="87">
        <f>'Muni &amp; Domestic Water Use Calcs'!AA23</f>
        <v>0</v>
      </c>
      <c r="AC9" s="87">
        <f>'Muni &amp; Domestic Water Use Calcs'!AB23</f>
        <v>0</v>
      </c>
      <c r="AD9" s="87">
        <f>'Muni &amp; Domestic Water Use Calcs'!AC23</f>
        <v>0</v>
      </c>
      <c r="AE9" s="87">
        <f>'Muni &amp; Domestic Water Use Calcs'!AD23</f>
        <v>0</v>
      </c>
      <c r="AF9" s="87">
        <f>'Muni &amp; Domestic Water Use Calcs'!AE23</f>
        <v>0</v>
      </c>
      <c r="AG9" s="87">
        <f>'Muni &amp; Domestic Water Use Calcs'!AF23</f>
        <v>0</v>
      </c>
      <c r="AH9" s="90">
        <f>'Muni &amp; Domestic Water Use Calcs'!AG23</f>
        <v>0</v>
      </c>
      <c r="AI9" s="24"/>
      <c r="AJ9" s="24"/>
      <c r="AK9" s="24"/>
      <c r="AL9" s="24"/>
      <c r="AM9" s="24"/>
      <c r="AN9" s="24"/>
      <c r="AO9" s="24"/>
      <c r="AP9" s="24"/>
      <c r="AQ9" s="24"/>
      <c r="AR9" s="24"/>
      <c r="AS9" s="24"/>
      <c r="AT9" s="24"/>
      <c r="AU9" s="24"/>
      <c r="AV9" s="24"/>
      <c r="AW9" s="24"/>
      <c r="AX9" s="24"/>
      <c r="AY9" s="24"/>
      <c r="AZ9" s="24"/>
      <c r="BA9" s="24"/>
      <c r="BB9" s="24"/>
    </row>
    <row r="10" ht="12.75" customHeight="1">
      <c r="A10" s="9"/>
      <c r="B10" s="92"/>
      <c r="C10" s="51" t="s">
        <v>48</v>
      </c>
      <c r="D10" s="87">
        <f>'Muni &amp; Domestic Water Use Calcs'!C22</f>
        <v>40</v>
      </c>
      <c r="E10" s="87">
        <f>'Muni &amp; Domestic Water Use Calcs'!D22</f>
        <v>39.45841393</v>
      </c>
      <c r="F10" s="87">
        <f>'Muni &amp; Domestic Water Use Calcs'!E22</f>
        <v>39.07156673</v>
      </c>
      <c r="G10" s="87">
        <f>'Muni &amp; Domestic Water Use Calcs'!F22</f>
        <v>38.99419729</v>
      </c>
      <c r="H10" s="87">
        <f>'Muni &amp; Domestic Water Use Calcs'!G22</f>
        <v>39.30367505</v>
      </c>
      <c r="I10" s="87">
        <f>'Muni &amp; Domestic Water Use Calcs'!H22</f>
        <v>39.53578337</v>
      </c>
      <c r="J10" s="87">
        <f>'Muni &amp; Domestic Water Use Calcs'!I22</f>
        <v>40.07736944</v>
      </c>
      <c r="K10" s="87">
        <f>'Muni &amp; Domestic Water Use Calcs'!J22</f>
        <v>40.77369439</v>
      </c>
      <c r="L10" s="87">
        <f>'Muni &amp; Domestic Water Use Calcs'!K22</f>
        <v>41.47001934</v>
      </c>
      <c r="M10" s="87">
        <f>'Muni &amp; Domestic Water Use Calcs'!L22</f>
        <v>692</v>
      </c>
      <c r="N10" s="87">
        <f>'Muni &amp; Domestic Water Use Calcs'!M22</f>
        <v>688.7234848</v>
      </c>
      <c r="O10" s="87">
        <f>'Muni &amp; Domestic Water Use Calcs'!N22</f>
        <v>687.4128788</v>
      </c>
      <c r="P10" s="87">
        <f>'Muni &amp; Domestic Water Use Calcs'!O22</f>
        <v>690.0340909</v>
      </c>
      <c r="Q10" s="87">
        <f>'Muni &amp; Domestic Water Use Calcs'!P22</f>
        <v>693.9659091</v>
      </c>
      <c r="R10" s="87">
        <f>'Muni &amp; Domestic Water Use Calcs'!Q22</f>
        <v>703.7954545</v>
      </c>
      <c r="S10" s="87">
        <f>'Muni &amp; Domestic Water Use Calcs'!R22</f>
        <v>703.7954545</v>
      </c>
      <c r="T10" s="87">
        <f>'Muni &amp; Domestic Water Use Calcs'!S22</f>
        <v>707.7272727</v>
      </c>
      <c r="U10" s="87">
        <f>'Muni &amp; Domestic Water Use Calcs'!T22</f>
        <v>700.5189394</v>
      </c>
      <c r="V10" s="87">
        <f>'Muni &amp; Domestic Water Use Calcs'!U22</f>
        <v>695.2765152</v>
      </c>
      <c r="W10" s="87">
        <f>'Muni &amp; Domestic Water Use Calcs'!V22</f>
        <v>0</v>
      </c>
      <c r="X10" s="87">
        <f>'Muni &amp; Domestic Water Use Calcs'!W22</f>
        <v>0</v>
      </c>
      <c r="Y10" s="87">
        <f>'Muni &amp; Domestic Water Use Calcs'!X22</f>
        <v>0</v>
      </c>
      <c r="Z10" s="87">
        <f>'Muni &amp; Domestic Water Use Calcs'!Y22</f>
        <v>0</v>
      </c>
      <c r="AA10" s="87">
        <f>'Muni &amp; Domestic Water Use Calcs'!Z22</f>
        <v>0</v>
      </c>
      <c r="AB10" s="87">
        <f>'Muni &amp; Domestic Water Use Calcs'!AA22</f>
        <v>0</v>
      </c>
      <c r="AC10" s="87">
        <f>'Muni &amp; Domestic Water Use Calcs'!AB22</f>
        <v>0</v>
      </c>
      <c r="AD10" s="87">
        <f>'Muni &amp; Domestic Water Use Calcs'!AC22</f>
        <v>0</v>
      </c>
      <c r="AE10" s="87">
        <f>'Muni &amp; Domestic Water Use Calcs'!AD22</f>
        <v>0</v>
      </c>
      <c r="AF10" s="87">
        <f>'Muni &amp; Domestic Water Use Calcs'!AE22</f>
        <v>0</v>
      </c>
      <c r="AG10" s="87">
        <f>'Muni &amp; Domestic Water Use Calcs'!AF22</f>
        <v>0</v>
      </c>
      <c r="AH10" s="90">
        <f>'Muni &amp; Domestic Water Use Calcs'!AG22</f>
        <v>0</v>
      </c>
      <c r="AI10" s="24"/>
      <c r="AJ10" s="24"/>
      <c r="AK10" s="24"/>
      <c r="AL10" s="24"/>
      <c r="AM10" s="24"/>
      <c r="AN10" s="24"/>
      <c r="AO10" s="24"/>
      <c r="AP10" s="24"/>
      <c r="AQ10" s="24"/>
      <c r="AR10" s="24"/>
      <c r="AS10" s="24"/>
      <c r="AT10" s="24"/>
      <c r="AU10" s="24"/>
      <c r="AV10" s="24"/>
      <c r="AW10" s="24"/>
      <c r="AX10" s="24"/>
      <c r="AY10" s="24"/>
      <c r="AZ10" s="24"/>
      <c r="BA10" s="24"/>
      <c r="BB10" s="24"/>
    </row>
    <row r="11" ht="12.75" customHeight="1">
      <c r="A11" s="9"/>
      <c r="B11" s="161" t="s">
        <v>72</v>
      </c>
      <c r="C11" s="162" t="s">
        <v>47</v>
      </c>
      <c r="D11" s="167">
        <f t="shared" ref="D11:AH11" si="1">SUM(D12:D13)</f>
        <v>483.9021516</v>
      </c>
      <c r="E11" s="167">
        <f t="shared" si="1"/>
        <v>477.8084793</v>
      </c>
      <c r="F11" s="167">
        <f t="shared" si="1"/>
        <v>481.8440239</v>
      </c>
      <c r="G11" s="167">
        <f t="shared" si="1"/>
        <v>479.4226971</v>
      </c>
      <c r="H11" s="167">
        <f t="shared" si="1"/>
        <v>479.503408</v>
      </c>
      <c r="I11" s="167">
        <f t="shared" si="1"/>
        <v>480.3508724</v>
      </c>
      <c r="J11" s="167">
        <f t="shared" si="1"/>
        <v>485.839213</v>
      </c>
      <c r="K11" s="167">
        <f t="shared" si="1"/>
        <v>497.1790933</v>
      </c>
      <c r="L11" s="167">
        <f t="shared" si="1"/>
        <v>508.1557746</v>
      </c>
      <c r="M11" s="167">
        <f t="shared" si="1"/>
        <v>532.6956185</v>
      </c>
      <c r="N11" s="167">
        <f t="shared" si="1"/>
        <v>534.169354</v>
      </c>
      <c r="O11" s="167">
        <f t="shared" si="1"/>
        <v>527.5972905</v>
      </c>
      <c r="P11" s="167">
        <f t="shared" si="1"/>
        <v>529.1506873</v>
      </c>
      <c r="Q11" s="167">
        <f t="shared" si="1"/>
        <v>528.0354281</v>
      </c>
      <c r="R11" s="167">
        <f t="shared" si="1"/>
        <v>525.4066027</v>
      </c>
      <c r="S11" s="167">
        <f t="shared" si="1"/>
        <v>523.2159149</v>
      </c>
      <c r="T11" s="167">
        <f t="shared" si="1"/>
        <v>520.7464122</v>
      </c>
      <c r="U11" s="167">
        <f t="shared" si="1"/>
        <v>515.2099466</v>
      </c>
      <c r="V11" s="167">
        <f t="shared" si="1"/>
        <v>508.4387297</v>
      </c>
      <c r="W11" s="167">
        <f t="shared" si="1"/>
        <v>0</v>
      </c>
      <c r="X11" s="167">
        <f t="shared" si="1"/>
        <v>0</v>
      </c>
      <c r="Y11" s="167">
        <f t="shared" si="1"/>
        <v>0</v>
      </c>
      <c r="Z11" s="167">
        <f t="shared" si="1"/>
        <v>0</v>
      </c>
      <c r="AA11" s="167">
        <f t="shared" si="1"/>
        <v>0</v>
      </c>
      <c r="AB11" s="167">
        <f t="shared" si="1"/>
        <v>0</v>
      </c>
      <c r="AC11" s="167">
        <f t="shared" si="1"/>
        <v>0</v>
      </c>
      <c r="AD11" s="167">
        <f t="shared" si="1"/>
        <v>0</v>
      </c>
      <c r="AE11" s="167">
        <f t="shared" si="1"/>
        <v>0</v>
      </c>
      <c r="AF11" s="167">
        <f t="shared" si="1"/>
        <v>0</v>
      </c>
      <c r="AG11" s="167">
        <f t="shared" si="1"/>
        <v>0</v>
      </c>
      <c r="AH11" s="174">
        <f t="shared" si="1"/>
        <v>0</v>
      </c>
      <c r="AI11" s="24"/>
      <c r="AJ11" s="24"/>
      <c r="AK11" s="24"/>
      <c r="AL11" s="24"/>
      <c r="AM11" s="24"/>
      <c r="AN11" s="24"/>
      <c r="AO11" s="24"/>
      <c r="AP11" s="24"/>
      <c r="AQ11" s="24"/>
      <c r="AR11" s="24"/>
      <c r="AS11" s="24"/>
      <c r="AT11" s="24"/>
      <c r="AU11" s="24"/>
      <c r="AV11" s="24"/>
      <c r="AW11" s="24"/>
      <c r="AX11" s="24"/>
      <c r="AY11" s="24"/>
      <c r="AZ11" s="24"/>
      <c r="BA11" s="24"/>
      <c r="BB11" s="24"/>
    </row>
    <row r="12" ht="12.75" customHeight="1">
      <c r="A12" s="9"/>
      <c r="B12" s="86"/>
      <c r="C12" s="51" t="s">
        <v>49</v>
      </c>
      <c r="D12" s="87">
        <f>'Muni &amp; Domestic Water Use Calcs'!C30</f>
        <v>0</v>
      </c>
      <c r="E12" s="87">
        <f>'Muni &amp; Domestic Water Use Calcs'!D30</f>
        <v>0</v>
      </c>
      <c r="F12" s="87">
        <f>'Muni &amp; Domestic Water Use Calcs'!E30</f>
        <v>0</v>
      </c>
      <c r="G12" s="87">
        <f>'Muni &amp; Domestic Water Use Calcs'!F30</f>
        <v>0</v>
      </c>
      <c r="H12" s="87">
        <f>'Muni &amp; Domestic Water Use Calcs'!G30</f>
        <v>0</v>
      </c>
      <c r="I12" s="87">
        <f>'Muni &amp; Domestic Water Use Calcs'!H30</f>
        <v>0</v>
      </c>
      <c r="J12" s="87">
        <f>'Muni &amp; Domestic Water Use Calcs'!I30</f>
        <v>0</v>
      </c>
      <c r="K12" s="87">
        <f>'Muni &amp; Domestic Water Use Calcs'!J30</f>
        <v>0</v>
      </c>
      <c r="L12" s="87">
        <f>'Muni &amp; Domestic Water Use Calcs'!K30</f>
        <v>0</v>
      </c>
      <c r="M12" s="87">
        <f>'Muni &amp; Domestic Water Use Calcs'!L30</f>
        <v>0</v>
      </c>
      <c r="N12" s="87">
        <f>'Muni &amp; Domestic Water Use Calcs'!M30</f>
        <v>0</v>
      </c>
      <c r="O12" s="87">
        <f>'Muni &amp; Domestic Water Use Calcs'!N30</f>
        <v>0</v>
      </c>
      <c r="P12" s="87">
        <f>'Muni &amp; Domestic Water Use Calcs'!O30</f>
        <v>0</v>
      </c>
      <c r="Q12" s="87">
        <f>'Muni &amp; Domestic Water Use Calcs'!P30</f>
        <v>0</v>
      </c>
      <c r="R12" s="87">
        <f>'Muni &amp; Domestic Water Use Calcs'!Q30</f>
        <v>0</v>
      </c>
      <c r="S12" s="87">
        <f>'Muni &amp; Domestic Water Use Calcs'!R30</f>
        <v>0</v>
      </c>
      <c r="T12" s="87">
        <f>'Muni &amp; Domestic Water Use Calcs'!S30</f>
        <v>0</v>
      </c>
      <c r="U12" s="87">
        <f>'Muni &amp; Domestic Water Use Calcs'!T30</f>
        <v>0</v>
      </c>
      <c r="V12" s="87" t="str">
        <f>'Muni &amp; Domestic Water Use Calcs'!U30</f>
        <v/>
      </c>
      <c r="W12" s="87" t="str">
        <f>'Muni &amp; Domestic Water Use Calcs'!V30</f>
        <v/>
      </c>
      <c r="X12" s="87" t="str">
        <f>'Muni &amp; Domestic Water Use Calcs'!W30</f>
        <v/>
      </c>
      <c r="Y12" s="87" t="str">
        <f>'Muni &amp; Domestic Water Use Calcs'!X30</f>
        <v/>
      </c>
      <c r="Z12" s="87" t="str">
        <f>'Muni &amp; Domestic Water Use Calcs'!Y30</f>
        <v/>
      </c>
      <c r="AA12" s="87" t="str">
        <f>'Muni &amp; Domestic Water Use Calcs'!Z30</f>
        <v/>
      </c>
      <c r="AB12" s="87" t="str">
        <f>'Muni &amp; Domestic Water Use Calcs'!AA30</f>
        <v/>
      </c>
      <c r="AC12" s="87" t="str">
        <f>'Muni &amp; Domestic Water Use Calcs'!AB30</f>
        <v/>
      </c>
      <c r="AD12" s="87" t="str">
        <f>'Muni &amp; Domestic Water Use Calcs'!AC30</f>
        <v/>
      </c>
      <c r="AE12" s="87" t="str">
        <f>'Muni &amp; Domestic Water Use Calcs'!AD30</f>
        <v/>
      </c>
      <c r="AF12" s="87" t="str">
        <f>'Muni &amp; Domestic Water Use Calcs'!AE30</f>
        <v/>
      </c>
      <c r="AG12" s="87" t="str">
        <f>'Muni &amp; Domestic Water Use Calcs'!AF30</f>
        <v/>
      </c>
      <c r="AH12" s="90" t="str">
        <f>'Muni &amp; Domestic Water Use Calcs'!AG30</f>
        <v/>
      </c>
      <c r="AI12" s="24"/>
      <c r="AJ12" s="24"/>
      <c r="AK12" s="24"/>
      <c r="AL12" s="24"/>
      <c r="AM12" s="24"/>
      <c r="AN12" s="24"/>
      <c r="AO12" s="24"/>
      <c r="AP12" s="24"/>
      <c r="AQ12" s="24"/>
      <c r="AR12" s="24"/>
      <c r="AS12" s="24"/>
      <c r="AT12" s="24"/>
      <c r="AU12" s="24"/>
      <c r="AV12" s="24"/>
      <c r="AW12" s="24"/>
      <c r="AX12" s="24"/>
      <c r="AY12" s="24"/>
      <c r="AZ12" s="24"/>
      <c r="BA12" s="24"/>
      <c r="BB12" s="24"/>
    </row>
    <row r="13" ht="12.75" customHeight="1">
      <c r="A13" s="9"/>
      <c r="B13" s="191"/>
      <c r="C13" s="58" t="s">
        <v>48</v>
      </c>
      <c r="D13" s="193">
        <f>'Muni &amp; Domestic Water Use Calcs'!C29</f>
        <v>483.9021516</v>
      </c>
      <c r="E13" s="193">
        <f>'Muni &amp; Domestic Water Use Calcs'!D29</f>
        <v>477.8084793</v>
      </c>
      <c r="F13" s="193">
        <f>'Muni &amp; Domestic Water Use Calcs'!E29</f>
        <v>481.8440239</v>
      </c>
      <c r="G13" s="193">
        <f>'Muni &amp; Domestic Water Use Calcs'!F29</f>
        <v>479.4226971</v>
      </c>
      <c r="H13" s="193">
        <f>'Muni &amp; Domestic Water Use Calcs'!G29</f>
        <v>479.503408</v>
      </c>
      <c r="I13" s="193">
        <f>'Muni &amp; Domestic Water Use Calcs'!H29</f>
        <v>480.3508724</v>
      </c>
      <c r="J13" s="193">
        <f>'Muni &amp; Domestic Water Use Calcs'!I29</f>
        <v>485.839213</v>
      </c>
      <c r="K13" s="193">
        <f>'Muni &amp; Domestic Water Use Calcs'!J29</f>
        <v>497.1790933</v>
      </c>
      <c r="L13" s="193">
        <f>'Muni &amp; Domestic Water Use Calcs'!K29</f>
        <v>508.1557746</v>
      </c>
      <c r="M13" s="193">
        <f>'Muni &amp; Domestic Water Use Calcs'!L29</f>
        <v>532.6956185</v>
      </c>
      <c r="N13" s="193">
        <f>'Muni &amp; Domestic Water Use Calcs'!M29</f>
        <v>534.169354</v>
      </c>
      <c r="O13" s="193">
        <f>'Muni &amp; Domestic Water Use Calcs'!N29</f>
        <v>527.5972905</v>
      </c>
      <c r="P13" s="193">
        <f>'Muni &amp; Domestic Water Use Calcs'!O29</f>
        <v>529.1506873</v>
      </c>
      <c r="Q13" s="193">
        <f>'Muni &amp; Domestic Water Use Calcs'!P29</f>
        <v>528.0354281</v>
      </c>
      <c r="R13" s="193">
        <f>'Muni &amp; Domestic Water Use Calcs'!Q29</f>
        <v>525.4066027</v>
      </c>
      <c r="S13" s="193">
        <f>'Muni &amp; Domestic Water Use Calcs'!R29</f>
        <v>523.2159149</v>
      </c>
      <c r="T13" s="193">
        <f>'Muni &amp; Domestic Water Use Calcs'!S29</f>
        <v>520.7464122</v>
      </c>
      <c r="U13" s="193">
        <f>'Muni &amp; Domestic Water Use Calcs'!T29</f>
        <v>515.2099466</v>
      </c>
      <c r="V13" s="193">
        <f>'Muni &amp; Domestic Water Use Calcs'!U29</f>
        <v>508.4387297</v>
      </c>
      <c r="W13" s="193">
        <f>'Muni &amp; Domestic Water Use Calcs'!V29</f>
        <v>0</v>
      </c>
      <c r="X13" s="193">
        <f>'Muni &amp; Domestic Water Use Calcs'!W29</f>
        <v>0</v>
      </c>
      <c r="Y13" s="193">
        <f>'Muni &amp; Domestic Water Use Calcs'!X29</f>
        <v>0</v>
      </c>
      <c r="Z13" s="193">
        <f>'Muni &amp; Domestic Water Use Calcs'!Y29</f>
        <v>0</v>
      </c>
      <c r="AA13" s="193">
        <f>'Muni &amp; Domestic Water Use Calcs'!Z29</f>
        <v>0</v>
      </c>
      <c r="AB13" s="193">
        <f>'Muni &amp; Domestic Water Use Calcs'!AA29</f>
        <v>0</v>
      </c>
      <c r="AC13" s="193">
        <f>'Muni &amp; Domestic Water Use Calcs'!AB29</f>
        <v>0</v>
      </c>
      <c r="AD13" s="193">
        <f>'Muni &amp; Domestic Water Use Calcs'!AC29</f>
        <v>0</v>
      </c>
      <c r="AE13" s="193">
        <f>'Muni &amp; Domestic Water Use Calcs'!AD29</f>
        <v>0</v>
      </c>
      <c r="AF13" s="193">
        <f>'Muni &amp; Domestic Water Use Calcs'!AE29</f>
        <v>0</v>
      </c>
      <c r="AG13" s="193">
        <f>'Muni &amp; Domestic Water Use Calcs'!AF29</f>
        <v>0</v>
      </c>
      <c r="AH13" s="200">
        <f>'Muni &amp; Domestic Water Use Calcs'!AG29</f>
        <v>0</v>
      </c>
      <c r="AI13" s="24"/>
      <c r="AJ13" s="24"/>
      <c r="AK13" s="24"/>
      <c r="AL13" s="24"/>
      <c r="AM13" s="24"/>
      <c r="AN13" s="24"/>
      <c r="AO13" s="24"/>
      <c r="AP13" s="24"/>
      <c r="AQ13" s="24"/>
      <c r="AR13" s="24"/>
      <c r="AS13" s="24"/>
      <c r="AT13" s="24"/>
      <c r="AU13" s="24"/>
      <c r="AV13" s="24"/>
      <c r="AW13" s="24"/>
      <c r="AX13" s="24"/>
      <c r="AY13" s="24"/>
      <c r="AZ13" s="24"/>
      <c r="BA13" s="24"/>
      <c r="BB13" s="24"/>
    </row>
    <row r="14" ht="12.75" customHeight="1">
      <c r="A14" s="9"/>
      <c r="B14" s="201" t="s">
        <v>109</v>
      </c>
      <c r="C14" s="202" t="s">
        <v>47</v>
      </c>
      <c r="D14" s="203">
        <f t="shared" ref="D14:AH14" si="2">SUM(D15:D16)</f>
        <v>0</v>
      </c>
      <c r="E14" s="203">
        <f t="shared" si="2"/>
        <v>400</v>
      </c>
      <c r="F14" s="203">
        <f t="shared" si="2"/>
        <v>398.1988454</v>
      </c>
      <c r="G14" s="203">
        <f t="shared" si="2"/>
        <v>334.8025021</v>
      </c>
      <c r="H14" s="203">
        <f t="shared" si="2"/>
        <v>288.0556059</v>
      </c>
      <c r="I14" s="203">
        <f t="shared" si="2"/>
        <v>239.1041736</v>
      </c>
      <c r="J14" s="203">
        <f t="shared" si="2"/>
        <v>206.4883943</v>
      </c>
      <c r="K14" s="203">
        <f t="shared" si="2"/>
        <v>154.1398345</v>
      </c>
      <c r="L14" s="203">
        <f t="shared" si="2"/>
        <v>78.69654225</v>
      </c>
      <c r="M14" s="203">
        <f t="shared" si="2"/>
        <v>73.73143902</v>
      </c>
      <c r="N14" s="203">
        <f t="shared" si="2"/>
        <v>78.85439113</v>
      </c>
      <c r="O14" s="203">
        <f t="shared" si="2"/>
        <v>34.5</v>
      </c>
      <c r="P14" s="203">
        <f t="shared" si="2"/>
        <v>37.82980083</v>
      </c>
      <c r="Q14" s="203">
        <f t="shared" si="2"/>
        <v>34.87350156</v>
      </c>
      <c r="R14" s="203">
        <f t="shared" si="2"/>
        <v>36.24880678</v>
      </c>
      <c r="S14" s="203">
        <f t="shared" si="2"/>
        <v>30.67405704</v>
      </c>
      <c r="T14" s="203">
        <f t="shared" si="2"/>
        <v>30.12033425</v>
      </c>
      <c r="U14" s="203">
        <f t="shared" si="2"/>
        <v>29.59793277</v>
      </c>
      <c r="V14" s="203">
        <f t="shared" si="2"/>
        <v>28.9760791</v>
      </c>
      <c r="W14" s="203">
        <f t="shared" si="2"/>
        <v>0</v>
      </c>
      <c r="X14" s="203">
        <f t="shared" si="2"/>
        <v>0</v>
      </c>
      <c r="Y14" s="203">
        <f t="shared" si="2"/>
        <v>0</v>
      </c>
      <c r="Z14" s="203">
        <f t="shared" si="2"/>
        <v>0</v>
      </c>
      <c r="AA14" s="203">
        <f t="shared" si="2"/>
        <v>0</v>
      </c>
      <c r="AB14" s="203">
        <f t="shared" si="2"/>
        <v>0</v>
      </c>
      <c r="AC14" s="203">
        <f t="shared" si="2"/>
        <v>0</v>
      </c>
      <c r="AD14" s="203">
        <f t="shared" si="2"/>
        <v>0</v>
      </c>
      <c r="AE14" s="203">
        <f t="shared" si="2"/>
        <v>0</v>
      </c>
      <c r="AF14" s="203">
        <f t="shared" si="2"/>
        <v>0</v>
      </c>
      <c r="AG14" s="203">
        <f t="shared" si="2"/>
        <v>0</v>
      </c>
      <c r="AH14" s="204">
        <f t="shared" si="2"/>
        <v>0</v>
      </c>
      <c r="AI14" s="24"/>
      <c r="AJ14" s="24"/>
      <c r="AK14" s="24"/>
      <c r="AL14" s="24"/>
      <c r="AM14" s="24"/>
      <c r="AN14" s="24"/>
      <c r="AO14" s="24"/>
      <c r="AP14" s="24"/>
      <c r="AQ14" s="24"/>
      <c r="AR14" s="24"/>
      <c r="AS14" s="24"/>
      <c r="AT14" s="24"/>
      <c r="AU14" s="24"/>
      <c r="AV14" s="24"/>
      <c r="AW14" s="24"/>
      <c r="AX14" s="24"/>
      <c r="AY14" s="24"/>
      <c r="AZ14" s="24"/>
      <c r="BA14" s="24"/>
      <c r="BB14" s="24"/>
    </row>
    <row r="15" ht="12.75" customHeight="1">
      <c r="A15" s="9"/>
      <c r="B15" s="86"/>
      <c r="C15" s="51" t="s">
        <v>49</v>
      </c>
      <c r="D15" s="87" t="str">
        <f>'Industrial Water Use Cals'!C22</f>
        <v>-</v>
      </c>
      <c r="E15" s="87">
        <f>'Industrial Water Use Cals'!D22</f>
        <v>310</v>
      </c>
      <c r="F15" s="87">
        <f>'Industrial Water Use Cals'!E22</f>
        <v>307.9138655</v>
      </c>
      <c r="G15" s="87">
        <f>'Industrial Water Use Cals'!F22</f>
        <v>247.1451478</v>
      </c>
      <c r="H15" s="87">
        <f>'Industrial Water Use Cals'!G22</f>
        <v>199.9903232</v>
      </c>
      <c r="I15" s="87">
        <f>'Industrial Water Use Cals'!H22</f>
        <v>156.5661833</v>
      </c>
      <c r="J15" s="87">
        <f>'Industrial Water Use Cals'!I22</f>
        <v>125.1476676</v>
      </c>
      <c r="K15" s="87">
        <f>'Industrial Water Use Cals'!J22</f>
        <v>76.60420958</v>
      </c>
      <c r="L15" s="87">
        <f>'Industrial Water Use Cals'!K22</f>
        <v>0</v>
      </c>
      <c r="M15" s="87">
        <f>'Industrial Water Use Cals'!L22</f>
        <v>0</v>
      </c>
      <c r="N15" s="87">
        <f>'Industrial Water Use Cals'!M22</f>
        <v>0</v>
      </c>
      <c r="O15" s="87">
        <f>'Industrial Water Use Cals'!N22</f>
        <v>5</v>
      </c>
      <c r="P15" s="87">
        <f>'Industrial Water Use Cals'!O22</f>
        <v>5.48257983</v>
      </c>
      <c r="Q15" s="87">
        <f>'Industrial Water Use Cals'!P22</f>
        <v>5.05413066</v>
      </c>
      <c r="R15" s="87">
        <f>'Industrial Water Use Cals'!Q22</f>
        <v>5.253450257</v>
      </c>
      <c r="S15" s="87">
        <f>'Industrial Water Use Cals'!R22</f>
        <v>4.445515514</v>
      </c>
      <c r="T15" s="87">
        <f>'Industrial Water Use Cals'!S22</f>
        <v>4.365265833</v>
      </c>
      <c r="U15" s="87">
        <f>'Industrial Water Use Cals'!T22</f>
        <v>4.289555474</v>
      </c>
      <c r="V15" s="87">
        <f>'Industrial Water Use Cals'!U22</f>
        <v>4.199431754</v>
      </c>
      <c r="W15" s="87">
        <f>'Industrial Water Use Cals'!V22</f>
        <v>0</v>
      </c>
      <c r="X15" s="87">
        <f>'Industrial Water Use Cals'!W22</f>
        <v>0</v>
      </c>
      <c r="Y15" s="87">
        <f>'Industrial Water Use Cals'!X22</f>
        <v>0</v>
      </c>
      <c r="Z15" s="87">
        <f>'Industrial Water Use Cals'!Y22</f>
        <v>0</v>
      </c>
      <c r="AA15" s="87">
        <f>'Industrial Water Use Cals'!Z22</f>
        <v>0</v>
      </c>
      <c r="AB15" s="87">
        <f>'Industrial Water Use Cals'!AA22</f>
        <v>0</v>
      </c>
      <c r="AC15" s="87">
        <f>'Industrial Water Use Cals'!AB22</f>
        <v>0</v>
      </c>
      <c r="AD15" s="87">
        <f>'Industrial Water Use Cals'!AC22</f>
        <v>0</v>
      </c>
      <c r="AE15" s="87">
        <f>'Industrial Water Use Cals'!AD22</f>
        <v>0</v>
      </c>
      <c r="AF15" s="87">
        <f>'Industrial Water Use Cals'!AE22</f>
        <v>0</v>
      </c>
      <c r="AG15" s="87">
        <f>'Industrial Water Use Cals'!AF22</f>
        <v>0</v>
      </c>
      <c r="AH15" s="90">
        <f>'Industrial Water Use Cals'!AG22</f>
        <v>0</v>
      </c>
      <c r="AI15" s="24"/>
      <c r="AJ15" s="24"/>
      <c r="AK15" s="24"/>
      <c r="AL15" s="24"/>
      <c r="AM15" s="24"/>
      <c r="AN15" s="24"/>
      <c r="AO15" s="24"/>
      <c r="AP15" s="24"/>
      <c r="AQ15" s="24"/>
      <c r="AR15" s="24"/>
      <c r="AS15" s="24"/>
      <c r="AT15" s="24"/>
      <c r="AU15" s="24"/>
      <c r="AV15" s="24"/>
      <c r="AW15" s="24"/>
      <c r="AX15" s="24"/>
      <c r="AY15" s="24"/>
      <c r="AZ15" s="24"/>
      <c r="BA15" s="24"/>
      <c r="BB15" s="24"/>
    </row>
    <row r="16" ht="12.75" customHeight="1">
      <c r="A16" s="18"/>
      <c r="B16" s="214"/>
      <c r="C16" s="215" t="s">
        <v>48</v>
      </c>
      <c r="D16" s="216" t="str">
        <f>'Industrial Water Use Cals'!C21</f>
        <v>-</v>
      </c>
      <c r="E16" s="216">
        <f>'Industrial Water Use Cals'!D21</f>
        <v>90</v>
      </c>
      <c r="F16" s="216">
        <f>'Industrial Water Use Cals'!E21</f>
        <v>90.28497984</v>
      </c>
      <c r="G16" s="216">
        <f>'Industrial Water Use Cals'!F21</f>
        <v>87.65735426</v>
      </c>
      <c r="H16" s="216">
        <f>'Industrial Water Use Cals'!G21</f>
        <v>88.06528266</v>
      </c>
      <c r="I16" s="216">
        <f>'Industrial Water Use Cals'!H21</f>
        <v>82.53799035</v>
      </c>
      <c r="J16" s="216">
        <f>'Industrial Water Use Cals'!I21</f>
        <v>81.34072668</v>
      </c>
      <c r="K16" s="216">
        <f>'Industrial Water Use Cals'!J21</f>
        <v>77.53562496</v>
      </c>
      <c r="L16" s="216">
        <f>'Industrial Water Use Cals'!K21</f>
        <v>78.69654225</v>
      </c>
      <c r="M16" s="216">
        <f>'Industrial Water Use Cals'!L21</f>
        <v>73.73143902</v>
      </c>
      <c r="N16" s="216">
        <f>'Industrial Water Use Cals'!M21</f>
        <v>78.85439113</v>
      </c>
      <c r="O16" s="216">
        <f>'Industrial Water Use Cals'!N21</f>
        <v>29.5</v>
      </c>
      <c r="P16" s="216">
        <f>'Industrial Water Use Cals'!O21</f>
        <v>32.347221</v>
      </c>
      <c r="Q16" s="216">
        <f>'Industrial Water Use Cals'!P21</f>
        <v>29.8193709</v>
      </c>
      <c r="R16" s="216">
        <f>'Industrial Water Use Cals'!Q21</f>
        <v>30.99535652</v>
      </c>
      <c r="S16" s="216">
        <f>'Industrial Water Use Cals'!R21</f>
        <v>26.22854153</v>
      </c>
      <c r="T16" s="216">
        <f>'Industrial Water Use Cals'!S21</f>
        <v>25.75506842</v>
      </c>
      <c r="U16" s="216">
        <f>'Industrial Water Use Cals'!T21</f>
        <v>25.3083773</v>
      </c>
      <c r="V16" s="216">
        <f>'Industrial Water Use Cals'!U21</f>
        <v>24.77664735</v>
      </c>
      <c r="W16" s="216">
        <f>'Industrial Water Use Cals'!V21</f>
        <v>0</v>
      </c>
      <c r="X16" s="216">
        <f>'Industrial Water Use Cals'!W21</f>
        <v>0</v>
      </c>
      <c r="Y16" s="216">
        <f>'Industrial Water Use Cals'!X21</f>
        <v>0</v>
      </c>
      <c r="Z16" s="216">
        <f>'Industrial Water Use Cals'!Y21</f>
        <v>0</v>
      </c>
      <c r="AA16" s="216">
        <f>'Industrial Water Use Cals'!Z21</f>
        <v>0</v>
      </c>
      <c r="AB16" s="216">
        <f>'Industrial Water Use Cals'!AA21</f>
        <v>0</v>
      </c>
      <c r="AC16" s="216">
        <f>'Industrial Water Use Cals'!AB21</f>
        <v>0</v>
      </c>
      <c r="AD16" s="216">
        <f>'Industrial Water Use Cals'!AC21</f>
        <v>0</v>
      </c>
      <c r="AE16" s="216">
        <f>'Industrial Water Use Cals'!AD21</f>
        <v>0</v>
      </c>
      <c r="AF16" s="216">
        <f>'Industrial Water Use Cals'!AE21</f>
        <v>0</v>
      </c>
      <c r="AG16" s="216">
        <f>'Industrial Water Use Cals'!AF21</f>
        <v>0</v>
      </c>
      <c r="AH16" s="217">
        <f>'Industrial Water Use Cals'!AG21</f>
        <v>0</v>
      </c>
      <c r="AI16" s="24"/>
      <c r="AJ16" s="24"/>
      <c r="AK16" s="24"/>
      <c r="AL16" s="24"/>
      <c r="AM16" s="24"/>
      <c r="AN16" s="24"/>
      <c r="AO16" s="24"/>
      <c r="AP16" s="24"/>
      <c r="AQ16" s="24"/>
      <c r="AR16" s="24"/>
      <c r="AS16" s="24"/>
      <c r="AT16" s="24"/>
      <c r="AU16" s="24"/>
      <c r="AV16" s="24"/>
      <c r="AW16" s="24"/>
      <c r="AX16" s="24"/>
      <c r="AY16" s="24"/>
      <c r="AZ16" s="24"/>
      <c r="BA16" s="24"/>
      <c r="BB16" s="24"/>
    </row>
    <row r="17" ht="14.25" customHeight="1">
      <c r="A17" s="66" t="s">
        <v>111</v>
      </c>
      <c r="B17" s="68" t="s">
        <v>46</v>
      </c>
      <c r="C17" s="70" t="s">
        <v>47</v>
      </c>
      <c r="D17" s="73">
        <f>'Agricultural Water Use Calcs'!V48</f>
        <v>286350.975</v>
      </c>
      <c r="E17" s="73">
        <f>'Agricultural Water Use Calcs'!W48</f>
        <v>321402.6938</v>
      </c>
      <c r="F17" s="73">
        <f>'Agricultural Water Use Calcs'!X48</f>
        <v>248888.5688</v>
      </c>
      <c r="G17" s="73">
        <f>'Agricultural Water Use Calcs'!Y48</f>
        <v>377414.4938</v>
      </c>
      <c r="H17" s="73">
        <f>'Agricultural Water Use Calcs'!Z48</f>
        <v>408863.8875</v>
      </c>
      <c r="I17" s="73">
        <f>'Agricultural Water Use Calcs'!AA48</f>
        <v>434979.1313</v>
      </c>
      <c r="J17" s="73">
        <f>'Agricultural Water Use Calcs'!AB48</f>
        <v>366235.8375</v>
      </c>
      <c r="K17" s="73">
        <f>'Agricultural Water Use Calcs'!AC48</f>
        <v>289908.15</v>
      </c>
      <c r="L17" s="73">
        <f>'Agricultural Water Use Calcs'!AD48</f>
        <v>391647.225</v>
      </c>
      <c r="M17" s="73">
        <f>'Agricultural Water Use Calcs'!AE48</f>
        <v>454476.675</v>
      </c>
      <c r="N17" s="73">
        <f>'Agricultural Water Use Calcs'!AF48</f>
        <v>408033.45</v>
      </c>
      <c r="O17" s="73">
        <f>'Agricultural Water Use Calcs'!AG48</f>
        <v>467937.0188</v>
      </c>
      <c r="P17" s="73">
        <f>'Agricultural Water Use Calcs'!AH48</f>
        <v>287038.7063</v>
      </c>
      <c r="Q17" s="73">
        <f>'Agricultural Water Use Calcs'!AI48</f>
        <v>328912.9125</v>
      </c>
      <c r="R17" s="73">
        <f>'Agricultural Water Use Calcs'!AJ48</f>
        <v>486923.4</v>
      </c>
      <c r="S17" s="73">
        <f>'Agricultural Water Use Calcs'!AK48</f>
        <v>406989.3563</v>
      </c>
      <c r="T17" s="73">
        <f>'Agricultural Water Use Calcs'!AL48</f>
        <v>480561.2813</v>
      </c>
      <c r="U17" s="73">
        <f>'Agricultural Water Use Calcs'!AM48</f>
        <v>533988.2438</v>
      </c>
      <c r="V17" s="73">
        <f>'Agricultural Water Use Calcs'!AN48</f>
        <v>490762.7625</v>
      </c>
      <c r="W17" s="73" t="str">
        <f>'Agricultural Water Use Calcs'!AO48</f>
        <v>#DIV/0!</v>
      </c>
      <c r="X17" s="73" t="str">
        <f>'Agricultural Water Use Calcs'!AP48</f>
        <v>#DIV/0!</v>
      </c>
      <c r="Y17" s="73" t="str">
        <f>'Agricultural Water Use Calcs'!AQ48</f>
        <v>#DIV/0!</v>
      </c>
      <c r="Z17" s="73" t="str">
        <f>'Agricultural Water Use Calcs'!AR48</f>
        <v>#DIV/0!</v>
      </c>
      <c r="AA17" s="73" t="str">
        <f>'Agricultural Water Use Calcs'!AS48</f>
        <v>#DIV/0!</v>
      </c>
      <c r="AB17" s="73" t="str">
        <f>'Agricultural Water Use Calcs'!AT48</f>
        <v>#DIV/0!</v>
      </c>
      <c r="AC17" s="73" t="str">
        <f>'Agricultural Water Use Calcs'!AU48</f>
        <v>#DIV/0!</v>
      </c>
      <c r="AD17" s="73" t="str">
        <f>'Agricultural Water Use Calcs'!AV48</f>
        <v>#DIV/0!</v>
      </c>
      <c r="AE17" s="73" t="str">
        <f>'Agricultural Water Use Calcs'!AW48</f>
        <v>#DIV/0!</v>
      </c>
      <c r="AF17" s="73" t="str">
        <f>'Agricultural Water Use Calcs'!AX48</f>
        <v>#DIV/0!</v>
      </c>
      <c r="AG17" s="73" t="str">
        <f>'Agricultural Water Use Calcs'!AY48</f>
        <v>#DIV/0!</v>
      </c>
      <c r="AH17" s="85" t="str">
        <f>'Agricultural Water Use Calcs'!AZ48</f>
        <v>#DIV/0!</v>
      </c>
      <c r="AI17" s="24"/>
      <c r="AJ17" s="24"/>
      <c r="AK17" s="24"/>
      <c r="AL17" s="24"/>
      <c r="AM17" s="24"/>
      <c r="AN17" s="24"/>
      <c r="AO17" s="24"/>
      <c r="AP17" s="24"/>
      <c r="AQ17" s="24"/>
      <c r="AR17" s="24"/>
      <c r="AS17" s="24"/>
      <c r="AT17" s="24"/>
      <c r="AU17" s="24"/>
      <c r="AV17" s="24"/>
      <c r="AW17" s="24"/>
      <c r="AX17" s="24"/>
      <c r="AY17" s="24"/>
      <c r="AZ17" s="24"/>
      <c r="BA17" s="24"/>
      <c r="BB17" s="24"/>
    </row>
    <row r="18" ht="12.75" customHeight="1">
      <c r="A18" s="9"/>
      <c r="B18" s="86"/>
      <c r="C18" s="51" t="s">
        <v>49</v>
      </c>
      <c r="D18" s="87">
        <f>'Agricultural Water Use Calcs'!V49</f>
        <v>284204.3247</v>
      </c>
      <c r="E18" s="87">
        <f>'Agricultural Water Use Calcs'!W49</f>
        <v>318993.2758</v>
      </c>
      <c r="F18" s="87">
        <f>'Agricultural Water Use Calcs'!X49</f>
        <v>247022.7581</v>
      </c>
      <c r="G18" s="87">
        <f>'Agricultural Water Use Calcs'!Y49</f>
        <v>374585.1794</v>
      </c>
      <c r="H18" s="87">
        <f>'Agricultural Water Use Calcs'!Z49</f>
        <v>405798.8106</v>
      </c>
      <c r="I18" s="87">
        <f>'Agricultural Water Use Calcs'!AA49</f>
        <v>431718.2795</v>
      </c>
      <c r="J18" s="87">
        <f>'Agricultural Water Use Calcs'!AB49</f>
        <v>363490.3247</v>
      </c>
      <c r="K18" s="87">
        <f>'Agricultural Water Use Calcs'!AC49</f>
        <v>287734.8331</v>
      </c>
      <c r="L18" s="87">
        <f>'Agricultural Water Use Calcs'!AD49</f>
        <v>388711.214</v>
      </c>
      <c r="M18" s="87">
        <f>'Agricultural Water Use Calcs'!AE49</f>
        <v>451069.6586</v>
      </c>
      <c r="N18" s="87">
        <f>'Agricultural Water Use Calcs'!AF49</f>
        <v>404974.5985</v>
      </c>
      <c r="O18" s="87">
        <f>'Agricultural Water Use Calcs'!AG49</f>
        <v>464429.0959</v>
      </c>
      <c r="P18" s="87">
        <f>'Agricultural Water Use Calcs'!AH49</f>
        <v>284886.9004</v>
      </c>
      <c r="Q18" s="87">
        <f>'Agricultural Water Use Calcs'!AI49</f>
        <v>326447.1937</v>
      </c>
      <c r="R18" s="87">
        <f>'Agricultural Water Use Calcs'!AJ49</f>
        <v>483273.1444</v>
      </c>
      <c r="S18" s="87">
        <f>'Agricultural Water Use Calcs'!AK49</f>
        <v>403938.3319</v>
      </c>
      <c r="T18" s="87">
        <f>'Agricultural Water Use Calcs'!AL49</f>
        <v>476958.7197</v>
      </c>
      <c r="U18" s="87">
        <f>'Agricultural Water Use Calcs'!AM49</f>
        <v>529985.1632</v>
      </c>
      <c r="V18" s="87">
        <f>'Agricultural Water Use Calcs'!AN49</f>
        <v>487083.7249</v>
      </c>
      <c r="W18" s="87" t="str">
        <f>'Agricultural Water Use Calcs'!AO49</f>
        <v>#DIV/0!</v>
      </c>
      <c r="X18" s="87" t="str">
        <f>'Agricultural Water Use Calcs'!AP49</f>
        <v>#DIV/0!</v>
      </c>
      <c r="Y18" s="87" t="str">
        <f>'Agricultural Water Use Calcs'!AQ49</f>
        <v>#DIV/0!</v>
      </c>
      <c r="Z18" s="87" t="str">
        <f>'Agricultural Water Use Calcs'!AR49</f>
        <v>#DIV/0!</v>
      </c>
      <c r="AA18" s="87" t="str">
        <f>'Agricultural Water Use Calcs'!AS49</f>
        <v>#DIV/0!</v>
      </c>
      <c r="AB18" s="87" t="str">
        <f>'Agricultural Water Use Calcs'!AT49</f>
        <v>#DIV/0!</v>
      </c>
      <c r="AC18" s="87" t="str">
        <f>'Agricultural Water Use Calcs'!AU49</f>
        <v>#DIV/0!</v>
      </c>
      <c r="AD18" s="87" t="str">
        <f>'Agricultural Water Use Calcs'!AV49</f>
        <v>#DIV/0!</v>
      </c>
      <c r="AE18" s="87" t="str">
        <f>'Agricultural Water Use Calcs'!AW49</f>
        <v>#DIV/0!</v>
      </c>
      <c r="AF18" s="87" t="str">
        <f>'Agricultural Water Use Calcs'!AX49</f>
        <v>#DIV/0!</v>
      </c>
      <c r="AG18" s="87" t="str">
        <f>'Agricultural Water Use Calcs'!AY49</f>
        <v>#DIV/0!</v>
      </c>
      <c r="AH18" s="90" t="str">
        <f>'Agricultural Water Use Calcs'!AZ49</f>
        <v>#DIV/0!</v>
      </c>
      <c r="AI18" s="24"/>
      <c r="AJ18" s="24"/>
      <c r="AK18" s="24"/>
      <c r="AL18" s="24"/>
      <c r="AM18" s="24"/>
      <c r="AN18" s="24"/>
      <c r="AO18" s="24"/>
      <c r="AP18" s="24"/>
      <c r="AQ18" s="24"/>
      <c r="AR18" s="24"/>
      <c r="AS18" s="24"/>
      <c r="AT18" s="24"/>
      <c r="AU18" s="24"/>
      <c r="AV18" s="24"/>
      <c r="AW18" s="24"/>
      <c r="AX18" s="24"/>
      <c r="AY18" s="24"/>
      <c r="AZ18" s="24"/>
      <c r="BA18" s="24"/>
      <c r="BB18" s="24"/>
    </row>
    <row r="19" ht="12.75" customHeight="1">
      <c r="A19" s="9"/>
      <c r="B19" s="92"/>
      <c r="C19" s="51" t="s">
        <v>48</v>
      </c>
      <c r="D19" s="87">
        <f>'Agricultural Water Use Calcs'!V50</f>
        <v>2146.650264</v>
      </c>
      <c r="E19" s="87">
        <f>'Agricultural Water Use Calcs'!W50</f>
        <v>2409.417943</v>
      </c>
      <c r="F19" s="87">
        <f>'Agricultural Water Use Calcs'!X50</f>
        <v>1865.810695</v>
      </c>
      <c r="G19" s="87">
        <f>'Agricultural Water Use Calcs'!Y50</f>
        <v>2829.314349</v>
      </c>
      <c r="H19" s="87">
        <f>'Agricultural Water Use Calcs'!Z50</f>
        <v>3065.076946</v>
      </c>
      <c r="I19" s="87">
        <f>'Agricultural Water Use Calcs'!AA50</f>
        <v>3260.851711</v>
      </c>
      <c r="J19" s="87">
        <f>'Agricultural Water Use Calcs'!AB50</f>
        <v>2745.512765</v>
      </c>
      <c r="K19" s="87">
        <f>'Agricultural Water Use Calcs'!AC50</f>
        <v>2173.316877</v>
      </c>
      <c r="L19" s="87">
        <f>'Agricultural Water Use Calcs'!AD50</f>
        <v>2936.011022</v>
      </c>
      <c r="M19" s="87">
        <f>'Agricultural Water Use Calcs'!AE50</f>
        <v>3407.016422</v>
      </c>
      <c r="N19" s="87">
        <f>'Agricultural Water Use Calcs'!AF50</f>
        <v>3058.851513</v>
      </c>
      <c r="O19" s="87">
        <f>'Agricultural Water Use Calcs'!AG50</f>
        <v>3507.922837</v>
      </c>
      <c r="P19" s="87">
        <f>'Agricultural Water Use Calcs'!AH50</f>
        <v>2151.805889</v>
      </c>
      <c r="Q19" s="87">
        <f>'Agricultural Water Use Calcs'!AI50</f>
        <v>2465.718828</v>
      </c>
      <c r="R19" s="87">
        <f>'Agricultural Water Use Calcs'!AJ50</f>
        <v>3650.255582</v>
      </c>
      <c r="S19" s="87">
        <f>'Agricultural Water Use Calcs'!AK50</f>
        <v>3051.02439</v>
      </c>
      <c r="T19" s="87">
        <f>'Agricultural Water Use Calcs'!AL50</f>
        <v>3602.561511</v>
      </c>
      <c r="U19" s="87">
        <f>'Agricultural Water Use Calcs'!AM50</f>
        <v>4003.0805</v>
      </c>
      <c r="V19" s="87">
        <f>'Agricultural Water Use Calcs'!AN50</f>
        <v>3679.037634</v>
      </c>
      <c r="W19" s="87" t="str">
        <f>'Agricultural Water Use Calcs'!AO50</f>
        <v>#DIV/0!</v>
      </c>
      <c r="X19" s="87" t="str">
        <f>'Agricultural Water Use Calcs'!AP50</f>
        <v>#DIV/0!</v>
      </c>
      <c r="Y19" s="87" t="str">
        <f>'Agricultural Water Use Calcs'!AQ50</f>
        <v>#DIV/0!</v>
      </c>
      <c r="Z19" s="87" t="str">
        <f>'Agricultural Water Use Calcs'!AR50</f>
        <v>#DIV/0!</v>
      </c>
      <c r="AA19" s="87" t="str">
        <f>'Agricultural Water Use Calcs'!AS50</f>
        <v>#DIV/0!</v>
      </c>
      <c r="AB19" s="87" t="str">
        <f>'Agricultural Water Use Calcs'!AT50</f>
        <v>#DIV/0!</v>
      </c>
      <c r="AC19" s="87" t="str">
        <f>'Agricultural Water Use Calcs'!AU50</f>
        <v>#DIV/0!</v>
      </c>
      <c r="AD19" s="87" t="str">
        <f>'Agricultural Water Use Calcs'!AV50</f>
        <v>#DIV/0!</v>
      </c>
      <c r="AE19" s="87" t="str">
        <f>'Agricultural Water Use Calcs'!AW50</f>
        <v>#DIV/0!</v>
      </c>
      <c r="AF19" s="87" t="str">
        <f>'Agricultural Water Use Calcs'!AX50</f>
        <v>#DIV/0!</v>
      </c>
      <c r="AG19" s="87" t="str">
        <f>'Agricultural Water Use Calcs'!AY50</f>
        <v>#DIV/0!</v>
      </c>
      <c r="AH19" s="90" t="str">
        <f>'Agricultural Water Use Calcs'!AZ50</f>
        <v>#DIV/0!</v>
      </c>
      <c r="AI19" s="24"/>
      <c r="AJ19" s="24"/>
      <c r="AK19" s="24"/>
      <c r="AL19" s="24"/>
      <c r="AM19" s="24"/>
      <c r="AN19" s="24"/>
      <c r="AO19" s="24"/>
      <c r="AP19" s="24"/>
      <c r="AQ19" s="24"/>
      <c r="AR19" s="24"/>
      <c r="AS19" s="24"/>
      <c r="AT19" s="24"/>
      <c r="AU19" s="24"/>
      <c r="AV19" s="24"/>
      <c r="AW19" s="24"/>
      <c r="AX19" s="24"/>
      <c r="AY19" s="24"/>
      <c r="AZ19" s="24"/>
      <c r="BA19" s="24"/>
      <c r="BB19" s="24"/>
    </row>
    <row r="20" ht="15.0" customHeight="1">
      <c r="A20" s="9"/>
      <c r="B20" s="111" t="s">
        <v>60</v>
      </c>
      <c r="C20" s="112" t="s">
        <v>47</v>
      </c>
      <c r="D20" s="114">
        <f t="shared" ref="D20:AH20" si="3">SUM(D21:D23)</f>
        <v>21750</v>
      </c>
      <c r="E20" s="114">
        <f t="shared" si="3"/>
        <v>21757.84141</v>
      </c>
      <c r="F20" s="114">
        <f t="shared" si="3"/>
        <v>21971.4667</v>
      </c>
      <c r="G20" s="114">
        <f t="shared" si="3"/>
        <v>22135.76913</v>
      </c>
      <c r="H20" s="114">
        <f t="shared" si="3"/>
        <v>22484.12147</v>
      </c>
      <c r="I20" s="114">
        <f t="shared" si="3"/>
        <v>22761.91</v>
      </c>
      <c r="J20" s="114">
        <f t="shared" si="3"/>
        <v>23128.8739</v>
      </c>
      <c r="K20" s="114">
        <f t="shared" si="3"/>
        <v>23613.42247</v>
      </c>
      <c r="L20" s="114">
        <f t="shared" si="3"/>
        <v>24067.07089</v>
      </c>
      <c r="M20" s="114">
        <f t="shared" si="3"/>
        <v>24623.17507</v>
      </c>
      <c r="N20" s="114">
        <f t="shared" si="3"/>
        <v>24893.37664</v>
      </c>
      <c r="O20" s="114">
        <f t="shared" si="3"/>
        <v>25058.24708</v>
      </c>
      <c r="P20" s="114">
        <f t="shared" si="3"/>
        <v>15131.84346</v>
      </c>
      <c r="Q20" s="114">
        <f t="shared" si="3"/>
        <v>27150.88158</v>
      </c>
      <c r="R20" s="114">
        <f t="shared" si="3"/>
        <v>17613.70771</v>
      </c>
      <c r="S20" s="114">
        <f t="shared" si="3"/>
        <v>14591.44463</v>
      </c>
      <c r="T20" s="114">
        <f t="shared" si="3"/>
        <v>15162.23055</v>
      </c>
      <c r="U20" s="114">
        <f t="shared" si="3"/>
        <v>14565.94912</v>
      </c>
      <c r="V20" s="114">
        <f t="shared" si="3"/>
        <v>14494.90622</v>
      </c>
      <c r="W20" s="114">
        <f t="shared" si="3"/>
        <v>0</v>
      </c>
      <c r="X20" s="114">
        <f t="shared" si="3"/>
        <v>0</v>
      </c>
      <c r="Y20" s="114">
        <f t="shared" si="3"/>
        <v>0</v>
      </c>
      <c r="Z20" s="114">
        <f t="shared" si="3"/>
        <v>0</v>
      </c>
      <c r="AA20" s="114">
        <f t="shared" si="3"/>
        <v>0</v>
      </c>
      <c r="AB20" s="114">
        <f t="shared" si="3"/>
        <v>0</v>
      </c>
      <c r="AC20" s="114">
        <f t="shared" si="3"/>
        <v>0</v>
      </c>
      <c r="AD20" s="114">
        <f t="shared" si="3"/>
        <v>0</v>
      </c>
      <c r="AE20" s="114">
        <f t="shared" si="3"/>
        <v>0</v>
      </c>
      <c r="AF20" s="114">
        <f t="shared" si="3"/>
        <v>0</v>
      </c>
      <c r="AG20" s="114">
        <f t="shared" si="3"/>
        <v>0</v>
      </c>
      <c r="AH20" s="128">
        <f t="shared" si="3"/>
        <v>0</v>
      </c>
      <c r="AI20" s="24"/>
      <c r="AJ20" s="24"/>
      <c r="AK20" s="24"/>
      <c r="AL20" s="24"/>
      <c r="AM20" s="24"/>
      <c r="AN20" s="24"/>
      <c r="AO20" s="24"/>
      <c r="AP20" s="24"/>
      <c r="AQ20" s="24"/>
      <c r="AR20" s="24"/>
      <c r="AS20" s="24"/>
      <c r="AT20" s="24"/>
      <c r="AU20" s="24"/>
      <c r="AV20" s="24"/>
      <c r="AW20" s="24"/>
      <c r="AX20" s="24"/>
      <c r="AY20" s="24"/>
      <c r="AZ20" s="24"/>
      <c r="BA20" s="24"/>
      <c r="BB20" s="24"/>
    </row>
    <row r="21" ht="12.75" customHeight="1">
      <c r="A21" s="9"/>
      <c r="B21" s="86"/>
      <c r="C21" s="51" t="s">
        <v>113</v>
      </c>
      <c r="D21" s="87">
        <f>'Muni &amp; Domestic Water Use Calcs'!C81</f>
        <v>14400</v>
      </c>
      <c r="E21" s="87">
        <f>'Muni &amp; Domestic Water Use Calcs'!D81</f>
        <v>14523.87328</v>
      </c>
      <c r="F21" s="87">
        <f>'Muni &amp; Domestic Water Use Calcs'!E81</f>
        <v>14631.0506</v>
      </c>
      <c r="G21" s="87">
        <f>'Muni &amp; Domestic Water Use Calcs'!F81</f>
        <v>14771.08127</v>
      </c>
      <c r="H21" s="87">
        <f>'Muni &amp; Domestic Water Use Calcs'!G81</f>
        <v>14997.55395</v>
      </c>
      <c r="I21" s="87">
        <f>'Muni &amp; Domestic Water Use Calcs'!H81</f>
        <v>15300</v>
      </c>
      <c r="J21" s="87">
        <f>'Muni &amp; Domestic Water Use Calcs'!I81</f>
        <v>15470.68493</v>
      </c>
      <c r="K21" s="87">
        <f>'Muni &amp; Domestic Water Use Calcs'!J81</f>
        <v>15604.93151</v>
      </c>
      <c r="L21" s="87">
        <f>'Muni &amp; Domestic Water Use Calcs'!K81</f>
        <v>15843.56164</v>
      </c>
      <c r="M21" s="87">
        <f>'Muni &amp; Domestic Water Use Calcs'!L81</f>
        <v>16070.68493</v>
      </c>
      <c r="N21" s="87">
        <f>'Muni &amp; Domestic Water Use Calcs'!M81</f>
        <v>16406.57534</v>
      </c>
      <c r="O21" s="87">
        <f>'Muni &amp; Domestic Water Use Calcs'!N81</f>
        <v>16520.27397</v>
      </c>
      <c r="P21" s="87">
        <f>'Muni &amp; Domestic Water Use Calcs'!O81</f>
        <v>6409</v>
      </c>
      <c r="Q21" s="87">
        <f>'Muni &amp; Domestic Water Use Calcs'!P81</f>
        <v>18424</v>
      </c>
      <c r="R21" s="87">
        <f>'Muni &amp; Domestic Water Use Calcs'!Q81</f>
        <v>8887</v>
      </c>
      <c r="S21" s="87">
        <f>'Muni &amp; Domestic Water Use Calcs'!R81</f>
        <v>5908</v>
      </c>
      <c r="T21" s="87">
        <f>'Muni &amp; Domestic Water Use Calcs'!S81</f>
        <v>6553</v>
      </c>
      <c r="U21" s="87">
        <f>'Muni &amp; Domestic Water Use Calcs'!T81</f>
        <v>6093</v>
      </c>
      <c r="V21" s="87">
        <f>'Muni &amp; Domestic Water Use Calcs'!U81</f>
        <v>6093</v>
      </c>
      <c r="W21" s="87" t="str">
        <f>'Muni &amp; Domestic Water Use Calcs'!V81</f>
        <v/>
      </c>
      <c r="X21" s="87" t="str">
        <f>'Muni &amp; Domestic Water Use Calcs'!W81</f>
        <v/>
      </c>
      <c r="Y21" s="87" t="str">
        <f>'Muni &amp; Domestic Water Use Calcs'!X81</f>
        <v/>
      </c>
      <c r="Z21" s="87" t="str">
        <f>'Muni &amp; Domestic Water Use Calcs'!Y81</f>
        <v/>
      </c>
      <c r="AA21" s="87" t="str">
        <f>'Muni &amp; Domestic Water Use Calcs'!Z81</f>
        <v/>
      </c>
      <c r="AB21" s="87" t="str">
        <f>'Muni &amp; Domestic Water Use Calcs'!AA81</f>
        <v/>
      </c>
      <c r="AC21" s="87" t="str">
        <f>'Muni &amp; Domestic Water Use Calcs'!AB81</f>
        <v/>
      </c>
      <c r="AD21" s="87" t="str">
        <f>'Muni &amp; Domestic Water Use Calcs'!AC81</f>
        <v/>
      </c>
      <c r="AE21" s="87" t="str">
        <f>'Muni &amp; Domestic Water Use Calcs'!AD81</f>
        <v/>
      </c>
      <c r="AF21" s="87" t="str">
        <f>'Muni &amp; Domestic Water Use Calcs'!AE81</f>
        <v/>
      </c>
      <c r="AG21" s="87" t="str">
        <f>'Muni &amp; Domestic Water Use Calcs'!AF81</f>
        <v/>
      </c>
      <c r="AH21" s="90" t="str">
        <f>'Muni &amp; Domestic Water Use Calcs'!AG81</f>
        <v/>
      </c>
      <c r="AI21" s="24"/>
      <c r="AJ21" s="24"/>
      <c r="AK21" s="24"/>
      <c r="AL21" s="24"/>
      <c r="AM21" s="24"/>
      <c r="AN21" s="24"/>
      <c r="AO21" s="24"/>
      <c r="AP21" s="24"/>
      <c r="AQ21" s="24"/>
      <c r="AR21" s="24"/>
      <c r="AS21" s="24"/>
      <c r="AT21" s="24"/>
      <c r="AU21" s="24"/>
      <c r="AV21" s="24"/>
      <c r="AW21" s="24"/>
      <c r="AX21" s="24"/>
      <c r="AY21" s="24"/>
      <c r="AZ21" s="24"/>
      <c r="BA21" s="24"/>
      <c r="BB21" s="24"/>
    </row>
    <row r="22" ht="12.75" customHeight="1">
      <c r="A22" s="9"/>
      <c r="B22" s="86"/>
      <c r="C22" s="51" t="s">
        <v>49</v>
      </c>
      <c r="D22" s="87">
        <f>'Muni &amp; Domestic Water Use Calcs'!C80</f>
        <v>6539</v>
      </c>
      <c r="E22" s="87">
        <f>'Muni &amp; Domestic Water Use Calcs'!D80</f>
        <v>6431.547751</v>
      </c>
      <c r="F22" s="87">
        <f>'Muni &amp; Domestic Water Use Calcs'!E80</f>
        <v>6511.805295</v>
      </c>
      <c r="G22" s="87">
        <f>'Muni &amp; Domestic Water Use Calcs'!F80</f>
        <v>6517.111579</v>
      </c>
      <c r="H22" s="87">
        <f>'Muni &amp; Domestic Water Use Calcs'!G80</f>
        <v>6609.639905</v>
      </c>
      <c r="I22" s="87">
        <f>'Muni &amp; Domestic Water Use Calcs'!H80</f>
        <v>6577.91</v>
      </c>
      <c r="J22" s="87">
        <f>'Muni &amp; Domestic Water Use Calcs'!I80</f>
        <v>6737.428577</v>
      </c>
      <c r="K22" s="87">
        <f>'Muni &amp; Domestic Water Use Calcs'!J80</f>
        <v>7015.085023</v>
      </c>
      <c r="L22" s="87">
        <f>'Muni &amp; Domestic Water Use Calcs'!K80</f>
        <v>7176.713205</v>
      </c>
      <c r="M22" s="87">
        <f>'Muni &amp; Domestic Water Use Calcs'!L80</f>
        <v>7448.36539</v>
      </c>
      <c r="N22" s="87">
        <f>'Muni &amp; Domestic Water Use Calcs'!M80</f>
        <v>7369.985458</v>
      </c>
      <c r="O22" s="87">
        <f>'Muni &amp; Domestic Water Use Calcs'!N80</f>
        <v>7425.971124</v>
      </c>
      <c r="P22" s="87">
        <f>'Muni &amp; Domestic Water Use Calcs'!O80</f>
        <v>7573.643459</v>
      </c>
      <c r="Q22" s="87">
        <f>'Muni &amp; Domestic Water Use Calcs'!P80</f>
        <v>7589.059802</v>
      </c>
      <c r="R22" s="87">
        <f>'Muni &amp; Domestic Water Use Calcs'!Q80</f>
        <v>7565.691872</v>
      </c>
      <c r="S22" s="87">
        <f>'Muni &amp; Domestic Water Use Calcs'!R80</f>
        <v>7535.995127</v>
      </c>
      <c r="T22" s="87">
        <f>'Muni &amp; Domestic Water Use Calcs'!S80</f>
        <v>7471.408766</v>
      </c>
      <c r="U22" s="87">
        <f>'Muni &amp; Domestic Water Use Calcs'!T80</f>
        <v>7361.384762</v>
      </c>
      <c r="V22" s="87">
        <f>'Muni &amp; Domestic Water Use Calcs'!U80</f>
        <v>7292.092359</v>
      </c>
      <c r="W22" s="87">
        <f>'Muni &amp; Domestic Water Use Calcs'!V80</f>
        <v>0</v>
      </c>
      <c r="X22" s="87">
        <f>'Muni &amp; Domestic Water Use Calcs'!W80</f>
        <v>0</v>
      </c>
      <c r="Y22" s="87">
        <f>'Muni &amp; Domestic Water Use Calcs'!X80</f>
        <v>0</v>
      </c>
      <c r="Z22" s="87">
        <f>'Muni &amp; Domestic Water Use Calcs'!Y80</f>
        <v>0</v>
      </c>
      <c r="AA22" s="87">
        <f>'Muni &amp; Domestic Water Use Calcs'!Z80</f>
        <v>0</v>
      </c>
      <c r="AB22" s="87">
        <f>'Muni &amp; Domestic Water Use Calcs'!AA80</f>
        <v>0</v>
      </c>
      <c r="AC22" s="87">
        <f>'Muni &amp; Domestic Water Use Calcs'!AB80</f>
        <v>0</v>
      </c>
      <c r="AD22" s="87">
        <f>'Muni &amp; Domestic Water Use Calcs'!AC80</f>
        <v>0</v>
      </c>
      <c r="AE22" s="87">
        <f>'Muni &amp; Domestic Water Use Calcs'!AD80</f>
        <v>0</v>
      </c>
      <c r="AF22" s="87">
        <f>'Muni &amp; Domestic Water Use Calcs'!AE80</f>
        <v>0</v>
      </c>
      <c r="AG22" s="87">
        <f>'Muni &amp; Domestic Water Use Calcs'!AF80</f>
        <v>0</v>
      </c>
      <c r="AH22" s="90">
        <f>'Muni &amp; Domestic Water Use Calcs'!AG80</f>
        <v>0</v>
      </c>
      <c r="AI22" s="24"/>
      <c r="AJ22" s="24"/>
      <c r="AK22" s="24"/>
      <c r="AL22" s="24"/>
      <c r="AM22" s="24"/>
      <c r="AN22" s="24"/>
      <c r="AO22" s="24"/>
      <c r="AP22" s="24"/>
      <c r="AQ22" s="24"/>
      <c r="AR22" s="24"/>
      <c r="AS22" s="24"/>
      <c r="AT22" s="24"/>
      <c r="AU22" s="24"/>
      <c r="AV22" s="24"/>
      <c r="AW22" s="24"/>
      <c r="AX22" s="24"/>
      <c r="AY22" s="24"/>
      <c r="AZ22" s="24"/>
      <c r="BA22" s="24"/>
      <c r="BB22" s="24"/>
    </row>
    <row r="23" ht="12.75" customHeight="1">
      <c r="A23" s="9"/>
      <c r="B23" s="92"/>
      <c r="C23" s="51" t="s">
        <v>48</v>
      </c>
      <c r="D23" s="87">
        <f>'Muni &amp; Domestic Water Use Calcs'!C79</f>
        <v>811</v>
      </c>
      <c r="E23" s="87">
        <f>'Muni &amp; Domestic Water Use Calcs'!D79</f>
        <v>802.4203786</v>
      </c>
      <c r="F23" s="87">
        <f>'Muni &amp; Domestic Water Use Calcs'!E79</f>
        <v>828.6108018</v>
      </c>
      <c r="G23" s="87">
        <f>'Muni &amp; Domestic Water Use Calcs'!F79</f>
        <v>847.5762806</v>
      </c>
      <c r="H23" s="87">
        <f>'Muni &amp; Domestic Water Use Calcs'!G79</f>
        <v>876.9276169</v>
      </c>
      <c r="I23" s="87">
        <f>'Muni &amp; Domestic Water Use Calcs'!H79</f>
        <v>884</v>
      </c>
      <c r="J23" s="87">
        <f>'Muni &amp; Domestic Water Use Calcs'!I79</f>
        <v>920.760396</v>
      </c>
      <c r="K23" s="87">
        <f>'Muni &amp; Domestic Water Use Calcs'!J79</f>
        <v>993.4059406</v>
      </c>
      <c r="L23" s="87">
        <f>'Muni &amp; Domestic Water Use Calcs'!K79</f>
        <v>1046.79604</v>
      </c>
      <c r="M23" s="87">
        <f>'Muni &amp; Domestic Water Use Calcs'!L79</f>
        <v>1104.124752</v>
      </c>
      <c r="N23" s="87">
        <f>'Muni &amp; Domestic Water Use Calcs'!M79</f>
        <v>1116.815842</v>
      </c>
      <c r="O23" s="87">
        <f>'Muni &amp; Domestic Water Use Calcs'!N79</f>
        <v>1112.00198</v>
      </c>
      <c r="P23" s="87">
        <f>'Muni &amp; Domestic Water Use Calcs'!O79</f>
        <v>1149.2</v>
      </c>
      <c r="Q23" s="87">
        <f>'Muni &amp; Domestic Water Use Calcs'!P79</f>
        <v>1137.821782</v>
      </c>
      <c r="R23" s="87">
        <f>'Muni &amp; Domestic Water Use Calcs'!Q79</f>
        <v>1161.015842</v>
      </c>
      <c r="S23" s="87">
        <f>'Muni &amp; Domestic Water Use Calcs'!R79</f>
        <v>1147.449505</v>
      </c>
      <c r="T23" s="87">
        <f>'Muni &amp; Domestic Water Use Calcs'!S79</f>
        <v>1137.821782</v>
      </c>
      <c r="U23" s="87">
        <f>'Muni &amp; Domestic Water Use Calcs'!T79</f>
        <v>1111.564356</v>
      </c>
      <c r="V23" s="87">
        <f>'Muni &amp; Domestic Water Use Calcs'!U79</f>
        <v>1109.813861</v>
      </c>
      <c r="W23" s="87">
        <f>'Muni &amp; Domestic Water Use Calcs'!V79</f>
        <v>0</v>
      </c>
      <c r="X23" s="87">
        <f>'Muni &amp; Domestic Water Use Calcs'!W79</f>
        <v>0</v>
      </c>
      <c r="Y23" s="87">
        <f>'Muni &amp; Domestic Water Use Calcs'!X79</f>
        <v>0</v>
      </c>
      <c r="Z23" s="87">
        <f>'Muni &amp; Domestic Water Use Calcs'!Y79</f>
        <v>0</v>
      </c>
      <c r="AA23" s="87">
        <f>'Muni &amp; Domestic Water Use Calcs'!Z79</f>
        <v>0</v>
      </c>
      <c r="AB23" s="87">
        <f>'Muni &amp; Domestic Water Use Calcs'!AA79</f>
        <v>0</v>
      </c>
      <c r="AC23" s="87">
        <f>'Muni &amp; Domestic Water Use Calcs'!AB79</f>
        <v>0</v>
      </c>
      <c r="AD23" s="87">
        <f>'Muni &amp; Domestic Water Use Calcs'!AC79</f>
        <v>0</v>
      </c>
      <c r="AE23" s="87">
        <f>'Muni &amp; Domestic Water Use Calcs'!AD79</f>
        <v>0</v>
      </c>
      <c r="AF23" s="87">
        <f>'Muni &amp; Domestic Water Use Calcs'!AE79</f>
        <v>0</v>
      </c>
      <c r="AG23" s="87">
        <f>'Muni &amp; Domestic Water Use Calcs'!AF79</f>
        <v>0</v>
      </c>
      <c r="AH23" s="90">
        <f>'Muni &amp; Domestic Water Use Calcs'!AG79</f>
        <v>0</v>
      </c>
      <c r="AI23" s="24"/>
      <c r="AJ23" s="24"/>
      <c r="AK23" s="24"/>
      <c r="AL23" s="24"/>
      <c r="AM23" s="24"/>
      <c r="AN23" s="24"/>
      <c r="AO23" s="24"/>
      <c r="AP23" s="24"/>
      <c r="AQ23" s="24"/>
      <c r="AR23" s="24"/>
      <c r="AS23" s="24"/>
      <c r="AT23" s="24"/>
      <c r="AU23" s="24"/>
      <c r="AV23" s="24"/>
      <c r="AW23" s="24"/>
      <c r="AX23" s="24"/>
      <c r="AY23" s="24"/>
      <c r="AZ23" s="24"/>
      <c r="BA23" s="24"/>
      <c r="BB23" s="24"/>
    </row>
    <row r="24" ht="12.75" customHeight="1">
      <c r="A24" s="9"/>
      <c r="B24" s="161" t="s">
        <v>72</v>
      </c>
      <c r="C24" s="162" t="s">
        <v>47</v>
      </c>
      <c r="D24" s="167">
        <f t="shared" ref="D24:AH24" si="4">SUM(D25:D26)</f>
        <v>2904.421039</v>
      </c>
      <c r="E24" s="167">
        <f t="shared" si="4"/>
        <v>2857.43465</v>
      </c>
      <c r="F24" s="167">
        <f t="shared" si="4"/>
        <v>2895.615494</v>
      </c>
      <c r="G24" s="167">
        <f t="shared" si="4"/>
        <v>2900.828377</v>
      </c>
      <c r="H24" s="167">
        <f t="shared" si="4"/>
        <v>2944.715214</v>
      </c>
      <c r="I24" s="167">
        <f t="shared" si="4"/>
        <v>3041.022584</v>
      </c>
      <c r="J24" s="167">
        <f t="shared" si="4"/>
        <v>3117.271464</v>
      </c>
      <c r="K24" s="167">
        <f t="shared" si="4"/>
        <v>3251.403749</v>
      </c>
      <c r="L24" s="167">
        <f t="shared" si="4"/>
        <v>3331.29714</v>
      </c>
      <c r="M24" s="167">
        <f t="shared" si="4"/>
        <v>3460.284234</v>
      </c>
      <c r="N24" s="167">
        <f t="shared" si="4"/>
        <v>3427.840942</v>
      </c>
      <c r="O24" s="167">
        <f t="shared" si="4"/>
        <v>3451.708914</v>
      </c>
      <c r="P24" s="167">
        <f t="shared" si="4"/>
        <v>3522.812603</v>
      </c>
      <c r="Q24" s="167">
        <f t="shared" si="4"/>
        <v>3527.743412</v>
      </c>
      <c r="R24" s="167">
        <f t="shared" si="4"/>
        <v>3521.240461</v>
      </c>
      <c r="S24" s="167">
        <f t="shared" si="4"/>
        <v>3505.947809</v>
      </c>
      <c r="T24" s="167">
        <f t="shared" si="4"/>
        <v>3475.934191</v>
      </c>
      <c r="U24" s="167">
        <f t="shared" si="4"/>
        <v>3423.195978</v>
      </c>
      <c r="V24" s="167">
        <f t="shared" si="4"/>
        <v>3392.39629</v>
      </c>
      <c r="W24" s="167">
        <f t="shared" si="4"/>
        <v>0</v>
      </c>
      <c r="X24" s="167">
        <f t="shared" si="4"/>
        <v>0</v>
      </c>
      <c r="Y24" s="167">
        <f t="shared" si="4"/>
        <v>0</v>
      </c>
      <c r="Z24" s="167">
        <f t="shared" si="4"/>
        <v>0</v>
      </c>
      <c r="AA24" s="167">
        <f t="shared" si="4"/>
        <v>0</v>
      </c>
      <c r="AB24" s="167">
        <f t="shared" si="4"/>
        <v>0</v>
      </c>
      <c r="AC24" s="167">
        <f t="shared" si="4"/>
        <v>0</v>
      </c>
      <c r="AD24" s="167">
        <f t="shared" si="4"/>
        <v>0</v>
      </c>
      <c r="AE24" s="167">
        <f t="shared" si="4"/>
        <v>0</v>
      </c>
      <c r="AF24" s="167">
        <f t="shared" si="4"/>
        <v>0</v>
      </c>
      <c r="AG24" s="167">
        <f t="shared" si="4"/>
        <v>0</v>
      </c>
      <c r="AH24" s="174">
        <f t="shared" si="4"/>
        <v>0</v>
      </c>
      <c r="AI24" s="24"/>
      <c r="AJ24" s="24"/>
      <c r="AK24" s="24"/>
      <c r="AL24" s="24"/>
      <c r="AM24" s="24"/>
      <c r="AN24" s="24"/>
      <c r="AO24" s="24"/>
      <c r="AP24" s="24"/>
      <c r="AQ24" s="24"/>
      <c r="AR24" s="24"/>
      <c r="AS24" s="24"/>
      <c r="AT24" s="24"/>
      <c r="AU24" s="24"/>
      <c r="AV24" s="24"/>
      <c r="AW24" s="24"/>
      <c r="AX24" s="24"/>
      <c r="AY24" s="24"/>
      <c r="AZ24" s="24"/>
      <c r="BA24" s="24"/>
      <c r="BB24" s="24"/>
    </row>
    <row r="25" ht="12.75" customHeight="1">
      <c r="A25" s="9"/>
      <c r="B25" s="86"/>
      <c r="C25" s="51" t="s">
        <v>49</v>
      </c>
      <c r="D25" s="87">
        <v>0.0</v>
      </c>
      <c r="E25" s="87">
        <v>0.0</v>
      </c>
      <c r="F25" s="87">
        <v>0.0</v>
      </c>
      <c r="G25" s="87">
        <v>0.0</v>
      </c>
      <c r="H25" s="87">
        <v>0.0</v>
      </c>
      <c r="I25" s="87">
        <v>0.0</v>
      </c>
      <c r="J25" s="87">
        <v>0.0</v>
      </c>
      <c r="K25" s="87">
        <v>0.0</v>
      </c>
      <c r="L25" s="87">
        <v>0.0</v>
      </c>
      <c r="M25" s="87">
        <v>0.0</v>
      </c>
      <c r="N25" s="87">
        <v>0.0</v>
      </c>
      <c r="O25" s="87">
        <v>0.0</v>
      </c>
      <c r="P25" s="87">
        <v>0.0</v>
      </c>
      <c r="Q25" s="87">
        <v>0.0</v>
      </c>
      <c r="R25" s="87">
        <v>0.0</v>
      </c>
      <c r="S25" s="87">
        <v>0.0</v>
      </c>
      <c r="T25" s="87">
        <v>0.0</v>
      </c>
      <c r="U25" s="87">
        <v>0.0</v>
      </c>
      <c r="V25" s="87">
        <v>0.0</v>
      </c>
      <c r="W25" s="87">
        <v>0.0</v>
      </c>
      <c r="X25" s="87">
        <v>0.0</v>
      </c>
      <c r="Y25" s="87">
        <v>0.0</v>
      </c>
      <c r="Z25" s="87">
        <v>0.0</v>
      </c>
      <c r="AA25" s="87">
        <v>0.0</v>
      </c>
      <c r="AB25" s="87">
        <v>0.0</v>
      </c>
      <c r="AC25" s="87">
        <v>0.0</v>
      </c>
      <c r="AD25" s="87">
        <v>0.0</v>
      </c>
      <c r="AE25" s="87">
        <v>0.0</v>
      </c>
      <c r="AF25" s="87">
        <v>0.0</v>
      </c>
      <c r="AG25" s="87">
        <v>0.0</v>
      </c>
      <c r="AH25" s="90">
        <v>0.0</v>
      </c>
      <c r="AI25" s="24"/>
      <c r="AJ25" s="24"/>
      <c r="AK25" s="24"/>
      <c r="AL25" s="24"/>
      <c r="AM25" s="24"/>
      <c r="AN25" s="24"/>
      <c r="AO25" s="24"/>
      <c r="AP25" s="24"/>
      <c r="AQ25" s="24"/>
      <c r="AR25" s="24"/>
      <c r="AS25" s="24"/>
      <c r="AT25" s="24"/>
      <c r="AU25" s="24"/>
      <c r="AV25" s="24"/>
      <c r="AW25" s="24"/>
      <c r="AX25" s="24"/>
      <c r="AY25" s="24"/>
      <c r="AZ25" s="24"/>
      <c r="BA25" s="24"/>
      <c r="BB25" s="24"/>
    </row>
    <row r="26" ht="12.75" customHeight="1">
      <c r="A26" s="9"/>
      <c r="B26" s="191"/>
      <c r="C26" s="58" t="s">
        <v>48</v>
      </c>
      <c r="D26" s="193">
        <f>AVERAGE('Muni &amp; Domestic Water Use Calcs'!C87:C88)</f>
        <v>2904.421039</v>
      </c>
      <c r="E26" s="193">
        <f>AVERAGE('Muni &amp; Domestic Water Use Calcs'!D87:D88)</f>
        <v>2857.43465</v>
      </c>
      <c r="F26" s="193">
        <f>AVERAGE('Muni &amp; Domestic Water Use Calcs'!E87:E88)</f>
        <v>2895.615494</v>
      </c>
      <c r="G26" s="193">
        <f>AVERAGE('Muni &amp; Domestic Water Use Calcs'!F87:F88)</f>
        <v>2900.828377</v>
      </c>
      <c r="H26" s="193">
        <f>AVERAGE('Muni &amp; Domestic Water Use Calcs'!G87:G88)</f>
        <v>2944.715214</v>
      </c>
      <c r="I26" s="193">
        <f>AVERAGE('Muni &amp; Domestic Water Use Calcs'!H87:H88)</f>
        <v>3041.022584</v>
      </c>
      <c r="J26" s="193">
        <f>AVERAGE('Muni &amp; Domestic Water Use Calcs'!I87:I88)</f>
        <v>3117.271464</v>
      </c>
      <c r="K26" s="193">
        <f>AVERAGE('Muni &amp; Domestic Water Use Calcs'!J87:J88)</f>
        <v>3251.403749</v>
      </c>
      <c r="L26" s="193">
        <f>AVERAGE('Muni &amp; Domestic Water Use Calcs'!K87:K88)</f>
        <v>3331.29714</v>
      </c>
      <c r="M26" s="193">
        <f>AVERAGE('Muni &amp; Domestic Water Use Calcs'!L87:L88)</f>
        <v>3460.284234</v>
      </c>
      <c r="N26" s="193">
        <f>AVERAGE('Muni &amp; Domestic Water Use Calcs'!M87:M88)</f>
        <v>3427.840942</v>
      </c>
      <c r="O26" s="193">
        <f>AVERAGE('Muni &amp; Domestic Water Use Calcs'!N87:N88)</f>
        <v>3451.708914</v>
      </c>
      <c r="P26" s="193">
        <f>AVERAGE('Muni &amp; Domestic Water Use Calcs'!O87:O88)</f>
        <v>3522.812603</v>
      </c>
      <c r="Q26" s="193">
        <f>AVERAGE('Muni &amp; Domestic Water Use Calcs'!P87:P88)</f>
        <v>3527.743412</v>
      </c>
      <c r="R26" s="193">
        <f>AVERAGE('Muni &amp; Domestic Water Use Calcs'!Q87:Q88)</f>
        <v>3521.240461</v>
      </c>
      <c r="S26" s="193">
        <f>AVERAGE('Muni &amp; Domestic Water Use Calcs'!R87:R88)</f>
        <v>3505.947809</v>
      </c>
      <c r="T26" s="193">
        <f>AVERAGE('Muni &amp; Domestic Water Use Calcs'!S87:S88)</f>
        <v>3475.934191</v>
      </c>
      <c r="U26" s="193">
        <f>AVERAGE('Muni &amp; Domestic Water Use Calcs'!T87:T88)</f>
        <v>3423.195978</v>
      </c>
      <c r="V26" s="193">
        <f>AVERAGE('Muni &amp; Domestic Water Use Calcs'!U87:U88)</f>
        <v>3392.39629</v>
      </c>
      <c r="W26" s="193">
        <f>AVERAGE('Muni &amp; Domestic Water Use Calcs'!V87:V88)</f>
        <v>0</v>
      </c>
      <c r="X26" s="193">
        <f>AVERAGE('Muni &amp; Domestic Water Use Calcs'!W87:W88)</f>
        <v>0</v>
      </c>
      <c r="Y26" s="193">
        <f>AVERAGE('Muni &amp; Domestic Water Use Calcs'!X87:X88)</f>
        <v>0</v>
      </c>
      <c r="Z26" s="193">
        <f>AVERAGE('Muni &amp; Domestic Water Use Calcs'!Y87:Y88)</f>
        <v>0</v>
      </c>
      <c r="AA26" s="193">
        <f>AVERAGE('Muni &amp; Domestic Water Use Calcs'!Z87:Z88)</f>
        <v>0</v>
      </c>
      <c r="AB26" s="193">
        <f>AVERAGE('Muni &amp; Domestic Water Use Calcs'!AA87:AA88)</f>
        <v>0</v>
      </c>
      <c r="AC26" s="193">
        <f>AVERAGE('Muni &amp; Domestic Water Use Calcs'!AB87:AB88)</f>
        <v>0</v>
      </c>
      <c r="AD26" s="193">
        <f>AVERAGE('Muni &amp; Domestic Water Use Calcs'!AC87:AC88)</f>
        <v>0</v>
      </c>
      <c r="AE26" s="193">
        <f>AVERAGE('Muni &amp; Domestic Water Use Calcs'!AD87:AD88)</f>
        <v>0</v>
      </c>
      <c r="AF26" s="193">
        <f>AVERAGE('Muni &amp; Domestic Water Use Calcs'!AE87:AE88)</f>
        <v>0</v>
      </c>
      <c r="AG26" s="193">
        <f>AVERAGE('Muni &amp; Domestic Water Use Calcs'!AF87:AF88)</f>
        <v>0</v>
      </c>
      <c r="AH26" s="200">
        <f>AVERAGE('Muni &amp; Domestic Water Use Calcs'!AG87:AG88)</f>
        <v>0</v>
      </c>
      <c r="AI26" s="24"/>
      <c r="AJ26" s="24"/>
      <c r="AK26" s="24"/>
      <c r="AL26" s="24"/>
      <c r="AM26" s="24"/>
      <c r="AN26" s="24"/>
      <c r="AO26" s="24"/>
      <c r="AP26" s="24"/>
      <c r="AQ26" s="24"/>
      <c r="AR26" s="24"/>
      <c r="AS26" s="24"/>
      <c r="AT26" s="24"/>
      <c r="AU26" s="24"/>
      <c r="AV26" s="24"/>
      <c r="AW26" s="24"/>
      <c r="AX26" s="24"/>
      <c r="AY26" s="24"/>
      <c r="AZ26" s="24"/>
      <c r="BA26" s="24"/>
      <c r="BB26" s="24"/>
    </row>
    <row r="27" ht="12.75" customHeight="1">
      <c r="A27" s="9"/>
      <c r="B27" s="201" t="s">
        <v>109</v>
      </c>
      <c r="C27" s="202" t="s">
        <v>47</v>
      </c>
      <c r="D27" s="203">
        <f t="shared" ref="D27:AH27" si="5">SUM(D28:D29)</f>
        <v>68050</v>
      </c>
      <c r="E27" s="203">
        <f t="shared" si="5"/>
        <v>68111.13486</v>
      </c>
      <c r="F27" s="203">
        <f t="shared" si="5"/>
        <v>65110.88861</v>
      </c>
      <c r="G27" s="203">
        <f t="shared" si="5"/>
        <v>64321.41232</v>
      </c>
      <c r="H27" s="203">
        <f t="shared" si="5"/>
        <v>66733.92341</v>
      </c>
      <c r="I27" s="203">
        <f t="shared" si="5"/>
        <v>58819</v>
      </c>
      <c r="J27" s="203">
        <f t="shared" si="5"/>
        <v>58826.73291</v>
      </c>
      <c r="K27" s="203">
        <f t="shared" si="5"/>
        <v>59310.52281</v>
      </c>
      <c r="L27" s="203">
        <f t="shared" si="5"/>
        <v>59833.44784</v>
      </c>
      <c r="M27" s="203">
        <f t="shared" si="5"/>
        <v>57062.57988</v>
      </c>
      <c r="N27" s="203">
        <f t="shared" si="5"/>
        <v>58385.50874</v>
      </c>
      <c r="O27" s="203">
        <f t="shared" si="5"/>
        <v>54849.9982</v>
      </c>
      <c r="P27" s="203">
        <f t="shared" si="5"/>
        <v>56059.181</v>
      </c>
      <c r="Q27" s="203">
        <f t="shared" si="5"/>
        <v>59560.93261</v>
      </c>
      <c r="R27" s="203">
        <f t="shared" si="5"/>
        <v>56223.04865</v>
      </c>
      <c r="S27" s="203">
        <f t="shared" si="5"/>
        <v>54734.77062</v>
      </c>
      <c r="T27" s="203">
        <f t="shared" si="5"/>
        <v>49021.63094</v>
      </c>
      <c r="U27" s="203">
        <f t="shared" si="5"/>
        <v>49656.1626</v>
      </c>
      <c r="V27" s="203">
        <f t="shared" si="5"/>
        <v>45122.91605</v>
      </c>
      <c r="W27" s="203">
        <f t="shared" si="5"/>
        <v>0</v>
      </c>
      <c r="X27" s="203">
        <f t="shared" si="5"/>
        <v>0</v>
      </c>
      <c r="Y27" s="203">
        <f t="shared" si="5"/>
        <v>0</v>
      </c>
      <c r="Z27" s="203">
        <f t="shared" si="5"/>
        <v>0</v>
      </c>
      <c r="AA27" s="203">
        <f t="shared" si="5"/>
        <v>0</v>
      </c>
      <c r="AB27" s="203">
        <f t="shared" si="5"/>
        <v>0</v>
      </c>
      <c r="AC27" s="203">
        <f t="shared" si="5"/>
        <v>0</v>
      </c>
      <c r="AD27" s="203">
        <f t="shared" si="5"/>
        <v>0</v>
      </c>
      <c r="AE27" s="203">
        <f t="shared" si="5"/>
        <v>0</v>
      </c>
      <c r="AF27" s="203">
        <f t="shared" si="5"/>
        <v>0</v>
      </c>
      <c r="AG27" s="203">
        <f t="shared" si="5"/>
        <v>0</v>
      </c>
      <c r="AH27" s="204">
        <f t="shared" si="5"/>
        <v>0</v>
      </c>
      <c r="AI27" s="24"/>
      <c r="AJ27" s="24"/>
      <c r="AK27" s="24"/>
      <c r="AL27" s="24"/>
      <c r="AM27" s="24"/>
      <c r="AN27" s="24"/>
      <c r="AO27" s="24"/>
      <c r="AP27" s="24"/>
      <c r="AQ27" s="24"/>
      <c r="AR27" s="24"/>
      <c r="AS27" s="24"/>
      <c r="AT27" s="24"/>
      <c r="AU27" s="24"/>
      <c r="AV27" s="24"/>
      <c r="AW27" s="24"/>
      <c r="AX27" s="24"/>
      <c r="AY27" s="24"/>
      <c r="AZ27" s="24"/>
      <c r="BA27" s="24"/>
      <c r="BB27" s="24"/>
    </row>
    <row r="28" ht="12.75" customHeight="1">
      <c r="A28" s="9"/>
      <c r="B28" s="86"/>
      <c r="C28" s="51" t="s">
        <v>49</v>
      </c>
      <c r="D28" s="87">
        <f>'Industrial Water Use Cals'!C38</f>
        <v>66475</v>
      </c>
      <c r="E28" s="87">
        <f>'Industrial Water Use Cals'!D38</f>
        <v>66475</v>
      </c>
      <c r="F28" s="87">
        <f>'Industrial Water Use Cals'!E38</f>
        <v>63371.78265</v>
      </c>
      <c r="G28" s="87">
        <f>'Industrial Water Use Cals'!F38</f>
        <v>62582.02318</v>
      </c>
      <c r="H28" s="87">
        <f>'Industrial Water Use Cals'!G38</f>
        <v>64950.60398</v>
      </c>
      <c r="I28" s="87">
        <f>'Industrial Water Use Cals'!H38</f>
        <v>56865</v>
      </c>
      <c r="J28" s="87">
        <f>'Industrial Water Use Cals'!I38</f>
        <v>56673.59473</v>
      </c>
      <c r="K28" s="87">
        <f>'Industrial Water Use Cals'!J38</f>
        <v>56870.98537</v>
      </c>
      <c r="L28" s="87">
        <f>'Industrial Water Use Cals'!K38</f>
        <v>57345.14809</v>
      </c>
      <c r="M28" s="87">
        <f>'Industrial Water Use Cals'!L38</f>
        <v>54558.15609</v>
      </c>
      <c r="N28" s="87">
        <f>'Industrial Water Use Cals'!M38</f>
        <v>55846.19623</v>
      </c>
      <c r="O28" s="87">
        <f>'Industrial Water Use Cals'!N38</f>
        <v>52429.2363</v>
      </c>
      <c r="P28" s="87">
        <f>'Industrial Water Use Cals'!O38</f>
        <v>53666.20316</v>
      </c>
      <c r="Q28" s="87">
        <f>'Industrial Water Use Cals'!P38</f>
        <v>57312.34701</v>
      </c>
      <c r="R28" s="87">
        <f>'Industrial Water Use Cals'!Q38</f>
        <v>53997.54042</v>
      </c>
      <c r="S28" s="87">
        <f>'Industrial Water Use Cals'!R38</f>
        <v>52421.19632</v>
      </c>
      <c r="T28" s="87">
        <f>'Industrial Water Use Cals'!S38</f>
        <v>46835.58866</v>
      </c>
      <c r="U28" s="87">
        <f>'Industrial Water Use Cals'!T38</f>
        <v>47465.66749</v>
      </c>
      <c r="V28" s="87">
        <f>'Industrial Water Use Cals'!U38</f>
        <v>42997.78506</v>
      </c>
      <c r="W28" s="87">
        <f>'Industrial Water Use Cals'!V38</f>
        <v>0</v>
      </c>
      <c r="X28" s="87">
        <f>'Industrial Water Use Cals'!W38</f>
        <v>0</v>
      </c>
      <c r="Y28" s="87">
        <f>'Industrial Water Use Cals'!X38</f>
        <v>0</v>
      </c>
      <c r="Z28" s="87">
        <f>'Industrial Water Use Cals'!Y38</f>
        <v>0</v>
      </c>
      <c r="AA28" s="87">
        <f>'Industrial Water Use Cals'!Z38</f>
        <v>0</v>
      </c>
      <c r="AB28" s="87">
        <f>'Industrial Water Use Cals'!AA38</f>
        <v>0</v>
      </c>
      <c r="AC28" s="87">
        <f>'Industrial Water Use Cals'!AB38</f>
        <v>0</v>
      </c>
      <c r="AD28" s="87">
        <f>'Industrial Water Use Cals'!AC38</f>
        <v>0</v>
      </c>
      <c r="AE28" s="87">
        <f>'Industrial Water Use Cals'!AD38</f>
        <v>0</v>
      </c>
      <c r="AF28" s="87">
        <f>'Industrial Water Use Cals'!AE38</f>
        <v>0</v>
      </c>
      <c r="AG28" s="87">
        <f>'Industrial Water Use Cals'!AF38</f>
        <v>0</v>
      </c>
      <c r="AH28" s="90">
        <f>'Industrial Water Use Cals'!AG38</f>
        <v>0</v>
      </c>
      <c r="AI28" s="24"/>
      <c r="AJ28" s="24"/>
      <c r="AK28" s="24"/>
      <c r="AL28" s="24"/>
      <c r="AM28" s="24"/>
      <c r="AN28" s="24"/>
      <c r="AO28" s="24"/>
      <c r="AP28" s="24"/>
      <c r="AQ28" s="24"/>
      <c r="AR28" s="24"/>
      <c r="AS28" s="24"/>
      <c r="AT28" s="24"/>
      <c r="AU28" s="24"/>
      <c r="AV28" s="24"/>
      <c r="AW28" s="24"/>
      <c r="AX28" s="24"/>
      <c r="AY28" s="24"/>
      <c r="AZ28" s="24"/>
      <c r="BA28" s="24"/>
      <c r="BB28" s="24"/>
    </row>
    <row r="29" ht="12.75" customHeight="1">
      <c r="A29" s="18"/>
      <c r="B29" s="214"/>
      <c r="C29" s="215" t="s">
        <v>48</v>
      </c>
      <c r="D29" s="216">
        <f>'Industrial Water Use Cals'!C37</f>
        <v>1575</v>
      </c>
      <c r="E29" s="216">
        <f>'Industrial Water Use Cals'!D37</f>
        <v>1636.134864</v>
      </c>
      <c r="F29" s="216">
        <f>'Industrial Water Use Cals'!E37</f>
        <v>1739.105961</v>
      </c>
      <c r="G29" s="216">
        <f>'Industrial Water Use Cals'!F37</f>
        <v>1739.389136</v>
      </c>
      <c r="H29" s="216">
        <f>'Industrial Water Use Cals'!G37</f>
        <v>1783.319431</v>
      </c>
      <c r="I29" s="216">
        <f>'Industrial Water Use Cals'!H37</f>
        <v>1954</v>
      </c>
      <c r="J29" s="216">
        <f>'Industrial Water Use Cals'!I37</f>
        <v>2153.138181</v>
      </c>
      <c r="K29" s="216">
        <f>'Industrial Water Use Cals'!J37</f>
        <v>2439.537439</v>
      </c>
      <c r="L29" s="216">
        <f>'Industrial Water Use Cals'!K37</f>
        <v>2488.299755</v>
      </c>
      <c r="M29" s="216">
        <f>'Industrial Water Use Cals'!L37</f>
        <v>2504.423788</v>
      </c>
      <c r="N29" s="216">
        <f>'Industrial Water Use Cals'!M37</f>
        <v>2539.312503</v>
      </c>
      <c r="O29" s="216">
        <f>'Industrial Water Use Cals'!N37</f>
        <v>2420.761892</v>
      </c>
      <c r="P29" s="216">
        <f>'Industrial Water Use Cals'!O37</f>
        <v>2392.977842</v>
      </c>
      <c r="Q29" s="216">
        <f>'Industrial Water Use Cals'!P37</f>
        <v>2248.585599</v>
      </c>
      <c r="R29" s="216">
        <f>'Industrial Water Use Cals'!Q37</f>
        <v>2225.508231</v>
      </c>
      <c r="S29" s="216">
        <f>'Industrial Water Use Cals'!R37</f>
        <v>2313.574305</v>
      </c>
      <c r="T29" s="216">
        <f>'Industrial Water Use Cals'!S37</f>
        <v>2186.042276</v>
      </c>
      <c r="U29" s="216">
        <f>'Industrial Water Use Cals'!T37</f>
        <v>2190.495113</v>
      </c>
      <c r="V29" s="216">
        <f>'Industrial Water Use Cals'!U37</f>
        <v>2125.130994</v>
      </c>
      <c r="W29" s="216">
        <f>'Industrial Water Use Cals'!V37</f>
        <v>0</v>
      </c>
      <c r="X29" s="216">
        <f>'Industrial Water Use Cals'!W37</f>
        <v>0</v>
      </c>
      <c r="Y29" s="216">
        <f>'Industrial Water Use Cals'!X37</f>
        <v>0</v>
      </c>
      <c r="Z29" s="216">
        <f>'Industrial Water Use Cals'!Y37</f>
        <v>0</v>
      </c>
      <c r="AA29" s="216">
        <f>'Industrial Water Use Cals'!Z37</f>
        <v>0</v>
      </c>
      <c r="AB29" s="216">
        <f>'Industrial Water Use Cals'!AA37</f>
        <v>0</v>
      </c>
      <c r="AC29" s="216">
        <f>'Industrial Water Use Cals'!AB37</f>
        <v>0</v>
      </c>
      <c r="AD29" s="216">
        <f>'Industrial Water Use Cals'!AC37</f>
        <v>0</v>
      </c>
      <c r="AE29" s="216">
        <f>'Industrial Water Use Cals'!AD37</f>
        <v>0</v>
      </c>
      <c r="AF29" s="216">
        <f>'Industrial Water Use Cals'!AE37</f>
        <v>0</v>
      </c>
      <c r="AG29" s="216">
        <f>'Industrial Water Use Cals'!AF37</f>
        <v>0</v>
      </c>
      <c r="AH29" s="217">
        <f>'Industrial Water Use Cals'!AG37</f>
        <v>0</v>
      </c>
      <c r="AI29" s="24"/>
      <c r="AJ29" s="24"/>
      <c r="AK29" s="24"/>
      <c r="AL29" s="24"/>
      <c r="AM29" s="24"/>
      <c r="AN29" s="24"/>
      <c r="AO29" s="24"/>
      <c r="AP29" s="24"/>
      <c r="AQ29" s="24"/>
      <c r="AR29" s="24"/>
      <c r="AS29" s="24"/>
      <c r="AT29" s="24"/>
      <c r="AU29" s="24"/>
      <c r="AV29" s="24"/>
      <c r="AW29" s="24"/>
      <c r="AX29" s="24"/>
      <c r="AY29" s="24"/>
      <c r="AZ29" s="24"/>
      <c r="BA29" s="24"/>
      <c r="BB29" s="24"/>
    </row>
    <row r="30" ht="14.25" customHeight="1">
      <c r="A30" s="66" t="s">
        <v>12</v>
      </c>
      <c r="B30" s="68" t="s">
        <v>46</v>
      </c>
      <c r="C30" s="70" t="s">
        <v>47</v>
      </c>
      <c r="D30" s="73">
        <f t="shared" ref="D30:AH30" si="6">SUM(D31:D32)</f>
        <v>40725.8424</v>
      </c>
      <c r="E30" s="73">
        <f t="shared" si="6"/>
        <v>63464.8959</v>
      </c>
      <c r="F30" s="73">
        <f t="shared" si="6"/>
        <v>46953.9549</v>
      </c>
      <c r="G30" s="73">
        <f t="shared" si="6"/>
        <v>54803.9538</v>
      </c>
      <c r="H30" s="73">
        <f t="shared" si="6"/>
        <v>38598.8346</v>
      </c>
      <c r="I30" s="73">
        <f t="shared" si="6"/>
        <v>61068.1464</v>
      </c>
      <c r="J30" s="73">
        <f t="shared" si="6"/>
        <v>39366.8253</v>
      </c>
      <c r="K30" s="73">
        <f t="shared" si="6"/>
        <v>50187.4191</v>
      </c>
      <c r="L30" s="73">
        <f t="shared" si="6"/>
        <v>73411.83585</v>
      </c>
      <c r="M30" s="73">
        <f t="shared" si="6"/>
        <v>69919.7976</v>
      </c>
      <c r="N30" s="73">
        <f t="shared" si="6"/>
        <v>93560.8536</v>
      </c>
      <c r="O30" s="73">
        <f t="shared" si="6"/>
        <v>82824.4467</v>
      </c>
      <c r="P30" s="73">
        <f t="shared" si="6"/>
        <v>36489.0078</v>
      </c>
      <c r="Q30" s="73">
        <f t="shared" si="6"/>
        <v>91454.463</v>
      </c>
      <c r="R30" s="73">
        <f t="shared" si="6"/>
        <v>104377.1522</v>
      </c>
      <c r="S30" s="73">
        <f t="shared" si="6"/>
        <v>105183.8001</v>
      </c>
      <c r="T30" s="73">
        <f t="shared" si="6"/>
        <v>66102.1794</v>
      </c>
      <c r="U30" s="73">
        <f t="shared" si="6"/>
        <v>67572.873</v>
      </c>
      <c r="V30" s="73">
        <f t="shared" si="6"/>
        <v>161675.7872</v>
      </c>
      <c r="W30" s="73" t="str">
        <f t="shared" si="6"/>
        <v>#DIV/0!</v>
      </c>
      <c r="X30" s="73" t="str">
        <f t="shared" si="6"/>
        <v>#DIV/0!</v>
      </c>
      <c r="Y30" s="73" t="str">
        <f t="shared" si="6"/>
        <v>#DIV/0!</v>
      </c>
      <c r="Z30" s="73" t="str">
        <f t="shared" si="6"/>
        <v>#DIV/0!</v>
      </c>
      <c r="AA30" s="73" t="str">
        <f t="shared" si="6"/>
        <v>#DIV/0!</v>
      </c>
      <c r="AB30" s="73" t="str">
        <f t="shared" si="6"/>
        <v>#DIV/0!</v>
      </c>
      <c r="AC30" s="73" t="str">
        <f t="shared" si="6"/>
        <v>#DIV/0!</v>
      </c>
      <c r="AD30" s="73" t="str">
        <f t="shared" si="6"/>
        <v>#DIV/0!</v>
      </c>
      <c r="AE30" s="73" t="str">
        <f t="shared" si="6"/>
        <v>#DIV/0!</v>
      </c>
      <c r="AF30" s="73" t="str">
        <f t="shared" si="6"/>
        <v>#DIV/0!</v>
      </c>
      <c r="AG30" s="73" t="str">
        <f t="shared" si="6"/>
        <v>#DIV/0!</v>
      </c>
      <c r="AH30" s="85" t="str">
        <f t="shared" si="6"/>
        <v>#DIV/0!</v>
      </c>
      <c r="AI30" s="24"/>
      <c r="AJ30" s="24"/>
      <c r="AK30" s="24"/>
      <c r="AL30" s="24"/>
      <c r="AM30" s="24"/>
      <c r="AN30" s="24"/>
      <c r="AO30" s="24"/>
      <c r="AP30" s="24"/>
      <c r="AQ30" s="24"/>
      <c r="AR30" s="24"/>
      <c r="AS30" s="24"/>
      <c r="AT30" s="24"/>
      <c r="AU30" s="24"/>
      <c r="AV30" s="24"/>
      <c r="AW30" s="24"/>
      <c r="AX30" s="24"/>
      <c r="AY30" s="24"/>
      <c r="AZ30" s="24"/>
      <c r="BA30" s="24"/>
      <c r="BB30" s="24"/>
    </row>
    <row r="31" ht="12.75" customHeight="1">
      <c r="A31" s="9"/>
      <c r="B31" s="86"/>
      <c r="C31" s="51" t="s">
        <v>49</v>
      </c>
      <c r="D31" s="87">
        <f>'Agricultural Water Use Calcs'!V170</f>
        <v>32984.116</v>
      </c>
      <c r="E31" s="87">
        <f>'Agricultural Water Use Calcs'!W170</f>
        <v>51400.6185</v>
      </c>
      <c r="F31" s="87">
        <f>'Agricultural Water Use Calcs'!X170</f>
        <v>38028.3035</v>
      </c>
      <c r="G31" s="87">
        <f>'Agricultural Water Use Calcs'!Y170</f>
        <v>44386.067</v>
      </c>
      <c r="H31" s="87">
        <f>'Agricultural Water Use Calcs'!Z170</f>
        <v>31261.439</v>
      </c>
      <c r="I31" s="87">
        <f>'Agricultural Water Use Calcs'!AA170</f>
        <v>49459.476</v>
      </c>
      <c r="J31" s="87">
        <f>'Agricultural Water Use Calcs'!AB170</f>
        <v>31883.4395</v>
      </c>
      <c r="K31" s="87">
        <f>'Agricultural Water Use Calcs'!AC170</f>
        <v>40647.1065</v>
      </c>
      <c r="L31" s="87">
        <f>'Agricultural Water Use Calcs'!AD170</f>
        <v>59456.70775</v>
      </c>
      <c r="M31" s="87">
        <f>'Agricultural Water Use Calcs'!AE170</f>
        <v>56628.484</v>
      </c>
      <c r="N31" s="87">
        <f>'Agricultural Water Use Calcs'!AF170</f>
        <v>75775.524</v>
      </c>
      <c r="O31" s="87">
        <f>'Agricultural Water Use Calcs'!AG170</f>
        <v>67080.0405</v>
      </c>
      <c r="P31" s="87">
        <f>'Agricultural Water Use Calcs'!AH170</f>
        <v>29552.677</v>
      </c>
      <c r="Q31" s="87">
        <f>'Agricultural Water Use Calcs'!AI170</f>
        <v>74069.545</v>
      </c>
      <c r="R31" s="87">
        <f>'Agricultural Water Use Calcs'!AJ170</f>
        <v>84535.71225</v>
      </c>
      <c r="S31" s="87">
        <f>'Agricultural Water Use Calcs'!AK170</f>
        <v>85189.0215</v>
      </c>
      <c r="T31" s="87">
        <f>'Agricultural Water Use Calcs'!AL170</f>
        <v>53536.571</v>
      </c>
      <c r="U31" s="87">
        <f>'Agricultural Water Use Calcs'!AM170</f>
        <v>54727.695</v>
      </c>
      <c r="V31" s="87">
        <f>'Agricultural Water Use Calcs'!AN170</f>
        <v>130942.2373</v>
      </c>
      <c r="W31" s="87" t="str">
        <f>'Agricultural Water Use Calcs'!AO170</f>
        <v>#DIV/0!</v>
      </c>
      <c r="X31" s="87" t="str">
        <f>'Agricultural Water Use Calcs'!AP170</f>
        <v>#DIV/0!</v>
      </c>
      <c r="Y31" s="87" t="str">
        <f>'Agricultural Water Use Calcs'!AQ170</f>
        <v>#DIV/0!</v>
      </c>
      <c r="Z31" s="87" t="str">
        <f>'Agricultural Water Use Calcs'!AR170</f>
        <v>#DIV/0!</v>
      </c>
      <c r="AA31" s="87" t="str">
        <f>'Agricultural Water Use Calcs'!AS170</f>
        <v>#DIV/0!</v>
      </c>
      <c r="AB31" s="87" t="str">
        <f>'Agricultural Water Use Calcs'!AT170</f>
        <v>#DIV/0!</v>
      </c>
      <c r="AC31" s="87" t="str">
        <f>'Agricultural Water Use Calcs'!AU170</f>
        <v>#DIV/0!</v>
      </c>
      <c r="AD31" s="87" t="str">
        <f>'Agricultural Water Use Calcs'!AV170</f>
        <v>#DIV/0!</v>
      </c>
      <c r="AE31" s="87" t="str">
        <f>'Agricultural Water Use Calcs'!AW170</f>
        <v>#DIV/0!</v>
      </c>
      <c r="AF31" s="87" t="str">
        <f>'Agricultural Water Use Calcs'!AX170</f>
        <v>#DIV/0!</v>
      </c>
      <c r="AG31" s="87" t="str">
        <f>'Agricultural Water Use Calcs'!AY170</f>
        <v>#DIV/0!</v>
      </c>
      <c r="AH31" s="90" t="str">
        <f>'Agricultural Water Use Calcs'!AZ170</f>
        <v>#DIV/0!</v>
      </c>
      <c r="AI31" s="24"/>
      <c r="AJ31" s="24"/>
      <c r="AK31" s="24"/>
      <c r="AL31" s="24"/>
      <c r="AM31" s="24"/>
      <c r="AN31" s="24"/>
      <c r="AO31" s="24"/>
      <c r="AP31" s="24"/>
      <c r="AQ31" s="24"/>
      <c r="AR31" s="24"/>
      <c r="AS31" s="24"/>
      <c r="AT31" s="24"/>
      <c r="AU31" s="24"/>
      <c r="AV31" s="24"/>
      <c r="AW31" s="24"/>
      <c r="AX31" s="24"/>
      <c r="AY31" s="24"/>
      <c r="AZ31" s="24"/>
      <c r="BA31" s="24"/>
      <c r="BB31" s="24"/>
    </row>
    <row r="32" ht="12.75" customHeight="1">
      <c r="A32" s="9"/>
      <c r="B32" s="92"/>
      <c r="C32" s="51" t="s">
        <v>48</v>
      </c>
      <c r="D32" s="87">
        <f>'Agricultural Water Use Calcs'!V171</f>
        <v>7741.7264</v>
      </c>
      <c r="E32" s="87">
        <f>'Agricultural Water Use Calcs'!W171</f>
        <v>12064.2774</v>
      </c>
      <c r="F32" s="87">
        <f>'Agricultural Water Use Calcs'!X171</f>
        <v>8925.6514</v>
      </c>
      <c r="G32" s="87">
        <f>'Agricultural Water Use Calcs'!Y171</f>
        <v>10417.8868</v>
      </c>
      <c r="H32" s="87">
        <f>'Agricultural Water Use Calcs'!Z171</f>
        <v>7337.3956</v>
      </c>
      <c r="I32" s="87">
        <f>'Agricultural Water Use Calcs'!AA171</f>
        <v>11608.6704</v>
      </c>
      <c r="J32" s="87">
        <f>'Agricultural Water Use Calcs'!AB171</f>
        <v>7483.3858</v>
      </c>
      <c r="K32" s="87">
        <f>'Agricultural Water Use Calcs'!AC171</f>
        <v>9540.3126</v>
      </c>
      <c r="L32" s="87">
        <f>'Agricultural Water Use Calcs'!AD171</f>
        <v>13955.1281</v>
      </c>
      <c r="M32" s="87">
        <f>'Agricultural Water Use Calcs'!AE171</f>
        <v>13291.3136</v>
      </c>
      <c r="N32" s="87">
        <f>'Agricultural Water Use Calcs'!AF171</f>
        <v>17785.3296</v>
      </c>
      <c r="O32" s="87">
        <f>'Agricultural Water Use Calcs'!AG171</f>
        <v>15744.4062</v>
      </c>
      <c r="P32" s="87">
        <f>'Agricultural Water Use Calcs'!AH171</f>
        <v>6936.3308</v>
      </c>
      <c r="Q32" s="87">
        <f>'Agricultural Water Use Calcs'!AI171</f>
        <v>17384.918</v>
      </c>
      <c r="R32" s="87">
        <f>'Agricultural Water Use Calcs'!AJ171</f>
        <v>19841.4399</v>
      </c>
      <c r="S32" s="87">
        <f>'Agricultural Water Use Calcs'!AK171</f>
        <v>19994.7786</v>
      </c>
      <c r="T32" s="87">
        <f>'Agricultural Water Use Calcs'!AL171</f>
        <v>12565.6084</v>
      </c>
      <c r="U32" s="87">
        <f>'Agricultural Water Use Calcs'!AM171</f>
        <v>12845.178</v>
      </c>
      <c r="V32" s="87">
        <f>'Agricultural Water Use Calcs'!AN171</f>
        <v>30733.5499</v>
      </c>
      <c r="W32" s="87" t="str">
        <f>'Agricultural Water Use Calcs'!AO171</f>
        <v>#DIV/0!</v>
      </c>
      <c r="X32" s="87" t="str">
        <f>'Agricultural Water Use Calcs'!AP171</f>
        <v>#DIV/0!</v>
      </c>
      <c r="Y32" s="87" t="str">
        <f>'Agricultural Water Use Calcs'!AQ171</f>
        <v>#DIV/0!</v>
      </c>
      <c r="Z32" s="87" t="str">
        <f>'Agricultural Water Use Calcs'!AR171</f>
        <v>#DIV/0!</v>
      </c>
      <c r="AA32" s="87" t="str">
        <f>'Agricultural Water Use Calcs'!AS171</f>
        <v>#DIV/0!</v>
      </c>
      <c r="AB32" s="87" t="str">
        <f>'Agricultural Water Use Calcs'!AT171</f>
        <v>#DIV/0!</v>
      </c>
      <c r="AC32" s="87" t="str">
        <f>'Agricultural Water Use Calcs'!AU171</f>
        <v>#DIV/0!</v>
      </c>
      <c r="AD32" s="87" t="str">
        <f>'Agricultural Water Use Calcs'!AV171</f>
        <v>#DIV/0!</v>
      </c>
      <c r="AE32" s="87" t="str">
        <f>'Agricultural Water Use Calcs'!AW171</f>
        <v>#DIV/0!</v>
      </c>
      <c r="AF32" s="87" t="str">
        <f>'Agricultural Water Use Calcs'!AX171</f>
        <v>#DIV/0!</v>
      </c>
      <c r="AG32" s="87" t="str">
        <f>'Agricultural Water Use Calcs'!AY171</f>
        <v>#DIV/0!</v>
      </c>
      <c r="AH32" s="90" t="str">
        <f>'Agricultural Water Use Calcs'!AZ171</f>
        <v>#DIV/0!</v>
      </c>
      <c r="AI32" s="24"/>
      <c r="AJ32" s="24"/>
      <c r="AK32" s="24"/>
      <c r="AL32" s="24"/>
      <c r="AM32" s="24"/>
      <c r="AN32" s="24"/>
      <c r="AO32" s="24"/>
      <c r="AP32" s="24"/>
      <c r="AQ32" s="24"/>
      <c r="AR32" s="24"/>
      <c r="AS32" s="24"/>
      <c r="AT32" s="24"/>
      <c r="AU32" s="24"/>
      <c r="AV32" s="24"/>
      <c r="AW32" s="24"/>
      <c r="AX32" s="24"/>
      <c r="AY32" s="24"/>
      <c r="AZ32" s="24"/>
      <c r="BA32" s="24"/>
      <c r="BB32" s="24"/>
    </row>
    <row r="33" ht="12.75" customHeight="1">
      <c r="A33" s="9"/>
      <c r="B33" s="111" t="s">
        <v>60</v>
      </c>
      <c r="C33" s="112" t="s">
        <v>47</v>
      </c>
      <c r="D33" s="114">
        <f t="shared" ref="D33:AH33" si="7">SUM(D34:D35)</f>
        <v>2213.1</v>
      </c>
      <c r="E33" s="114">
        <f t="shared" si="7"/>
        <v>2239.43734</v>
      </c>
      <c r="F33" s="114">
        <f t="shared" si="7"/>
        <v>2320.052504</v>
      </c>
      <c r="G33" s="114">
        <f t="shared" si="7"/>
        <v>2346.542525</v>
      </c>
      <c r="H33" s="114">
        <f t="shared" si="7"/>
        <v>2372.803525</v>
      </c>
      <c r="I33" s="114">
        <f t="shared" si="7"/>
        <v>2424.333105</v>
      </c>
      <c r="J33" s="114">
        <f t="shared" si="7"/>
        <v>2515.177844</v>
      </c>
      <c r="K33" s="114">
        <f t="shared" si="7"/>
        <v>2653.887837</v>
      </c>
      <c r="L33" s="114">
        <f t="shared" si="7"/>
        <v>2728.090431</v>
      </c>
      <c r="M33" s="114">
        <f t="shared" si="7"/>
        <v>2878.022422</v>
      </c>
      <c r="N33" s="114">
        <f t="shared" si="7"/>
        <v>2972.531487</v>
      </c>
      <c r="O33" s="114">
        <f t="shared" si="7"/>
        <v>3004.212635</v>
      </c>
      <c r="P33" s="114">
        <f t="shared" si="7"/>
        <v>3078.186209</v>
      </c>
      <c r="Q33" s="114">
        <f t="shared" si="7"/>
        <v>3103.454788</v>
      </c>
      <c r="R33" s="114">
        <f t="shared" si="7"/>
        <v>3118.722811</v>
      </c>
      <c r="S33" s="114">
        <f t="shared" si="7"/>
        <v>3186.512835</v>
      </c>
      <c r="T33" s="114">
        <f t="shared" si="7"/>
        <v>3164.908582</v>
      </c>
      <c r="U33" s="114">
        <f t="shared" si="7"/>
        <v>3013.98417</v>
      </c>
      <c r="V33" s="114">
        <f t="shared" si="7"/>
        <v>3151.320041</v>
      </c>
      <c r="W33" s="114">
        <f t="shared" si="7"/>
        <v>0</v>
      </c>
      <c r="X33" s="114">
        <f t="shared" si="7"/>
        <v>0</v>
      </c>
      <c r="Y33" s="114">
        <f t="shared" si="7"/>
        <v>0</v>
      </c>
      <c r="Z33" s="114">
        <f t="shared" si="7"/>
        <v>0</v>
      </c>
      <c r="AA33" s="114">
        <f t="shared" si="7"/>
        <v>0</v>
      </c>
      <c r="AB33" s="114">
        <f t="shared" si="7"/>
        <v>0</v>
      </c>
      <c r="AC33" s="114">
        <f t="shared" si="7"/>
        <v>0</v>
      </c>
      <c r="AD33" s="114">
        <f t="shared" si="7"/>
        <v>0</v>
      </c>
      <c r="AE33" s="114">
        <f t="shared" si="7"/>
        <v>0</v>
      </c>
      <c r="AF33" s="114">
        <f t="shared" si="7"/>
        <v>0</v>
      </c>
      <c r="AG33" s="114">
        <f t="shared" si="7"/>
        <v>0</v>
      </c>
      <c r="AH33" s="128" t="str">
        <f t="shared" si="7"/>
        <v>#DIV/0!</v>
      </c>
      <c r="AI33" s="24"/>
      <c r="AJ33" s="24"/>
      <c r="AK33" s="24"/>
      <c r="AL33" s="24"/>
      <c r="AM33" s="24"/>
      <c r="AN33" s="24"/>
      <c r="AO33" s="24"/>
      <c r="AP33" s="24"/>
      <c r="AQ33" s="24"/>
      <c r="AR33" s="24"/>
      <c r="AS33" s="24"/>
      <c r="AT33" s="24"/>
      <c r="AU33" s="24"/>
      <c r="AV33" s="24"/>
      <c r="AW33" s="24"/>
      <c r="AX33" s="24"/>
      <c r="AY33" s="24"/>
      <c r="AZ33" s="24"/>
      <c r="BA33" s="24"/>
      <c r="BB33" s="24"/>
    </row>
    <row r="34" ht="12.75" customHeight="1">
      <c r="A34" s="9"/>
      <c r="B34" s="86"/>
      <c r="C34" s="51" t="s">
        <v>49</v>
      </c>
      <c r="D34" s="87">
        <f>'Muni &amp; Domestic Water Use Calcs'!C119</f>
        <v>0</v>
      </c>
      <c r="E34" s="87">
        <f>'Muni &amp; Domestic Water Use Calcs'!D119</f>
        <v>0</v>
      </c>
      <c r="F34" s="87">
        <f>'Muni &amp; Domestic Water Use Calcs'!E119</f>
        <v>0</v>
      </c>
      <c r="G34" s="87">
        <f>'Muni &amp; Domestic Water Use Calcs'!F119</f>
        <v>0</v>
      </c>
      <c r="H34" s="87">
        <f>'Muni &amp; Domestic Water Use Calcs'!G119</f>
        <v>0</v>
      </c>
      <c r="I34" s="87">
        <f>'Muni &amp; Domestic Water Use Calcs'!H119</f>
        <v>0</v>
      </c>
      <c r="J34" s="87">
        <f>'Muni &amp; Domestic Water Use Calcs'!I119</f>
        <v>0</v>
      </c>
      <c r="K34" s="87">
        <f>'Muni &amp; Domestic Water Use Calcs'!J119</f>
        <v>0</v>
      </c>
      <c r="L34" s="87">
        <f>'Muni &amp; Domestic Water Use Calcs'!K119</f>
        <v>0</v>
      </c>
      <c r="M34" s="87">
        <f>'Muni &amp; Domestic Water Use Calcs'!L119</f>
        <v>0</v>
      </c>
      <c r="N34" s="87">
        <f>'Muni &amp; Domestic Water Use Calcs'!M119</f>
        <v>0</v>
      </c>
      <c r="O34" s="87">
        <f>'Muni &amp; Domestic Water Use Calcs'!N119</f>
        <v>0</v>
      </c>
      <c r="P34" s="87">
        <f>'Muni &amp; Domestic Water Use Calcs'!O119</f>
        <v>0</v>
      </c>
      <c r="Q34" s="87">
        <f>'Muni &amp; Domestic Water Use Calcs'!P119</f>
        <v>0</v>
      </c>
      <c r="R34" s="87">
        <f>'Muni &amp; Domestic Water Use Calcs'!Q119</f>
        <v>0</v>
      </c>
      <c r="S34" s="87">
        <f>'Muni &amp; Domestic Water Use Calcs'!R119</f>
        <v>0</v>
      </c>
      <c r="T34" s="87">
        <f>'Muni &amp; Domestic Water Use Calcs'!S119</f>
        <v>0</v>
      </c>
      <c r="U34" s="87">
        <f>'Muni &amp; Domestic Water Use Calcs'!T119</f>
        <v>0</v>
      </c>
      <c r="V34" s="87">
        <f>'Muni &amp; Domestic Water Use Calcs'!U119</f>
        <v>0</v>
      </c>
      <c r="W34" s="87">
        <f>'Muni &amp; Domestic Water Use Calcs'!V119</f>
        <v>0</v>
      </c>
      <c r="X34" s="87">
        <f>'Muni &amp; Domestic Water Use Calcs'!W119</f>
        <v>0</v>
      </c>
      <c r="Y34" s="87">
        <f>'Muni &amp; Domestic Water Use Calcs'!X119</f>
        <v>0</v>
      </c>
      <c r="Z34" s="87">
        <f>'Muni &amp; Domestic Water Use Calcs'!Y119</f>
        <v>0</v>
      </c>
      <c r="AA34" s="87">
        <f>'Muni &amp; Domestic Water Use Calcs'!Z119</f>
        <v>0</v>
      </c>
      <c r="AB34" s="87">
        <f>'Muni &amp; Domestic Water Use Calcs'!AA119</f>
        <v>0</v>
      </c>
      <c r="AC34" s="87">
        <f>'Muni &amp; Domestic Water Use Calcs'!AB119</f>
        <v>0</v>
      </c>
      <c r="AD34" s="87">
        <f>'Muni &amp; Domestic Water Use Calcs'!AC119</f>
        <v>0</v>
      </c>
      <c r="AE34" s="87">
        <f>'Muni &amp; Domestic Water Use Calcs'!AD119</f>
        <v>0</v>
      </c>
      <c r="AF34" s="87">
        <f>'Muni &amp; Domestic Water Use Calcs'!AE119</f>
        <v>0</v>
      </c>
      <c r="AG34" s="87">
        <f>'Muni &amp; Domestic Water Use Calcs'!AF119</f>
        <v>0</v>
      </c>
      <c r="AH34" s="90" t="str">
        <f>'Muni &amp; Domestic Water Use Calcs'!AG119</f>
        <v>#DIV/0!</v>
      </c>
      <c r="AI34" s="24"/>
      <c r="AJ34" s="24"/>
      <c r="AK34" s="24"/>
      <c r="AL34" s="24"/>
      <c r="AM34" s="24"/>
      <c r="AN34" s="24"/>
      <c r="AO34" s="24"/>
      <c r="AP34" s="24"/>
      <c r="AQ34" s="24"/>
      <c r="AR34" s="24"/>
      <c r="AS34" s="24"/>
      <c r="AT34" s="24"/>
      <c r="AU34" s="24"/>
      <c r="AV34" s="24"/>
      <c r="AW34" s="24"/>
      <c r="AX34" s="24"/>
      <c r="AY34" s="24"/>
      <c r="AZ34" s="24"/>
      <c r="BA34" s="24"/>
      <c r="BB34" s="24"/>
    </row>
    <row r="35" ht="12.75" customHeight="1">
      <c r="A35" s="9"/>
      <c r="B35" s="92"/>
      <c r="C35" s="51" t="s">
        <v>48</v>
      </c>
      <c r="D35" s="87">
        <f>'Muni &amp; Domestic Water Use Calcs'!C118</f>
        <v>2213.1</v>
      </c>
      <c r="E35" s="87">
        <f>'Muni &amp; Domestic Water Use Calcs'!D118</f>
        <v>2239.43734</v>
      </c>
      <c r="F35" s="87">
        <f>'Muni &amp; Domestic Water Use Calcs'!E118</f>
        <v>2320.052504</v>
      </c>
      <c r="G35" s="87">
        <f>'Muni &amp; Domestic Water Use Calcs'!F118</f>
        <v>2346.542525</v>
      </c>
      <c r="H35" s="87">
        <f>'Muni &amp; Domestic Water Use Calcs'!G118</f>
        <v>2372.803525</v>
      </c>
      <c r="I35" s="87">
        <f>'Muni &amp; Domestic Water Use Calcs'!H118</f>
        <v>2424.333105</v>
      </c>
      <c r="J35" s="87">
        <f>'Muni &amp; Domestic Water Use Calcs'!I118</f>
        <v>2515.177844</v>
      </c>
      <c r="K35" s="87">
        <f>'Muni &amp; Domestic Water Use Calcs'!J118</f>
        <v>2653.887837</v>
      </c>
      <c r="L35" s="87">
        <f>'Muni &amp; Domestic Water Use Calcs'!K118</f>
        <v>2728.090431</v>
      </c>
      <c r="M35" s="87">
        <f>'Muni &amp; Domestic Water Use Calcs'!L118</f>
        <v>2878.022422</v>
      </c>
      <c r="N35" s="87">
        <f>'Muni &amp; Domestic Water Use Calcs'!M118</f>
        <v>2972.531487</v>
      </c>
      <c r="O35" s="87">
        <f>'Muni &amp; Domestic Water Use Calcs'!N118</f>
        <v>3004.212635</v>
      </c>
      <c r="P35" s="87">
        <f>'Muni &amp; Domestic Water Use Calcs'!O118</f>
        <v>3078.186209</v>
      </c>
      <c r="Q35" s="87">
        <f>'Muni &amp; Domestic Water Use Calcs'!P118</f>
        <v>3103.454788</v>
      </c>
      <c r="R35" s="87">
        <f>'Muni &amp; Domestic Water Use Calcs'!Q118</f>
        <v>3118.722811</v>
      </c>
      <c r="S35" s="87">
        <f>'Muni &amp; Domestic Water Use Calcs'!R118</f>
        <v>3186.512835</v>
      </c>
      <c r="T35" s="87">
        <f>'Muni &amp; Domestic Water Use Calcs'!S118</f>
        <v>3164.908582</v>
      </c>
      <c r="U35" s="87">
        <f>'Muni &amp; Domestic Water Use Calcs'!T118</f>
        <v>3013.98417</v>
      </c>
      <c r="V35" s="87">
        <f>'Muni &amp; Domestic Water Use Calcs'!U118</f>
        <v>3151.320041</v>
      </c>
      <c r="W35" s="87">
        <f>'Muni &amp; Domestic Water Use Calcs'!V118</f>
        <v>0</v>
      </c>
      <c r="X35" s="87">
        <f>'Muni &amp; Domestic Water Use Calcs'!W118</f>
        <v>0</v>
      </c>
      <c r="Y35" s="87">
        <f>'Muni &amp; Domestic Water Use Calcs'!X118</f>
        <v>0</v>
      </c>
      <c r="Z35" s="87">
        <f>'Muni &amp; Domestic Water Use Calcs'!Y118</f>
        <v>0</v>
      </c>
      <c r="AA35" s="87">
        <f>'Muni &amp; Domestic Water Use Calcs'!Z118</f>
        <v>0</v>
      </c>
      <c r="AB35" s="87">
        <f>'Muni &amp; Domestic Water Use Calcs'!AA118</f>
        <v>0</v>
      </c>
      <c r="AC35" s="87">
        <f>'Muni &amp; Domestic Water Use Calcs'!AB118</f>
        <v>0</v>
      </c>
      <c r="AD35" s="87">
        <f>'Muni &amp; Domestic Water Use Calcs'!AC118</f>
        <v>0</v>
      </c>
      <c r="AE35" s="87">
        <f>'Muni &amp; Domestic Water Use Calcs'!AD118</f>
        <v>0</v>
      </c>
      <c r="AF35" s="87">
        <f>'Muni &amp; Domestic Water Use Calcs'!AE118</f>
        <v>0</v>
      </c>
      <c r="AG35" s="87">
        <f>'Muni &amp; Domestic Water Use Calcs'!AF118</f>
        <v>0</v>
      </c>
      <c r="AH35" s="90">
        <f>'Muni &amp; Domestic Water Use Calcs'!AG118</f>
        <v>0</v>
      </c>
      <c r="AI35" s="24"/>
      <c r="AJ35" s="24"/>
      <c r="AK35" s="24"/>
      <c r="AL35" s="24"/>
      <c r="AM35" s="24"/>
      <c r="AN35" s="24"/>
      <c r="AO35" s="24"/>
      <c r="AP35" s="24"/>
      <c r="AQ35" s="24"/>
      <c r="AR35" s="24"/>
      <c r="AS35" s="24"/>
      <c r="AT35" s="24"/>
      <c r="AU35" s="24"/>
      <c r="AV35" s="24"/>
      <c r="AW35" s="24"/>
      <c r="AX35" s="24"/>
      <c r="AY35" s="24"/>
      <c r="AZ35" s="24"/>
      <c r="BA35" s="24"/>
      <c r="BB35" s="24"/>
    </row>
    <row r="36" ht="12.75" customHeight="1">
      <c r="A36" s="9"/>
      <c r="B36" s="161" t="s">
        <v>72</v>
      </c>
      <c r="C36" s="162" t="s">
        <v>47</v>
      </c>
      <c r="D36" s="167">
        <f t="shared" ref="D36:AH36" si="8">SUM(D37:D38)</f>
        <v>1866.299704</v>
      </c>
      <c r="E36" s="167">
        <f t="shared" si="8"/>
        <v>1911.756166</v>
      </c>
      <c r="F36" s="167">
        <f t="shared" si="8"/>
        <v>1999.638658</v>
      </c>
      <c r="G36" s="167">
        <f t="shared" si="8"/>
        <v>2027.001666</v>
      </c>
      <c r="H36" s="167">
        <f t="shared" si="8"/>
        <v>2050.175548</v>
      </c>
      <c r="I36" s="167">
        <f t="shared" si="8"/>
        <v>2109.7146</v>
      </c>
      <c r="J36" s="167">
        <f t="shared" si="8"/>
        <v>2204.014475</v>
      </c>
      <c r="K36" s="167">
        <f t="shared" si="8"/>
        <v>2328.796919</v>
      </c>
      <c r="L36" s="167">
        <f t="shared" si="8"/>
        <v>2400.368563</v>
      </c>
      <c r="M36" s="167">
        <f t="shared" si="8"/>
        <v>2561.783567</v>
      </c>
      <c r="N36" s="167">
        <f t="shared" si="8"/>
        <v>2669.185599</v>
      </c>
      <c r="O36" s="167">
        <f t="shared" si="8"/>
        <v>2708.84859</v>
      </c>
      <c r="P36" s="167">
        <f t="shared" si="8"/>
        <v>2796.731082</v>
      </c>
      <c r="Q36" s="167">
        <f t="shared" si="8"/>
        <v>2819.815834</v>
      </c>
      <c r="R36" s="167">
        <f t="shared" si="8"/>
        <v>2836.126682</v>
      </c>
      <c r="S36" s="167">
        <f t="shared" si="8"/>
        <v>2906.628763</v>
      </c>
      <c r="T36" s="167">
        <f t="shared" si="8"/>
        <v>2878.017931</v>
      </c>
      <c r="U36" s="167">
        <f t="shared" si="8"/>
        <v>2723.822483</v>
      </c>
      <c r="V36" s="167">
        <f t="shared" si="8"/>
        <v>2843.524498</v>
      </c>
      <c r="W36" s="167">
        <f t="shared" si="8"/>
        <v>0</v>
      </c>
      <c r="X36" s="167">
        <f t="shared" si="8"/>
        <v>0</v>
      </c>
      <c r="Y36" s="167">
        <f t="shared" si="8"/>
        <v>0</v>
      </c>
      <c r="Z36" s="167">
        <f t="shared" si="8"/>
        <v>0</v>
      </c>
      <c r="AA36" s="167">
        <f t="shared" si="8"/>
        <v>0</v>
      </c>
      <c r="AB36" s="167">
        <f t="shared" si="8"/>
        <v>0</v>
      </c>
      <c r="AC36" s="167">
        <f t="shared" si="8"/>
        <v>0</v>
      </c>
      <c r="AD36" s="167">
        <f t="shared" si="8"/>
        <v>0</v>
      </c>
      <c r="AE36" s="167">
        <f t="shared" si="8"/>
        <v>0</v>
      </c>
      <c r="AF36" s="167">
        <f t="shared" si="8"/>
        <v>0</v>
      </c>
      <c r="AG36" s="167">
        <f t="shared" si="8"/>
        <v>0</v>
      </c>
      <c r="AH36" s="174">
        <f t="shared" si="8"/>
        <v>0</v>
      </c>
      <c r="AI36" s="24"/>
      <c r="AJ36" s="24"/>
      <c r="AK36" s="24"/>
      <c r="AL36" s="24"/>
      <c r="AM36" s="24"/>
      <c r="AN36" s="24"/>
      <c r="AO36" s="24"/>
      <c r="AP36" s="24"/>
      <c r="AQ36" s="24"/>
      <c r="AR36" s="24"/>
      <c r="AS36" s="24"/>
      <c r="AT36" s="24"/>
      <c r="AU36" s="24"/>
      <c r="AV36" s="24"/>
      <c r="AW36" s="24"/>
      <c r="AX36" s="24"/>
      <c r="AY36" s="24"/>
      <c r="AZ36" s="24"/>
      <c r="BA36" s="24"/>
      <c r="BB36" s="24"/>
    </row>
    <row r="37" ht="12.75" customHeight="1">
      <c r="A37" s="9"/>
      <c r="B37" s="86"/>
      <c r="C37" s="51" t="s">
        <v>49</v>
      </c>
      <c r="D37" s="87">
        <v>0.0</v>
      </c>
      <c r="E37" s="87">
        <v>0.0</v>
      </c>
      <c r="F37" s="87">
        <v>0.0</v>
      </c>
      <c r="G37" s="87">
        <v>0.0</v>
      </c>
      <c r="H37" s="87">
        <v>0.0</v>
      </c>
      <c r="I37" s="87">
        <v>0.0</v>
      </c>
      <c r="J37" s="87">
        <v>0.0</v>
      </c>
      <c r="K37" s="87">
        <v>0.0</v>
      </c>
      <c r="L37" s="87">
        <v>0.0</v>
      </c>
      <c r="M37" s="87">
        <v>0.0</v>
      </c>
      <c r="N37" s="87">
        <v>0.0</v>
      </c>
      <c r="O37" s="87">
        <v>0.0</v>
      </c>
      <c r="P37" s="87">
        <v>0.0</v>
      </c>
      <c r="Q37" s="87">
        <v>0.0</v>
      </c>
      <c r="R37" s="87">
        <v>0.0</v>
      </c>
      <c r="S37" s="87">
        <v>0.0</v>
      </c>
      <c r="T37" s="87">
        <v>0.0</v>
      </c>
      <c r="U37" s="87">
        <v>0.0</v>
      </c>
      <c r="V37" s="87">
        <v>0.0</v>
      </c>
      <c r="W37" s="87">
        <v>0.0</v>
      </c>
      <c r="X37" s="87">
        <v>0.0</v>
      </c>
      <c r="Y37" s="87">
        <v>0.0</v>
      </c>
      <c r="Z37" s="87">
        <v>0.0</v>
      </c>
      <c r="AA37" s="87">
        <v>0.0</v>
      </c>
      <c r="AB37" s="87">
        <v>0.0</v>
      </c>
      <c r="AC37" s="87">
        <v>0.0</v>
      </c>
      <c r="AD37" s="87">
        <v>0.0</v>
      </c>
      <c r="AE37" s="87">
        <v>0.0</v>
      </c>
      <c r="AF37" s="87">
        <v>0.0</v>
      </c>
      <c r="AG37" s="87">
        <v>0.0</v>
      </c>
      <c r="AH37" s="90">
        <v>0.0</v>
      </c>
      <c r="AI37" s="24"/>
      <c r="AJ37" s="24"/>
      <c r="AK37" s="24"/>
      <c r="AL37" s="24"/>
      <c r="AM37" s="24"/>
      <c r="AN37" s="24"/>
      <c r="AO37" s="24"/>
      <c r="AP37" s="24"/>
      <c r="AQ37" s="24"/>
      <c r="AR37" s="24"/>
      <c r="AS37" s="24"/>
      <c r="AT37" s="24"/>
      <c r="AU37" s="24"/>
      <c r="AV37" s="24"/>
      <c r="AW37" s="24"/>
      <c r="AX37" s="24"/>
      <c r="AY37" s="24"/>
      <c r="AZ37" s="24"/>
      <c r="BA37" s="24"/>
      <c r="BB37" s="24"/>
    </row>
    <row r="38" ht="12.75" customHeight="1">
      <c r="A38" s="9"/>
      <c r="B38" s="191"/>
      <c r="C38" s="58" t="s">
        <v>48</v>
      </c>
      <c r="D38" s="193">
        <f>AVERAGE('Muni &amp; Domestic Water Use Calcs'!C125:C126)</f>
        <v>1866.299704</v>
      </c>
      <c r="E38" s="193">
        <f>AVERAGE('Muni &amp; Domestic Water Use Calcs'!D125:D126)</f>
        <v>1911.756166</v>
      </c>
      <c r="F38" s="193">
        <f>AVERAGE('Muni &amp; Domestic Water Use Calcs'!E125:E126)</f>
        <v>1999.638658</v>
      </c>
      <c r="G38" s="193">
        <f>AVERAGE('Muni &amp; Domestic Water Use Calcs'!F125:F126)</f>
        <v>2027.001666</v>
      </c>
      <c r="H38" s="193">
        <f>AVERAGE('Muni &amp; Domestic Water Use Calcs'!G125:G126)</f>
        <v>2050.175548</v>
      </c>
      <c r="I38" s="193">
        <f>AVERAGE('Muni &amp; Domestic Water Use Calcs'!H125:H126)</f>
        <v>2109.7146</v>
      </c>
      <c r="J38" s="193">
        <f>AVERAGE('Muni &amp; Domestic Water Use Calcs'!I125:I126)</f>
        <v>2204.014475</v>
      </c>
      <c r="K38" s="193">
        <f>AVERAGE('Muni &amp; Domestic Water Use Calcs'!J125:J126)</f>
        <v>2328.796919</v>
      </c>
      <c r="L38" s="193">
        <f>AVERAGE('Muni &amp; Domestic Water Use Calcs'!K125:K126)</f>
        <v>2400.368563</v>
      </c>
      <c r="M38" s="193">
        <f>AVERAGE('Muni &amp; Domestic Water Use Calcs'!L125:L126)</f>
        <v>2561.783567</v>
      </c>
      <c r="N38" s="193">
        <f>AVERAGE('Muni &amp; Domestic Water Use Calcs'!M125:M126)</f>
        <v>2669.185599</v>
      </c>
      <c r="O38" s="193">
        <f>AVERAGE('Muni &amp; Domestic Water Use Calcs'!N125:N126)</f>
        <v>2708.84859</v>
      </c>
      <c r="P38" s="193">
        <f>AVERAGE('Muni &amp; Domestic Water Use Calcs'!O125:O126)</f>
        <v>2796.731082</v>
      </c>
      <c r="Q38" s="193">
        <f>AVERAGE('Muni &amp; Domestic Water Use Calcs'!P125:P126)</f>
        <v>2819.815834</v>
      </c>
      <c r="R38" s="193">
        <f>AVERAGE('Muni &amp; Domestic Water Use Calcs'!Q125:Q126)</f>
        <v>2836.126682</v>
      </c>
      <c r="S38" s="193">
        <f>AVERAGE('Muni &amp; Domestic Water Use Calcs'!R125:R126)</f>
        <v>2906.628763</v>
      </c>
      <c r="T38" s="193">
        <f>AVERAGE('Muni &amp; Domestic Water Use Calcs'!S125:S126)</f>
        <v>2878.017931</v>
      </c>
      <c r="U38" s="193">
        <f>AVERAGE('Muni &amp; Domestic Water Use Calcs'!T125:T126)</f>
        <v>2723.822483</v>
      </c>
      <c r="V38" s="193">
        <f>AVERAGE('Muni &amp; Domestic Water Use Calcs'!U125:U126)</f>
        <v>2843.524498</v>
      </c>
      <c r="W38" s="193">
        <f>AVERAGE('Muni &amp; Domestic Water Use Calcs'!V125:V126)</f>
        <v>0</v>
      </c>
      <c r="X38" s="193">
        <f>AVERAGE('Muni &amp; Domestic Water Use Calcs'!W125:W126)</f>
        <v>0</v>
      </c>
      <c r="Y38" s="193">
        <f>AVERAGE('Muni &amp; Domestic Water Use Calcs'!X125:X126)</f>
        <v>0</v>
      </c>
      <c r="Z38" s="193">
        <f>AVERAGE('Muni &amp; Domestic Water Use Calcs'!Y125:Y126)</f>
        <v>0</v>
      </c>
      <c r="AA38" s="193">
        <f>AVERAGE('Muni &amp; Domestic Water Use Calcs'!Z125:Z126)</f>
        <v>0</v>
      </c>
      <c r="AB38" s="193">
        <f>AVERAGE('Muni &amp; Domestic Water Use Calcs'!AA125:AA126)</f>
        <v>0</v>
      </c>
      <c r="AC38" s="193">
        <f>AVERAGE('Muni &amp; Domestic Water Use Calcs'!AB125:AB126)</f>
        <v>0</v>
      </c>
      <c r="AD38" s="193">
        <f>AVERAGE('Muni &amp; Domestic Water Use Calcs'!AC125:AC126)</f>
        <v>0</v>
      </c>
      <c r="AE38" s="193">
        <f>AVERAGE('Muni &amp; Domestic Water Use Calcs'!AD125:AD126)</f>
        <v>0</v>
      </c>
      <c r="AF38" s="193">
        <f>AVERAGE('Muni &amp; Domestic Water Use Calcs'!AE125:AE126)</f>
        <v>0</v>
      </c>
      <c r="AG38" s="193">
        <f>AVERAGE('Muni &amp; Domestic Water Use Calcs'!AF125:AF126)</f>
        <v>0</v>
      </c>
      <c r="AH38" s="200">
        <f>AVERAGE('Muni &amp; Domestic Water Use Calcs'!AG125:AG126)</f>
        <v>0</v>
      </c>
      <c r="AI38" s="24"/>
      <c r="AJ38" s="24"/>
      <c r="AK38" s="24"/>
      <c r="AL38" s="24"/>
      <c r="AM38" s="24"/>
      <c r="AN38" s="24"/>
      <c r="AO38" s="24"/>
      <c r="AP38" s="24"/>
      <c r="AQ38" s="24"/>
      <c r="AR38" s="24"/>
      <c r="AS38" s="24"/>
      <c r="AT38" s="24"/>
      <c r="AU38" s="24"/>
      <c r="AV38" s="24"/>
      <c r="AW38" s="24"/>
      <c r="AX38" s="24"/>
      <c r="AY38" s="24"/>
      <c r="AZ38" s="24"/>
      <c r="BA38" s="24"/>
      <c r="BB38" s="24"/>
    </row>
    <row r="39" ht="12.75" customHeight="1">
      <c r="A39" s="9"/>
      <c r="B39" s="201" t="s">
        <v>109</v>
      </c>
      <c r="C39" s="202" t="s">
        <v>47</v>
      </c>
      <c r="D39" s="203">
        <f t="shared" ref="D39:AH39" si="9">SUM(D40:D41)</f>
        <v>33578.82924</v>
      </c>
      <c r="E39" s="203">
        <f t="shared" si="9"/>
        <v>41405.63642</v>
      </c>
      <c r="F39" s="203">
        <f t="shared" si="9"/>
        <v>36726.39787</v>
      </c>
      <c r="G39" s="203">
        <f t="shared" si="9"/>
        <v>34663.88475</v>
      </c>
      <c r="H39" s="203">
        <f t="shared" si="9"/>
        <v>30352.60054</v>
      </c>
      <c r="I39" s="203">
        <f t="shared" si="9"/>
        <v>24222.40695</v>
      </c>
      <c r="J39" s="203">
        <f t="shared" si="9"/>
        <v>23966.46709</v>
      </c>
      <c r="K39" s="203">
        <f t="shared" si="9"/>
        <v>17573.45414</v>
      </c>
      <c r="L39" s="203">
        <f t="shared" si="9"/>
        <v>15125.18908</v>
      </c>
      <c r="M39" s="203">
        <f t="shared" si="9"/>
        <v>11035.12325</v>
      </c>
      <c r="N39" s="203">
        <f t="shared" si="9"/>
        <v>8805.983671</v>
      </c>
      <c r="O39" s="203">
        <f t="shared" si="9"/>
        <v>6596.276748</v>
      </c>
      <c r="P39" s="203">
        <f t="shared" si="9"/>
        <v>5287.746153</v>
      </c>
      <c r="Q39" s="203">
        <f t="shared" si="9"/>
        <v>4465.455143</v>
      </c>
      <c r="R39" s="203">
        <f t="shared" si="9"/>
        <v>4111.289147</v>
      </c>
      <c r="S39" s="203">
        <f t="shared" si="9"/>
        <v>3886.542397</v>
      </c>
      <c r="T39" s="203">
        <f t="shared" si="9"/>
        <v>2904.866157</v>
      </c>
      <c r="U39" s="203">
        <f t="shared" si="9"/>
        <v>3048.494355</v>
      </c>
      <c r="V39" s="203">
        <f t="shared" si="9"/>
        <v>2722.732152</v>
      </c>
      <c r="W39" s="203">
        <f t="shared" si="9"/>
        <v>0</v>
      </c>
      <c r="X39" s="203">
        <f t="shared" si="9"/>
        <v>0</v>
      </c>
      <c r="Y39" s="203">
        <f t="shared" si="9"/>
        <v>0</v>
      </c>
      <c r="Z39" s="203">
        <f t="shared" si="9"/>
        <v>0</v>
      </c>
      <c r="AA39" s="203">
        <f t="shared" si="9"/>
        <v>0</v>
      </c>
      <c r="AB39" s="203">
        <f t="shared" si="9"/>
        <v>0</v>
      </c>
      <c r="AC39" s="203">
        <f t="shared" si="9"/>
        <v>0</v>
      </c>
      <c r="AD39" s="203">
        <f t="shared" si="9"/>
        <v>0</v>
      </c>
      <c r="AE39" s="203">
        <f t="shared" si="9"/>
        <v>0</v>
      </c>
      <c r="AF39" s="203">
        <f t="shared" si="9"/>
        <v>0</v>
      </c>
      <c r="AG39" s="203">
        <f t="shared" si="9"/>
        <v>0</v>
      </c>
      <c r="AH39" s="204">
        <f t="shared" si="9"/>
        <v>0</v>
      </c>
      <c r="AI39" s="24"/>
      <c r="AJ39" s="24"/>
      <c r="AK39" s="24"/>
      <c r="AL39" s="24"/>
      <c r="AM39" s="24"/>
      <c r="AN39" s="24"/>
      <c r="AO39" s="24"/>
      <c r="AP39" s="24"/>
      <c r="AQ39" s="24"/>
      <c r="AR39" s="24"/>
      <c r="AS39" s="24"/>
      <c r="AT39" s="24"/>
      <c r="AU39" s="24"/>
      <c r="AV39" s="24"/>
      <c r="AW39" s="24"/>
      <c r="AX39" s="24"/>
      <c r="AY39" s="24"/>
      <c r="AZ39" s="24"/>
      <c r="BA39" s="24"/>
      <c r="BB39" s="24"/>
    </row>
    <row r="40" ht="12.75" customHeight="1">
      <c r="A40" s="9"/>
      <c r="B40" s="86"/>
      <c r="C40" s="51" t="s">
        <v>49</v>
      </c>
      <c r="D40" s="87">
        <f>'Industrial Water Use Cals'!C74</f>
        <v>381.383973</v>
      </c>
      <c r="E40" s="87">
        <f>'Industrial Water Use Cals'!D74</f>
        <v>815.9023081</v>
      </c>
      <c r="F40" s="87">
        <f>'Industrial Water Use Cals'!E74</f>
        <v>826.8608468</v>
      </c>
      <c r="G40" s="87">
        <f>'Industrial Water Use Cals'!F74</f>
        <v>820.7048918</v>
      </c>
      <c r="H40" s="87">
        <f>'Industrial Water Use Cals'!G74</f>
        <v>817.046785</v>
      </c>
      <c r="I40" s="87">
        <f>'Industrial Water Use Cals'!H74</f>
        <v>815.6008043</v>
      </c>
      <c r="J40" s="87">
        <f>'Industrial Water Use Cals'!I74</f>
        <v>791.4338731</v>
      </c>
      <c r="K40" s="87">
        <f>'Industrial Water Use Cals'!J74</f>
        <v>876.536228</v>
      </c>
      <c r="L40" s="87">
        <f>'Industrial Water Use Cals'!K74</f>
        <v>870.8277179</v>
      </c>
      <c r="M40" s="87">
        <f>'Industrial Water Use Cals'!L74</f>
        <v>844.966787</v>
      </c>
      <c r="N40" s="87">
        <f>'Industrial Water Use Cals'!M74</f>
        <v>831.6532662</v>
      </c>
      <c r="O40" s="87">
        <f>'Industrial Water Use Cals'!N74</f>
        <v>730.7022819</v>
      </c>
      <c r="P40" s="87">
        <f>'Industrial Water Use Cals'!O74</f>
        <v>818.3006201</v>
      </c>
      <c r="Q40" s="87">
        <f>'Industrial Water Use Cals'!P74</f>
        <v>797.353284</v>
      </c>
      <c r="R40" s="87">
        <f>'Industrial Water Use Cals'!Q74</f>
        <v>822.537878</v>
      </c>
      <c r="S40" s="87">
        <f>'Industrial Water Use Cals'!R74</f>
        <v>803.1270043</v>
      </c>
      <c r="T40" s="87">
        <f>'Industrial Water Use Cals'!S74</f>
        <v>691.9014571</v>
      </c>
      <c r="U40" s="87">
        <f>'Industrial Water Use Cals'!T74</f>
        <v>757.8197903</v>
      </c>
      <c r="V40" s="87">
        <f>'Industrial Water Use Cals'!U74</f>
        <v>650.1527096</v>
      </c>
      <c r="W40" s="87">
        <f>'Industrial Water Use Cals'!V74</f>
        <v>0</v>
      </c>
      <c r="X40" s="87">
        <f>'Industrial Water Use Cals'!W74</f>
        <v>0</v>
      </c>
      <c r="Y40" s="87">
        <f>'Industrial Water Use Cals'!X74</f>
        <v>0</v>
      </c>
      <c r="Z40" s="87">
        <f>'Industrial Water Use Cals'!Y74</f>
        <v>0</v>
      </c>
      <c r="AA40" s="87">
        <f>'Industrial Water Use Cals'!Z74</f>
        <v>0</v>
      </c>
      <c r="AB40" s="87">
        <f>'Industrial Water Use Cals'!AA74</f>
        <v>0</v>
      </c>
      <c r="AC40" s="87">
        <f>'Industrial Water Use Cals'!AB74</f>
        <v>0</v>
      </c>
      <c r="AD40" s="87">
        <f>'Industrial Water Use Cals'!AC74</f>
        <v>0</v>
      </c>
      <c r="AE40" s="87">
        <f>'Industrial Water Use Cals'!AD74</f>
        <v>0</v>
      </c>
      <c r="AF40" s="87">
        <f>'Industrial Water Use Cals'!AE74</f>
        <v>0</v>
      </c>
      <c r="AG40" s="87">
        <f>'Industrial Water Use Cals'!AF74</f>
        <v>0</v>
      </c>
      <c r="AH40" s="90">
        <f>'Industrial Water Use Cals'!AG74</f>
        <v>0</v>
      </c>
      <c r="AI40" s="24"/>
      <c r="AJ40" s="24"/>
      <c r="AK40" s="24"/>
      <c r="AL40" s="24"/>
      <c r="AM40" s="24"/>
      <c r="AN40" s="24"/>
      <c r="AO40" s="24"/>
      <c r="AP40" s="24"/>
      <c r="AQ40" s="24"/>
      <c r="AR40" s="24"/>
      <c r="AS40" s="24"/>
      <c r="AT40" s="24"/>
      <c r="AU40" s="24"/>
      <c r="AV40" s="24"/>
      <c r="AW40" s="24"/>
      <c r="AX40" s="24"/>
      <c r="AY40" s="24"/>
      <c r="AZ40" s="24"/>
      <c r="BA40" s="24"/>
      <c r="BB40" s="24"/>
    </row>
    <row r="41" ht="12.75" customHeight="1">
      <c r="A41" s="18"/>
      <c r="B41" s="214"/>
      <c r="C41" s="215" t="s">
        <v>48</v>
      </c>
      <c r="D41" s="216">
        <f>'Industrial Water Use Cals'!C73</f>
        <v>33197.44527</v>
      </c>
      <c r="E41" s="216">
        <f>'Industrial Water Use Cals'!D73</f>
        <v>40589.73411</v>
      </c>
      <c r="F41" s="216">
        <f>'Industrial Water Use Cals'!E73</f>
        <v>35899.53702</v>
      </c>
      <c r="G41" s="216">
        <f>'Industrial Water Use Cals'!F73</f>
        <v>33843.17986</v>
      </c>
      <c r="H41" s="216">
        <f>'Industrial Water Use Cals'!G73</f>
        <v>29535.55376</v>
      </c>
      <c r="I41" s="216">
        <f>'Industrial Water Use Cals'!H73</f>
        <v>23406.80615</v>
      </c>
      <c r="J41" s="216">
        <f>'Industrial Water Use Cals'!I73</f>
        <v>23175.03322</v>
      </c>
      <c r="K41" s="216">
        <f>'Industrial Water Use Cals'!J73</f>
        <v>16696.91791</v>
      </c>
      <c r="L41" s="216">
        <f>'Industrial Water Use Cals'!K73</f>
        <v>14254.36136</v>
      </c>
      <c r="M41" s="216">
        <f>'Industrial Water Use Cals'!L73</f>
        <v>10190.15646</v>
      </c>
      <c r="N41" s="216">
        <f>'Industrial Water Use Cals'!M73</f>
        <v>7974.330405</v>
      </c>
      <c r="O41" s="216">
        <f>'Industrial Water Use Cals'!N73</f>
        <v>5865.574466</v>
      </c>
      <c r="P41" s="216">
        <f>'Industrial Water Use Cals'!O73</f>
        <v>4469.445533</v>
      </c>
      <c r="Q41" s="216">
        <f>'Industrial Water Use Cals'!P73</f>
        <v>3668.101859</v>
      </c>
      <c r="R41" s="216">
        <f>'Industrial Water Use Cals'!Q73</f>
        <v>3288.751269</v>
      </c>
      <c r="S41" s="216">
        <f>'Industrial Water Use Cals'!R73</f>
        <v>3083.415392</v>
      </c>
      <c r="T41" s="216">
        <f>'Industrial Water Use Cals'!S73</f>
        <v>2212.9647</v>
      </c>
      <c r="U41" s="216">
        <f>'Industrial Water Use Cals'!T73</f>
        <v>2290.674565</v>
      </c>
      <c r="V41" s="216">
        <f>'Industrial Water Use Cals'!U73</f>
        <v>2072.579442</v>
      </c>
      <c r="W41" s="216">
        <f>'Industrial Water Use Cals'!V73</f>
        <v>0</v>
      </c>
      <c r="X41" s="216">
        <f>'Industrial Water Use Cals'!W73</f>
        <v>0</v>
      </c>
      <c r="Y41" s="216">
        <f>'Industrial Water Use Cals'!X73</f>
        <v>0</v>
      </c>
      <c r="Z41" s="216">
        <f>'Industrial Water Use Cals'!Y73</f>
        <v>0</v>
      </c>
      <c r="AA41" s="216">
        <f>'Industrial Water Use Cals'!Z73</f>
        <v>0</v>
      </c>
      <c r="AB41" s="216">
        <f>'Industrial Water Use Cals'!AA73</f>
        <v>0</v>
      </c>
      <c r="AC41" s="216">
        <f>'Industrial Water Use Cals'!AB73</f>
        <v>0</v>
      </c>
      <c r="AD41" s="216">
        <f>'Industrial Water Use Cals'!AC73</f>
        <v>0</v>
      </c>
      <c r="AE41" s="216">
        <f>'Industrial Water Use Cals'!AD73</f>
        <v>0</v>
      </c>
      <c r="AF41" s="216">
        <f>'Industrial Water Use Cals'!AE73</f>
        <v>0</v>
      </c>
      <c r="AG41" s="216">
        <f>'Industrial Water Use Cals'!AF73</f>
        <v>0</v>
      </c>
      <c r="AH41" s="217">
        <f>'Industrial Water Use Cals'!AG73</f>
        <v>0</v>
      </c>
      <c r="AI41" s="24"/>
      <c r="AJ41" s="24"/>
      <c r="AK41" s="24"/>
      <c r="AL41" s="24"/>
      <c r="AM41" s="24"/>
      <c r="AN41" s="24"/>
      <c r="AO41" s="24"/>
      <c r="AP41" s="24"/>
      <c r="AQ41" s="24"/>
      <c r="AR41" s="24"/>
      <c r="AS41" s="24"/>
      <c r="AT41" s="24"/>
      <c r="AU41" s="24"/>
      <c r="AV41" s="24"/>
      <c r="AW41" s="24"/>
      <c r="AX41" s="24"/>
      <c r="AY41" s="24"/>
      <c r="AZ41" s="24"/>
      <c r="BA41" s="24"/>
      <c r="BB41" s="24"/>
    </row>
    <row r="42" ht="14.25" customHeight="1">
      <c r="A42" s="66" t="s">
        <v>114</v>
      </c>
      <c r="B42" s="68" t="s">
        <v>46</v>
      </c>
      <c r="C42" s="70" t="s">
        <v>47</v>
      </c>
      <c r="D42" s="73">
        <f>'Agricultural Water Use Calcs'!V88</f>
        <v>429575.2704</v>
      </c>
      <c r="E42" s="73">
        <f>'Agricultural Water Use Calcs'!W88</f>
        <v>466411.3344</v>
      </c>
      <c r="F42" s="73">
        <f>'Agricultural Water Use Calcs'!X88</f>
        <v>327414.528</v>
      </c>
      <c r="G42" s="73">
        <f>'Agricultural Water Use Calcs'!Y88</f>
        <v>529012.0608</v>
      </c>
      <c r="H42" s="73">
        <f>'Agricultural Water Use Calcs'!Z88</f>
        <v>468254.1024</v>
      </c>
      <c r="I42" s="73">
        <f>'Agricultural Water Use Calcs'!AA88</f>
        <v>530832.96</v>
      </c>
      <c r="J42" s="73">
        <f>'Agricultural Water Use Calcs'!AB88</f>
        <v>397891.8816</v>
      </c>
      <c r="K42" s="73">
        <f>'Agricultural Water Use Calcs'!AC88</f>
        <v>479249.6064</v>
      </c>
      <c r="L42" s="73">
        <f>'Agricultural Water Use Calcs'!AD88</f>
        <v>524985.6288</v>
      </c>
      <c r="M42" s="73">
        <f>'Agricultural Water Use Calcs'!AE88</f>
        <v>611717.2896</v>
      </c>
      <c r="N42" s="73">
        <f>'Agricultural Water Use Calcs'!AF88</f>
        <v>602363.8752</v>
      </c>
      <c r="O42" s="73">
        <f>'Agricultural Water Use Calcs'!AG88</f>
        <v>599174.8896</v>
      </c>
      <c r="P42" s="73">
        <f>'Agricultural Water Use Calcs'!AH88</f>
        <v>348755.904</v>
      </c>
      <c r="Q42" s="73">
        <f>'Agricultural Water Use Calcs'!AI88</f>
        <v>453428.3424</v>
      </c>
      <c r="R42" s="73">
        <f>'Agricultural Water Use Calcs'!AJ88</f>
        <v>682536.1824</v>
      </c>
      <c r="S42" s="73">
        <f>'Agricultural Water Use Calcs'!AK88</f>
        <v>623392.0128</v>
      </c>
      <c r="T42" s="73">
        <f>'Agricultural Water Use Calcs'!AL88</f>
        <v>623345.0592</v>
      </c>
      <c r="U42" s="73">
        <f>'Agricultural Water Use Calcs'!AM88</f>
        <v>687987.3024</v>
      </c>
      <c r="V42" s="73">
        <f>'Agricultural Water Use Calcs'!AN88</f>
        <v>623984.4</v>
      </c>
      <c r="W42" s="73" t="str">
        <f>'Agricultural Water Use Calcs'!AO88</f>
        <v>#DIV/0!</v>
      </c>
      <c r="X42" s="73" t="str">
        <f>'Agricultural Water Use Calcs'!AP88</f>
        <v>#DIV/0!</v>
      </c>
      <c r="Y42" s="73" t="str">
        <f>'Agricultural Water Use Calcs'!AQ88</f>
        <v>#DIV/0!</v>
      </c>
      <c r="Z42" s="73" t="str">
        <f>'Agricultural Water Use Calcs'!AR88</f>
        <v>#DIV/0!</v>
      </c>
      <c r="AA42" s="73" t="str">
        <f>'Agricultural Water Use Calcs'!AS88</f>
        <v>#DIV/0!</v>
      </c>
      <c r="AB42" s="73" t="str">
        <f>'Agricultural Water Use Calcs'!AT88</f>
        <v>#DIV/0!</v>
      </c>
      <c r="AC42" s="73" t="str">
        <f>'Agricultural Water Use Calcs'!AU88</f>
        <v>#DIV/0!</v>
      </c>
      <c r="AD42" s="73" t="str">
        <f>'Agricultural Water Use Calcs'!AV88</f>
        <v>#DIV/0!</v>
      </c>
      <c r="AE42" s="73" t="str">
        <f>'Agricultural Water Use Calcs'!AW88</f>
        <v>#DIV/0!</v>
      </c>
      <c r="AF42" s="73" t="str">
        <f>'Agricultural Water Use Calcs'!AX88</f>
        <v>#DIV/0!</v>
      </c>
      <c r="AG42" s="73" t="str">
        <f>'Agricultural Water Use Calcs'!AY88</f>
        <v>#DIV/0!</v>
      </c>
      <c r="AH42" s="85" t="str">
        <f>'Agricultural Water Use Calcs'!AZ88</f>
        <v>#DIV/0!</v>
      </c>
      <c r="AI42" s="24"/>
      <c r="AJ42" s="24"/>
      <c r="AK42" s="24"/>
      <c r="AL42" s="24"/>
      <c r="AM42" s="24"/>
      <c r="AN42" s="24"/>
      <c r="AO42" s="24"/>
      <c r="AP42" s="24"/>
      <c r="AQ42" s="24"/>
      <c r="AR42" s="24"/>
      <c r="AS42" s="24"/>
      <c r="AT42" s="24"/>
      <c r="AU42" s="24"/>
      <c r="AV42" s="24"/>
      <c r="AW42" s="24"/>
      <c r="AX42" s="24"/>
      <c r="AY42" s="24"/>
      <c r="AZ42" s="24"/>
      <c r="BA42" s="24"/>
      <c r="BB42" s="24"/>
    </row>
    <row r="43" ht="12.75" customHeight="1">
      <c r="A43" s="9"/>
      <c r="B43" s="86"/>
      <c r="C43" s="51" t="s">
        <v>49</v>
      </c>
      <c r="D43" s="87">
        <f>'Agricultural Water Use Calcs'!V89</f>
        <v>387664.342</v>
      </c>
      <c r="E43" s="87">
        <f>'Agricultural Water Use Calcs'!W89</f>
        <v>420906.5454</v>
      </c>
      <c r="F43" s="87">
        <f>'Agricultural Water Use Calcs'!X89</f>
        <v>295470.7738</v>
      </c>
      <c r="G43" s="87">
        <f>'Agricultural Water Use Calcs'!Y89</f>
        <v>477399.7168</v>
      </c>
      <c r="H43" s="87">
        <f>'Agricultural Water Use Calcs'!Z89</f>
        <v>422569.5262</v>
      </c>
      <c r="I43" s="87">
        <f>'Agricultural Water Use Calcs'!AA89</f>
        <v>479042.9625</v>
      </c>
      <c r="J43" s="87">
        <f>'Agricultural Water Use Calcs'!AB89</f>
        <v>359072.1</v>
      </c>
      <c r="K43" s="87">
        <f>'Agricultural Water Use Calcs'!AC89</f>
        <v>432492.2688</v>
      </c>
      <c r="L43" s="87">
        <f>'Agricultural Water Use Calcs'!AD89</f>
        <v>473766.1182</v>
      </c>
      <c r="M43" s="87">
        <f>'Agricultural Water Use Calcs'!AE89</f>
        <v>552035.9222</v>
      </c>
      <c r="N43" s="87">
        <f>'Agricultural Water Use Calcs'!AF89</f>
        <v>543595.061</v>
      </c>
      <c r="O43" s="87">
        <f>'Agricultural Water Use Calcs'!AG89</f>
        <v>540717.2044</v>
      </c>
      <c r="P43" s="87">
        <f>'Agricultural Water Use Calcs'!AH89</f>
        <v>314730.0074</v>
      </c>
      <c r="Q43" s="87">
        <f>'Agricultural Water Use Calcs'!AI89</f>
        <v>409190.2214</v>
      </c>
      <c r="R43" s="87">
        <f>'Agricultural Water Use Calcs'!AJ89</f>
        <v>615945.4658</v>
      </c>
      <c r="S43" s="87">
        <f>'Agricultural Water Use Calcs'!AK89</f>
        <v>562571.6168</v>
      </c>
      <c r="T43" s="87">
        <f>'Agricultural Water Use Calcs'!AL89</f>
        <v>562529.2442</v>
      </c>
      <c r="U43" s="87">
        <f>'Agricultural Water Use Calcs'!AM89</f>
        <v>620864.7547</v>
      </c>
      <c r="V43" s="87">
        <f>'Agricultural Water Use Calcs'!AN89</f>
        <v>563106.2086</v>
      </c>
      <c r="W43" s="87" t="str">
        <f>'Agricultural Water Use Calcs'!AO89</f>
        <v>#DIV/0!</v>
      </c>
      <c r="X43" s="87" t="str">
        <f>'Agricultural Water Use Calcs'!AP89</f>
        <v>#DIV/0!</v>
      </c>
      <c r="Y43" s="87" t="str">
        <f>'Agricultural Water Use Calcs'!AQ89</f>
        <v>#DIV/0!</v>
      </c>
      <c r="Z43" s="87" t="str">
        <f>'Agricultural Water Use Calcs'!AR89</f>
        <v>#DIV/0!</v>
      </c>
      <c r="AA43" s="87" t="str">
        <f>'Agricultural Water Use Calcs'!AS89</f>
        <v>#DIV/0!</v>
      </c>
      <c r="AB43" s="87" t="str">
        <f>'Agricultural Water Use Calcs'!AT89</f>
        <v>#DIV/0!</v>
      </c>
      <c r="AC43" s="87" t="str">
        <f>'Agricultural Water Use Calcs'!AU89</f>
        <v>#DIV/0!</v>
      </c>
      <c r="AD43" s="87" t="str">
        <f>'Agricultural Water Use Calcs'!AV89</f>
        <v>#DIV/0!</v>
      </c>
      <c r="AE43" s="87" t="str">
        <f>'Agricultural Water Use Calcs'!AW89</f>
        <v>#DIV/0!</v>
      </c>
      <c r="AF43" s="87" t="str">
        <f>'Agricultural Water Use Calcs'!AX89</f>
        <v>#DIV/0!</v>
      </c>
      <c r="AG43" s="87" t="str">
        <f>'Agricultural Water Use Calcs'!AY89</f>
        <v>#DIV/0!</v>
      </c>
      <c r="AH43" s="90" t="str">
        <f>'Agricultural Water Use Calcs'!AZ89</f>
        <v>#DIV/0!</v>
      </c>
      <c r="AI43" s="24"/>
      <c r="AJ43" s="24"/>
      <c r="AK43" s="24"/>
      <c r="AL43" s="24"/>
      <c r="AM43" s="24"/>
      <c r="AN43" s="24"/>
      <c r="AO43" s="24"/>
      <c r="AP43" s="24"/>
      <c r="AQ43" s="24"/>
      <c r="AR43" s="24"/>
      <c r="AS43" s="24"/>
      <c r="AT43" s="24"/>
      <c r="AU43" s="24"/>
      <c r="AV43" s="24"/>
      <c r="AW43" s="24"/>
      <c r="AX43" s="24"/>
      <c r="AY43" s="24"/>
      <c r="AZ43" s="24"/>
      <c r="BA43" s="24"/>
      <c r="BB43" s="24"/>
    </row>
    <row r="44" ht="12.75" customHeight="1">
      <c r="A44" s="9"/>
      <c r="B44" s="92"/>
      <c r="C44" s="51" t="s">
        <v>48</v>
      </c>
      <c r="D44" s="87">
        <f>'Agricultural Water Use Calcs'!V90</f>
        <v>41910.92844</v>
      </c>
      <c r="E44" s="87">
        <f>'Agricultural Water Use Calcs'!W90</f>
        <v>45504.78905</v>
      </c>
      <c r="F44" s="87">
        <f>'Agricultural Water Use Calcs'!X90</f>
        <v>31943.75421</v>
      </c>
      <c r="G44" s="87">
        <f>'Agricultural Water Use Calcs'!Y90</f>
        <v>51612.34399</v>
      </c>
      <c r="H44" s="87">
        <f>'Agricultural Water Use Calcs'!Z90</f>
        <v>45684.57621</v>
      </c>
      <c r="I44" s="87">
        <f>'Agricultural Water Use Calcs'!AA90</f>
        <v>51789.99755</v>
      </c>
      <c r="J44" s="87">
        <f>'Agricultural Water Use Calcs'!AB90</f>
        <v>38819.7816</v>
      </c>
      <c r="K44" s="87">
        <f>'Agricultural Water Use Calcs'!AC90</f>
        <v>46757.33764</v>
      </c>
      <c r="L44" s="87">
        <f>'Agricultural Water Use Calcs'!AD90</f>
        <v>51219.51061</v>
      </c>
      <c r="M44" s="87">
        <f>'Agricultural Water Use Calcs'!AE90</f>
        <v>59681.36743</v>
      </c>
      <c r="N44" s="87">
        <f>'Agricultural Water Use Calcs'!AF90</f>
        <v>58768.81424</v>
      </c>
      <c r="O44" s="87">
        <f>'Agricultural Water Use Calcs'!AG90</f>
        <v>58457.68519</v>
      </c>
      <c r="P44" s="87">
        <f>'Agricultural Water Use Calcs'!AH90</f>
        <v>34025.89661</v>
      </c>
      <c r="Q44" s="87">
        <f>'Agricultural Water Use Calcs'!AI90</f>
        <v>44238.12105</v>
      </c>
      <c r="R44" s="87">
        <f>'Agricultural Water Use Calcs'!AJ90</f>
        <v>66590.71662</v>
      </c>
      <c r="S44" s="87">
        <f>'Agricultural Water Use Calcs'!AK90</f>
        <v>60820.39596</v>
      </c>
      <c r="T44" s="87">
        <f>'Agricultural Water Use Calcs'!AL90</f>
        <v>60815.81499</v>
      </c>
      <c r="U44" s="87">
        <f>'Agricultural Water Use Calcs'!AM90</f>
        <v>67122.54775</v>
      </c>
      <c r="V44" s="87">
        <f>'Agricultural Water Use Calcs'!AN90</f>
        <v>60878.19141</v>
      </c>
      <c r="W44" s="87" t="str">
        <f>'Agricultural Water Use Calcs'!AO90</f>
        <v>#DIV/0!</v>
      </c>
      <c r="X44" s="87" t="str">
        <f>'Agricultural Water Use Calcs'!AP90</f>
        <v>#DIV/0!</v>
      </c>
      <c r="Y44" s="87" t="str">
        <f>'Agricultural Water Use Calcs'!AQ90</f>
        <v>#DIV/0!</v>
      </c>
      <c r="Z44" s="87" t="str">
        <f>'Agricultural Water Use Calcs'!AR90</f>
        <v>#DIV/0!</v>
      </c>
      <c r="AA44" s="87" t="str">
        <f>'Agricultural Water Use Calcs'!AS90</f>
        <v>#DIV/0!</v>
      </c>
      <c r="AB44" s="87" t="str">
        <f>'Agricultural Water Use Calcs'!AT90</f>
        <v>#DIV/0!</v>
      </c>
      <c r="AC44" s="87" t="str">
        <f>'Agricultural Water Use Calcs'!AU90</f>
        <v>#DIV/0!</v>
      </c>
      <c r="AD44" s="87" t="str">
        <f>'Agricultural Water Use Calcs'!AV90</f>
        <v>#DIV/0!</v>
      </c>
      <c r="AE44" s="87" t="str">
        <f>'Agricultural Water Use Calcs'!AW90</f>
        <v>#DIV/0!</v>
      </c>
      <c r="AF44" s="87" t="str">
        <f>'Agricultural Water Use Calcs'!AX90</f>
        <v>#DIV/0!</v>
      </c>
      <c r="AG44" s="87" t="str">
        <f>'Agricultural Water Use Calcs'!AY90</f>
        <v>#DIV/0!</v>
      </c>
      <c r="AH44" s="90" t="str">
        <f>'Agricultural Water Use Calcs'!AZ90</f>
        <v>#DIV/0!</v>
      </c>
      <c r="AI44" s="24"/>
      <c r="AJ44" s="24"/>
      <c r="AK44" s="24"/>
      <c r="AL44" s="24"/>
      <c r="AM44" s="24"/>
      <c r="AN44" s="24"/>
      <c r="AO44" s="24"/>
      <c r="AP44" s="24"/>
      <c r="AQ44" s="24"/>
      <c r="AR44" s="24"/>
      <c r="AS44" s="24"/>
      <c r="AT44" s="24"/>
      <c r="AU44" s="24"/>
      <c r="AV44" s="24"/>
      <c r="AW44" s="24"/>
      <c r="AX44" s="24"/>
      <c r="AY44" s="24"/>
      <c r="AZ44" s="24"/>
      <c r="BA44" s="24"/>
      <c r="BB44" s="24"/>
    </row>
    <row r="45" ht="12.75" customHeight="1">
      <c r="A45" s="9"/>
      <c r="B45" s="111" t="s">
        <v>60</v>
      </c>
      <c r="C45" s="112" t="s">
        <v>47</v>
      </c>
      <c r="D45" s="114" t="s">
        <v>7</v>
      </c>
      <c r="E45" s="114" t="s">
        <v>7</v>
      </c>
      <c r="F45" s="114">
        <f t="shared" ref="F45:AH45" si="10">SUM(F46:F47)</f>
        <v>30643.14056</v>
      </c>
      <c r="G45" s="114">
        <f t="shared" si="10"/>
        <v>30882.91604</v>
      </c>
      <c r="H45" s="114">
        <f t="shared" si="10"/>
        <v>31230.79933</v>
      </c>
      <c r="I45" s="114">
        <f t="shared" si="10"/>
        <v>31377.07518</v>
      </c>
      <c r="J45" s="114">
        <f t="shared" si="10"/>
        <v>31687.29196</v>
      </c>
      <c r="K45" s="114">
        <f t="shared" si="10"/>
        <v>32058.62791</v>
      </c>
      <c r="L45" s="114">
        <f t="shared" si="10"/>
        <v>32589.15691</v>
      </c>
      <c r="M45" s="114">
        <f t="shared" si="10"/>
        <v>33224.74598</v>
      </c>
      <c r="N45" s="114">
        <f t="shared" si="10"/>
        <v>33596.56004</v>
      </c>
      <c r="O45" s="114">
        <f t="shared" si="10"/>
        <v>33909.21861</v>
      </c>
      <c r="P45" s="114">
        <f t="shared" si="10"/>
        <v>34569.76954</v>
      </c>
      <c r="Q45" s="114">
        <f t="shared" si="10"/>
        <v>25447.70463</v>
      </c>
      <c r="R45" s="114">
        <f t="shared" si="10"/>
        <v>25734.63173</v>
      </c>
      <c r="S45" s="114">
        <f t="shared" si="10"/>
        <v>25859.72925</v>
      </c>
      <c r="T45" s="114">
        <f t="shared" si="10"/>
        <v>25897.41426</v>
      </c>
      <c r="U45" s="114">
        <f t="shared" si="10"/>
        <v>25771.67181</v>
      </c>
      <c r="V45" s="114">
        <f t="shared" si="10"/>
        <v>15360.62402</v>
      </c>
      <c r="W45" s="114">
        <f t="shared" si="10"/>
        <v>0</v>
      </c>
      <c r="X45" s="114">
        <f t="shared" si="10"/>
        <v>0</v>
      </c>
      <c r="Y45" s="114">
        <f t="shared" si="10"/>
        <v>0</v>
      </c>
      <c r="Z45" s="114">
        <f t="shared" si="10"/>
        <v>0</v>
      </c>
      <c r="AA45" s="114">
        <f t="shared" si="10"/>
        <v>0</v>
      </c>
      <c r="AB45" s="114">
        <f t="shared" si="10"/>
        <v>0</v>
      </c>
      <c r="AC45" s="114">
        <f t="shared" si="10"/>
        <v>0</v>
      </c>
      <c r="AD45" s="114">
        <f t="shared" si="10"/>
        <v>0</v>
      </c>
      <c r="AE45" s="114">
        <f t="shared" si="10"/>
        <v>0</v>
      </c>
      <c r="AF45" s="114">
        <f t="shared" si="10"/>
        <v>0</v>
      </c>
      <c r="AG45" s="114">
        <f t="shared" si="10"/>
        <v>0</v>
      </c>
      <c r="AH45" s="128">
        <f t="shared" si="10"/>
        <v>0</v>
      </c>
      <c r="AI45" s="24"/>
      <c r="AJ45" s="24"/>
      <c r="AK45" s="24"/>
      <c r="AL45" s="24"/>
      <c r="AM45" s="24"/>
      <c r="AN45" s="24"/>
      <c r="AO45" s="24"/>
      <c r="AP45" s="24"/>
      <c r="AQ45" s="24"/>
      <c r="AR45" s="24"/>
      <c r="AS45" s="24"/>
      <c r="AT45" s="24"/>
      <c r="AU45" s="24"/>
      <c r="AV45" s="24"/>
      <c r="AW45" s="24"/>
      <c r="AX45" s="24"/>
      <c r="AY45" s="24"/>
      <c r="AZ45" s="24"/>
      <c r="BA45" s="24"/>
      <c r="BB45" s="24"/>
    </row>
    <row r="46" ht="12.75" customHeight="1">
      <c r="A46" s="9"/>
      <c r="B46" s="86"/>
      <c r="C46" s="51" t="s">
        <v>49</v>
      </c>
      <c r="D46" s="87" t="s">
        <v>7</v>
      </c>
      <c r="E46" s="87" t="s">
        <v>7</v>
      </c>
      <c r="F46" s="87">
        <f>'Muni &amp; Domestic Water Use Calcs'!E276</f>
        <v>10709.83652</v>
      </c>
      <c r="G46" s="87">
        <f>'Muni &amp; Domestic Water Use Calcs'!F276</f>
        <v>10798.84421</v>
      </c>
      <c r="H46" s="87">
        <f>'Muni &amp; Domestic Water Use Calcs'!G276</f>
        <v>10921.1611</v>
      </c>
      <c r="I46" s="87">
        <f>'Muni &amp; Domestic Water Use Calcs'!H276</f>
        <v>10972.73886</v>
      </c>
      <c r="J46" s="87">
        <f>'Muni &amp; Domestic Water Use Calcs'!I276</f>
        <v>11082.55622</v>
      </c>
      <c r="K46" s="87">
        <f>'Muni &amp; Domestic Water Use Calcs'!J276</f>
        <v>11215.44965</v>
      </c>
      <c r="L46" s="87">
        <f>'Muni &amp; Domestic Water Use Calcs'!K276</f>
        <v>11405.34645</v>
      </c>
      <c r="M46" s="87">
        <f>'Muni &amp; Domestic Water Use Calcs'!L276</f>
        <v>11632.87923</v>
      </c>
      <c r="N46" s="87">
        <f>'Muni &amp; Domestic Water Use Calcs'!M276</f>
        <v>11753.9599</v>
      </c>
      <c r="O46" s="87">
        <f>'Muni &amp; Domestic Water Use Calcs'!N276</f>
        <v>11872.77418</v>
      </c>
      <c r="P46" s="87">
        <f>'Muni &amp; Domestic Water Use Calcs'!O276</f>
        <v>12110.40274</v>
      </c>
      <c r="Q46" s="87">
        <f>'Muni &amp; Domestic Water Use Calcs'!P276</f>
        <v>13605.30995</v>
      </c>
      <c r="R46" s="87">
        <f>'Muni &amp; Domestic Water Use Calcs'!Q276</f>
        <v>13849.81882</v>
      </c>
      <c r="S46" s="87">
        <f>'Muni &amp; Domestic Water Use Calcs'!R276</f>
        <v>13899.12181</v>
      </c>
      <c r="T46" s="87">
        <f>'Muni &amp; Domestic Water Use Calcs'!S276</f>
        <v>13986.38578</v>
      </c>
      <c r="U46" s="87">
        <f>'Muni &amp; Domestic Water Use Calcs'!T276</f>
        <v>13942.02081</v>
      </c>
      <c r="V46" s="87">
        <f>'Muni &amp; Domestic Water Use Calcs'!U276</f>
        <v>0</v>
      </c>
      <c r="W46" s="87">
        <f>'Muni &amp; Domestic Water Use Calcs'!V276</f>
        <v>0</v>
      </c>
      <c r="X46" s="87">
        <f>'Muni &amp; Domestic Water Use Calcs'!W276</f>
        <v>0</v>
      </c>
      <c r="Y46" s="87">
        <f>'Muni &amp; Domestic Water Use Calcs'!X276</f>
        <v>0</v>
      </c>
      <c r="Z46" s="87">
        <f>'Muni &amp; Domestic Water Use Calcs'!Y276</f>
        <v>0</v>
      </c>
      <c r="AA46" s="87">
        <f>'Muni &amp; Domestic Water Use Calcs'!Z276</f>
        <v>0</v>
      </c>
      <c r="AB46" s="87">
        <f>'Muni &amp; Domestic Water Use Calcs'!AA276</f>
        <v>0</v>
      </c>
      <c r="AC46" s="87">
        <f>'Muni &amp; Domestic Water Use Calcs'!AB276</f>
        <v>0</v>
      </c>
      <c r="AD46" s="87">
        <f>'Muni &amp; Domestic Water Use Calcs'!AC276</f>
        <v>0</v>
      </c>
      <c r="AE46" s="87">
        <f>'Muni &amp; Domestic Water Use Calcs'!AD276</f>
        <v>0</v>
      </c>
      <c r="AF46" s="87">
        <f>'Muni &amp; Domestic Water Use Calcs'!AE276</f>
        <v>0</v>
      </c>
      <c r="AG46" s="87">
        <f>'Muni &amp; Domestic Water Use Calcs'!AF276</f>
        <v>0</v>
      </c>
      <c r="AH46" s="90">
        <f>'Muni &amp; Domestic Water Use Calcs'!AG276</f>
        <v>0</v>
      </c>
      <c r="AI46" s="24"/>
      <c r="AJ46" s="24"/>
      <c r="AK46" s="24"/>
      <c r="AL46" s="24"/>
      <c r="AM46" s="24"/>
      <c r="AN46" s="24"/>
      <c r="AO46" s="24"/>
      <c r="AP46" s="24"/>
      <c r="AQ46" s="24"/>
      <c r="AR46" s="24"/>
      <c r="AS46" s="24"/>
      <c r="AT46" s="24"/>
      <c r="AU46" s="24"/>
      <c r="AV46" s="24"/>
      <c r="AW46" s="24"/>
      <c r="AX46" s="24"/>
      <c r="AY46" s="24"/>
      <c r="AZ46" s="24"/>
      <c r="BA46" s="24"/>
      <c r="BB46" s="24"/>
    </row>
    <row r="47" ht="12.75" customHeight="1">
      <c r="A47" s="9"/>
      <c r="B47" s="92"/>
      <c r="C47" s="51" t="s">
        <v>48</v>
      </c>
      <c r="D47" s="87" t="s">
        <v>7</v>
      </c>
      <c r="E47" s="87" t="s">
        <v>7</v>
      </c>
      <c r="F47" s="87">
        <f>'Muni &amp; Domestic Water Use Calcs'!E275</f>
        <v>19933.30404</v>
      </c>
      <c r="G47" s="87">
        <f>'Muni &amp; Domestic Water Use Calcs'!F275</f>
        <v>20084.07183</v>
      </c>
      <c r="H47" s="87">
        <f>'Muni &amp; Domestic Water Use Calcs'!G275</f>
        <v>20309.63823</v>
      </c>
      <c r="I47" s="87">
        <f>'Muni &amp; Domestic Water Use Calcs'!H275</f>
        <v>20404.33632</v>
      </c>
      <c r="J47" s="87">
        <f>'Muni &amp; Domestic Water Use Calcs'!I275</f>
        <v>20604.73574</v>
      </c>
      <c r="K47" s="87">
        <f>'Muni &amp; Domestic Water Use Calcs'!J275</f>
        <v>20843.17827</v>
      </c>
      <c r="L47" s="87">
        <f>'Muni &amp; Domestic Water Use Calcs'!K275</f>
        <v>21183.81046</v>
      </c>
      <c r="M47" s="87">
        <f>'Muni &amp; Domestic Water Use Calcs'!L275</f>
        <v>21591.86675</v>
      </c>
      <c r="N47" s="87">
        <f>'Muni &amp; Domestic Water Use Calcs'!M275</f>
        <v>21842.60013</v>
      </c>
      <c r="O47" s="87">
        <f>'Muni &amp; Domestic Water Use Calcs'!N275</f>
        <v>22036.44443</v>
      </c>
      <c r="P47" s="87">
        <f>'Muni &amp; Domestic Water Use Calcs'!O275</f>
        <v>22459.3668</v>
      </c>
      <c r="Q47" s="87">
        <f>'Muni &amp; Domestic Water Use Calcs'!P275</f>
        <v>11842.39468</v>
      </c>
      <c r="R47" s="87">
        <f>'Muni &amp; Domestic Water Use Calcs'!Q275</f>
        <v>11884.81291</v>
      </c>
      <c r="S47" s="87">
        <f>'Muni &amp; Domestic Water Use Calcs'!R275</f>
        <v>11960.60744</v>
      </c>
      <c r="T47" s="87">
        <f>'Muni &amp; Domestic Water Use Calcs'!S275</f>
        <v>11911.02848</v>
      </c>
      <c r="U47" s="87">
        <f>'Muni &amp; Domestic Water Use Calcs'!T275</f>
        <v>11829.651</v>
      </c>
      <c r="V47" s="87">
        <f>'Muni &amp; Domestic Water Use Calcs'!U275</f>
        <v>15360.62402</v>
      </c>
      <c r="W47" s="87">
        <f>'Muni &amp; Domestic Water Use Calcs'!V275</f>
        <v>0</v>
      </c>
      <c r="X47" s="87">
        <f>'Muni &amp; Domestic Water Use Calcs'!W275</f>
        <v>0</v>
      </c>
      <c r="Y47" s="87">
        <f>'Muni &amp; Domestic Water Use Calcs'!X275</f>
        <v>0</v>
      </c>
      <c r="Z47" s="87">
        <f>'Muni &amp; Domestic Water Use Calcs'!Y275</f>
        <v>0</v>
      </c>
      <c r="AA47" s="87">
        <f>'Muni &amp; Domestic Water Use Calcs'!Z275</f>
        <v>0</v>
      </c>
      <c r="AB47" s="87">
        <f>'Muni &amp; Domestic Water Use Calcs'!AA275</f>
        <v>0</v>
      </c>
      <c r="AC47" s="87">
        <f>'Muni &amp; Domestic Water Use Calcs'!AB275</f>
        <v>0</v>
      </c>
      <c r="AD47" s="87">
        <f>'Muni &amp; Domestic Water Use Calcs'!AC275</f>
        <v>0</v>
      </c>
      <c r="AE47" s="87">
        <f>'Muni &amp; Domestic Water Use Calcs'!AD275</f>
        <v>0</v>
      </c>
      <c r="AF47" s="87">
        <f>'Muni &amp; Domestic Water Use Calcs'!AE275</f>
        <v>0</v>
      </c>
      <c r="AG47" s="87">
        <f>'Muni &amp; Domestic Water Use Calcs'!AF275</f>
        <v>0</v>
      </c>
      <c r="AH47" s="90">
        <f>'Muni &amp; Domestic Water Use Calcs'!AG275</f>
        <v>0</v>
      </c>
      <c r="AI47" s="24"/>
      <c r="AJ47" s="24"/>
      <c r="AK47" s="24"/>
      <c r="AL47" s="24"/>
      <c r="AM47" s="24"/>
      <c r="AN47" s="24"/>
      <c r="AO47" s="24"/>
      <c r="AP47" s="24"/>
      <c r="AQ47" s="24"/>
      <c r="AR47" s="24"/>
      <c r="AS47" s="24"/>
      <c r="AT47" s="24"/>
      <c r="AU47" s="24"/>
      <c r="AV47" s="24"/>
      <c r="AW47" s="24"/>
      <c r="AX47" s="24"/>
      <c r="AY47" s="24"/>
      <c r="AZ47" s="24"/>
      <c r="BA47" s="24"/>
      <c r="BB47" s="24"/>
    </row>
    <row r="48" ht="12.75" customHeight="1">
      <c r="A48" s="9"/>
      <c r="B48" s="161" t="s">
        <v>72</v>
      </c>
      <c r="C48" s="162" t="s">
        <v>47</v>
      </c>
      <c r="D48" s="167">
        <f t="shared" ref="D48:AH48" si="11">SUM(D49:D50)</f>
        <v>11880.30189</v>
      </c>
      <c r="E48" s="167">
        <f t="shared" si="11"/>
        <v>11920.87687</v>
      </c>
      <c r="F48" s="167">
        <f t="shared" si="11"/>
        <v>11993.99355</v>
      </c>
      <c r="G48" s="167">
        <f t="shared" si="11"/>
        <v>12081.81525</v>
      </c>
      <c r="H48" s="167">
        <f t="shared" si="11"/>
        <v>12213.88819</v>
      </c>
      <c r="I48" s="167">
        <f t="shared" si="11"/>
        <v>12267.80663</v>
      </c>
      <c r="J48" s="167">
        <f t="shared" si="11"/>
        <v>12387.28499</v>
      </c>
      <c r="K48" s="167">
        <f t="shared" si="11"/>
        <v>12533.79065</v>
      </c>
      <c r="L48" s="167">
        <f t="shared" si="11"/>
        <v>12737.55062</v>
      </c>
      <c r="M48" s="167">
        <f t="shared" si="11"/>
        <v>12981.20478</v>
      </c>
      <c r="N48" s="167">
        <f t="shared" si="11"/>
        <v>13130.50167</v>
      </c>
      <c r="O48" s="167">
        <f t="shared" si="11"/>
        <v>13252.83934</v>
      </c>
      <c r="P48" s="167">
        <f t="shared" si="11"/>
        <v>13501.25902</v>
      </c>
      <c r="Q48" s="167">
        <f t="shared" si="11"/>
        <v>11578.11507</v>
      </c>
      <c r="R48" s="167">
        <f t="shared" si="11"/>
        <v>11618.18789</v>
      </c>
      <c r="S48" s="167">
        <f t="shared" si="11"/>
        <v>11692.9943</v>
      </c>
      <c r="T48" s="167">
        <f t="shared" si="11"/>
        <v>11649.07496</v>
      </c>
      <c r="U48" s="167">
        <f t="shared" si="11"/>
        <v>11564.16422</v>
      </c>
      <c r="V48" s="167">
        <f t="shared" si="11"/>
        <v>11551.82088</v>
      </c>
      <c r="W48" s="167">
        <f t="shared" si="11"/>
        <v>0</v>
      </c>
      <c r="X48" s="167">
        <f t="shared" si="11"/>
        <v>0</v>
      </c>
      <c r="Y48" s="167">
        <f t="shared" si="11"/>
        <v>0</v>
      </c>
      <c r="Z48" s="167">
        <f t="shared" si="11"/>
        <v>0</v>
      </c>
      <c r="AA48" s="167">
        <f t="shared" si="11"/>
        <v>0</v>
      </c>
      <c r="AB48" s="167">
        <f t="shared" si="11"/>
        <v>0</v>
      </c>
      <c r="AC48" s="167">
        <f t="shared" si="11"/>
        <v>0</v>
      </c>
      <c r="AD48" s="167">
        <f t="shared" si="11"/>
        <v>0</v>
      </c>
      <c r="AE48" s="167">
        <f t="shared" si="11"/>
        <v>0</v>
      </c>
      <c r="AF48" s="167">
        <f t="shared" si="11"/>
        <v>0</v>
      </c>
      <c r="AG48" s="167">
        <f t="shared" si="11"/>
        <v>0</v>
      </c>
      <c r="AH48" s="174">
        <f t="shared" si="11"/>
        <v>0</v>
      </c>
      <c r="AI48" s="24"/>
      <c r="AJ48" s="24"/>
      <c r="AK48" s="24"/>
      <c r="AL48" s="24"/>
      <c r="AM48" s="24"/>
      <c r="AN48" s="24"/>
      <c r="AO48" s="24"/>
      <c r="AP48" s="24"/>
      <c r="AQ48" s="24"/>
      <c r="AR48" s="24"/>
      <c r="AS48" s="24"/>
      <c r="AT48" s="24"/>
      <c r="AU48" s="24"/>
      <c r="AV48" s="24"/>
      <c r="AW48" s="24"/>
      <c r="AX48" s="24"/>
      <c r="AY48" s="24"/>
      <c r="AZ48" s="24"/>
      <c r="BA48" s="24"/>
      <c r="BB48" s="24"/>
    </row>
    <row r="49" ht="12.75" customHeight="1">
      <c r="A49" s="9"/>
      <c r="B49" s="86"/>
      <c r="C49" s="51" t="s">
        <v>49</v>
      </c>
      <c r="D49" s="87">
        <v>0.0</v>
      </c>
      <c r="E49" s="87">
        <v>0.0</v>
      </c>
      <c r="F49" s="87">
        <v>0.0</v>
      </c>
      <c r="G49" s="87">
        <v>0.0</v>
      </c>
      <c r="H49" s="87">
        <v>0.0</v>
      </c>
      <c r="I49" s="87">
        <v>0.0</v>
      </c>
      <c r="J49" s="87">
        <v>0.0</v>
      </c>
      <c r="K49" s="87">
        <v>0.0</v>
      </c>
      <c r="L49" s="87">
        <v>0.0</v>
      </c>
      <c r="M49" s="87">
        <v>0.0</v>
      </c>
      <c r="N49" s="87">
        <v>0.0</v>
      </c>
      <c r="O49" s="87">
        <v>0.0</v>
      </c>
      <c r="P49" s="87">
        <v>0.0</v>
      </c>
      <c r="Q49" s="87">
        <v>0.0</v>
      </c>
      <c r="R49" s="87">
        <v>0.0</v>
      </c>
      <c r="S49" s="87">
        <v>0.0</v>
      </c>
      <c r="T49" s="87">
        <v>0.0</v>
      </c>
      <c r="U49" s="87">
        <v>0.0</v>
      </c>
      <c r="V49" s="87">
        <v>0.0</v>
      </c>
      <c r="W49" s="87">
        <v>0.0</v>
      </c>
      <c r="X49" s="87">
        <v>0.0</v>
      </c>
      <c r="Y49" s="87">
        <v>0.0</v>
      </c>
      <c r="Z49" s="87">
        <v>0.0</v>
      </c>
      <c r="AA49" s="87">
        <v>0.0</v>
      </c>
      <c r="AB49" s="87">
        <v>0.0</v>
      </c>
      <c r="AC49" s="87">
        <v>0.0</v>
      </c>
      <c r="AD49" s="87">
        <v>0.0</v>
      </c>
      <c r="AE49" s="87">
        <v>0.0</v>
      </c>
      <c r="AF49" s="87">
        <v>0.0</v>
      </c>
      <c r="AG49" s="87">
        <v>0.0</v>
      </c>
      <c r="AH49" s="90">
        <v>0.0</v>
      </c>
      <c r="AI49" s="24"/>
      <c r="AJ49" s="24"/>
      <c r="AK49" s="24"/>
      <c r="AL49" s="24"/>
      <c r="AM49" s="24"/>
      <c r="AN49" s="24"/>
      <c r="AO49" s="24"/>
      <c r="AP49" s="24"/>
      <c r="AQ49" s="24"/>
      <c r="AR49" s="24"/>
      <c r="AS49" s="24"/>
      <c r="AT49" s="24"/>
      <c r="AU49" s="24"/>
      <c r="AV49" s="24"/>
      <c r="AW49" s="24"/>
      <c r="AX49" s="24"/>
      <c r="AY49" s="24"/>
      <c r="AZ49" s="24"/>
      <c r="BA49" s="24"/>
      <c r="BB49" s="24"/>
    </row>
    <row r="50" ht="12.75" customHeight="1">
      <c r="A50" s="9"/>
      <c r="B50" s="191"/>
      <c r="C50" s="58" t="s">
        <v>48</v>
      </c>
      <c r="D50" s="193">
        <f>AVERAGE('Muni &amp; Domestic Water Use Calcs'!C282:C283)</f>
        <v>11880.30189</v>
      </c>
      <c r="E50" s="193">
        <f>AVERAGE('Muni &amp; Domestic Water Use Calcs'!D282:D283)</f>
        <v>11920.87687</v>
      </c>
      <c r="F50" s="193">
        <f>AVERAGE('Muni &amp; Domestic Water Use Calcs'!E282:E283)</f>
        <v>11993.99355</v>
      </c>
      <c r="G50" s="193">
        <f>AVERAGE('Muni &amp; Domestic Water Use Calcs'!F282:F283)</f>
        <v>12081.81525</v>
      </c>
      <c r="H50" s="193">
        <f>AVERAGE('Muni &amp; Domestic Water Use Calcs'!G282:G283)</f>
        <v>12213.88819</v>
      </c>
      <c r="I50" s="193">
        <f>AVERAGE('Muni &amp; Domestic Water Use Calcs'!H282:H283)</f>
        <v>12267.80663</v>
      </c>
      <c r="J50" s="193">
        <f>AVERAGE('Muni &amp; Domestic Water Use Calcs'!I282:I283)</f>
        <v>12387.28499</v>
      </c>
      <c r="K50" s="193">
        <f>AVERAGE('Muni &amp; Domestic Water Use Calcs'!J282:J283)</f>
        <v>12533.79065</v>
      </c>
      <c r="L50" s="193">
        <f>AVERAGE('Muni &amp; Domestic Water Use Calcs'!K282:K283)</f>
        <v>12737.55062</v>
      </c>
      <c r="M50" s="193">
        <f>AVERAGE('Muni &amp; Domestic Water Use Calcs'!L282:L283)</f>
        <v>12981.20478</v>
      </c>
      <c r="N50" s="193">
        <f>AVERAGE('Muni &amp; Domestic Water Use Calcs'!M282:M283)</f>
        <v>13130.50167</v>
      </c>
      <c r="O50" s="193">
        <f>AVERAGE('Muni &amp; Domestic Water Use Calcs'!N282:N283)</f>
        <v>13252.83934</v>
      </c>
      <c r="P50" s="193">
        <f>AVERAGE('Muni &amp; Domestic Water Use Calcs'!O282:O283)</f>
        <v>13501.25902</v>
      </c>
      <c r="Q50" s="193">
        <f>AVERAGE('Muni &amp; Domestic Water Use Calcs'!P282:P283)</f>
        <v>11578.11507</v>
      </c>
      <c r="R50" s="193">
        <f>AVERAGE('Muni &amp; Domestic Water Use Calcs'!Q282:Q283)</f>
        <v>11618.18789</v>
      </c>
      <c r="S50" s="193">
        <f>AVERAGE('Muni &amp; Domestic Water Use Calcs'!R282:R283)</f>
        <v>11692.9943</v>
      </c>
      <c r="T50" s="193">
        <f>AVERAGE('Muni &amp; Domestic Water Use Calcs'!S282:S283)</f>
        <v>11649.07496</v>
      </c>
      <c r="U50" s="193">
        <f>AVERAGE('Muni &amp; Domestic Water Use Calcs'!T282:T283)</f>
        <v>11564.16422</v>
      </c>
      <c r="V50" s="193">
        <f>AVERAGE('Muni &amp; Domestic Water Use Calcs'!U282:U283)</f>
        <v>11551.82088</v>
      </c>
      <c r="W50" s="193">
        <f>AVERAGE('Muni &amp; Domestic Water Use Calcs'!V282:V283)</f>
        <v>0</v>
      </c>
      <c r="X50" s="193">
        <f>AVERAGE('Muni &amp; Domestic Water Use Calcs'!W282:W283)</f>
        <v>0</v>
      </c>
      <c r="Y50" s="193">
        <f>AVERAGE('Muni &amp; Domestic Water Use Calcs'!X282:X283)</f>
        <v>0</v>
      </c>
      <c r="Z50" s="193">
        <f>AVERAGE('Muni &amp; Domestic Water Use Calcs'!Y282:Y283)</f>
        <v>0</v>
      </c>
      <c r="AA50" s="193">
        <f>AVERAGE('Muni &amp; Domestic Water Use Calcs'!Z282:Z283)</f>
        <v>0</v>
      </c>
      <c r="AB50" s="193">
        <f>AVERAGE('Muni &amp; Domestic Water Use Calcs'!AA282:AA283)</f>
        <v>0</v>
      </c>
      <c r="AC50" s="193">
        <f>AVERAGE('Muni &amp; Domestic Water Use Calcs'!AB282:AB283)</f>
        <v>0</v>
      </c>
      <c r="AD50" s="193">
        <f>AVERAGE('Muni &amp; Domestic Water Use Calcs'!AC282:AC283)</f>
        <v>0</v>
      </c>
      <c r="AE50" s="193">
        <f>AVERAGE('Muni &amp; Domestic Water Use Calcs'!AD282:AD283)</f>
        <v>0</v>
      </c>
      <c r="AF50" s="193">
        <f>AVERAGE('Muni &amp; Domestic Water Use Calcs'!AE282:AE283)</f>
        <v>0</v>
      </c>
      <c r="AG50" s="193">
        <f>AVERAGE('Muni &amp; Domestic Water Use Calcs'!AF282:AF283)</f>
        <v>0</v>
      </c>
      <c r="AH50" s="200">
        <f>AVERAGE('Muni &amp; Domestic Water Use Calcs'!AG282:AG283)</f>
        <v>0</v>
      </c>
      <c r="AI50" s="24"/>
      <c r="AJ50" s="24"/>
      <c r="AK50" s="24"/>
      <c r="AL50" s="24"/>
      <c r="AM50" s="24"/>
      <c r="AN50" s="24"/>
      <c r="AO50" s="24"/>
      <c r="AP50" s="24"/>
      <c r="AQ50" s="24"/>
      <c r="AR50" s="24"/>
      <c r="AS50" s="24"/>
      <c r="AT50" s="24"/>
      <c r="AU50" s="24"/>
      <c r="AV50" s="24"/>
      <c r="AW50" s="24"/>
      <c r="AX50" s="24"/>
      <c r="AY50" s="24"/>
      <c r="AZ50" s="24"/>
      <c r="BA50" s="24"/>
      <c r="BB50" s="24"/>
    </row>
    <row r="51" ht="12.75" customHeight="1">
      <c r="A51" s="9"/>
      <c r="B51" s="201" t="s">
        <v>109</v>
      </c>
      <c r="C51" s="202" t="s">
        <v>47</v>
      </c>
      <c r="D51" s="203">
        <f t="shared" ref="D51:AH51" si="12">SUM(D52:D53)</f>
        <v>81426</v>
      </c>
      <c r="E51" s="203">
        <f t="shared" si="12"/>
        <v>85309.07301</v>
      </c>
      <c r="F51" s="203">
        <f t="shared" si="12"/>
        <v>84086.06037</v>
      </c>
      <c r="G51" s="203">
        <f t="shared" si="12"/>
        <v>80534.53375</v>
      </c>
      <c r="H51" s="203">
        <f t="shared" si="12"/>
        <v>84443.53296</v>
      </c>
      <c r="I51" s="203">
        <f t="shared" si="12"/>
        <v>87001.95979</v>
      </c>
      <c r="J51" s="203">
        <f t="shared" si="12"/>
        <v>89982.62781</v>
      </c>
      <c r="K51" s="203">
        <f t="shared" si="12"/>
        <v>95121.65453</v>
      </c>
      <c r="L51" s="203">
        <f t="shared" si="12"/>
        <v>95830.65826</v>
      </c>
      <c r="M51" s="203">
        <f t="shared" si="12"/>
        <v>89372.74946</v>
      </c>
      <c r="N51" s="203">
        <f t="shared" si="12"/>
        <v>107799.2651</v>
      </c>
      <c r="O51" s="203">
        <f t="shared" si="12"/>
        <v>114436.4322</v>
      </c>
      <c r="P51" s="203">
        <f t="shared" si="12"/>
        <v>117803.0018</v>
      </c>
      <c r="Q51" s="203">
        <f t="shared" si="12"/>
        <v>129808.2307</v>
      </c>
      <c r="R51" s="203">
        <f t="shared" si="12"/>
        <v>147947.586</v>
      </c>
      <c r="S51" s="203">
        <f t="shared" si="12"/>
        <v>160753.2175</v>
      </c>
      <c r="T51" s="203">
        <f t="shared" si="12"/>
        <v>150149.208</v>
      </c>
      <c r="U51" s="203">
        <f t="shared" si="12"/>
        <v>176546.9636</v>
      </c>
      <c r="V51" s="203">
        <f t="shared" si="12"/>
        <v>195495.2935</v>
      </c>
      <c r="W51" s="203">
        <f t="shared" si="12"/>
        <v>0</v>
      </c>
      <c r="X51" s="203">
        <f t="shared" si="12"/>
        <v>0</v>
      </c>
      <c r="Y51" s="203">
        <f t="shared" si="12"/>
        <v>0</v>
      </c>
      <c r="Z51" s="203">
        <f t="shared" si="12"/>
        <v>0</v>
      </c>
      <c r="AA51" s="203">
        <f t="shared" si="12"/>
        <v>0</v>
      </c>
      <c r="AB51" s="203">
        <f t="shared" si="12"/>
        <v>0</v>
      </c>
      <c r="AC51" s="203">
        <f t="shared" si="12"/>
        <v>0</v>
      </c>
      <c r="AD51" s="203">
        <f t="shared" si="12"/>
        <v>0</v>
      </c>
      <c r="AE51" s="203">
        <f t="shared" si="12"/>
        <v>0</v>
      </c>
      <c r="AF51" s="203">
        <f t="shared" si="12"/>
        <v>0</v>
      </c>
      <c r="AG51" s="203">
        <f t="shared" si="12"/>
        <v>0</v>
      </c>
      <c r="AH51" s="204">
        <f t="shared" si="12"/>
        <v>0</v>
      </c>
      <c r="AI51" s="24"/>
      <c r="AJ51" s="24"/>
      <c r="AK51" s="24"/>
      <c r="AL51" s="24"/>
      <c r="AM51" s="24"/>
      <c r="AN51" s="24"/>
      <c r="AO51" s="24"/>
      <c r="AP51" s="24"/>
      <c r="AQ51" s="24"/>
      <c r="AR51" s="24"/>
      <c r="AS51" s="24"/>
      <c r="AT51" s="24"/>
      <c r="AU51" s="24"/>
      <c r="AV51" s="24"/>
      <c r="AW51" s="24"/>
      <c r="AX51" s="24"/>
      <c r="AY51" s="24"/>
      <c r="AZ51" s="24"/>
      <c r="BA51" s="24"/>
      <c r="BB51" s="24"/>
    </row>
    <row r="52" ht="12.75" customHeight="1">
      <c r="A52" s="9"/>
      <c r="B52" s="86"/>
      <c r="C52" s="51" t="s">
        <v>49</v>
      </c>
      <c r="D52" s="87">
        <f>'Industrial Water Use Cals'!C137</f>
        <v>20550</v>
      </c>
      <c r="E52" s="87">
        <f>'Industrial Water Use Cals'!D137</f>
        <v>20664.56078</v>
      </c>
      <c r="F52" s="87">
        <f>'Industrial Water Use Cals'!E137</f>
        <v>20598.04394</v>
      </c>
      <c r="G52" s="87">
        <f>'Industrial Water Use Cals'!F137</f>
        <v>20942.52595</v>
      </c>
      <c r="H52" s="87">
        <f>'Industrial Water Use Cals'!G137</f>
        <v>20747.54426</v>
      </c>
      <c r="I52" s="87">
        <f>'Industrial Water Use Cals'!H137</f>
        <v>20979.23665</v>
      </c>
      <c r="J52" s="87">
        <f>'Industrial Water Use Cals'!I137</f>
        <v>20902.00065</v>
      </c>
      <c r="K52" s="87">
        <f>'Industrial Water Use Cals'!J137</f>
        <v>21196.85584</v>
      </c>
      <c r="L52" s="87">
        <f>'Industrial Water Use Cals'!K137</f>
        <v>21425.88667</v>
      </c>
      <c r="M52" s="87">
        <f>'Industrial Water Use Cals'!L137</f>
        <v>20463.27908</v>
      </c>
      <c r="N52" s="87">
        <f>'Industrial Water Use Cals'!M137</f>
        <v>22540.18507</v>
      </c>
      <c r="O52" s="87">
        <f>'Industrial Water Use Cals'!N137</f>
        <v>23575.27905</v>
      </c>
      <c r="P52" s="87">
        <f>'Industrial Water Use Cals'!O137</f>
        <v>23760.5366</v>
      </c>
      <c r="Q52" s="87">
        <f>'Industrial Water Use Cals'!P137</f>
        <v>25828.87006</v>
      </c>
      <c r="R52" s="87">
        <f>'Industrial Water Use Cals'!Q137</f>
        <v>33148.763</v>
      </c>
      <c r="S52" s="87">
        <f>'Industrial Water Use Cals'!R137</f>
        <v>35662.63229</v>
      </c>
      <c r="T52" s="87">
        <f>'Industrial Water Use Cals'!S137</f>
        <v>34566.69067</v>
      </c>
      <c r="U52" s="87">
        <f>'Industrial Water Use Cals'!T137</f>
        <v>37301.68594</v>
      </c>
      <c r="V52" s="87">
        <f>'Industrial Water Use Cals'!U137</f>
        <v>38693.09689</v>
      </c>
      <c r="W52" s="87">
        <f>'Industrial Water Use Cals'!V137</f>
        <v>0</v>
      </c>
      <c r="X52" s="87">
        <f>'Industrial Water Use Cals'!W137</f>
        <v>0</v>
      </c>
      <c r="Y52" s="87">
        <f>'Industrial Water Use Cals'!X137</f>
        <v>0</v>
      </c>
      <c r="Z52" s="87">
        <f>'Industrial Water Use Cals'!Y137</f>
        <v>0</v>
      </c>
      <c r="AA52" s="87">
        <f>'Industrial Water Use Cals'!Z137</f>
        <v>0</v>
      </c>
      <c r="AB52" s="87">
        <f>'Industrial Water Use Cals'!AA137</f>
        <v>0</v>
      </c>
      <c r="AC52" s="87">
        <f>'Industrial Water Use Cals'!AB137</f>
        <v>0</v>
      </c>
      <c r="AD52" s="87">
        <f>'Industrial Water Use Cals'!AC137</f>
        <v>0</v>
      </c>
      <c r="AE52" s="87">
        <f>'Industrial Water Use Cals'!AD137</f>
        <v>0</v>
      </c>
      <c r="AF52" s="87">
        <f>'Industrial Water Use Cals'!AE137</f>
        <v>0</v>
      </c>
      <c r="AG52" s="87">
        <f>'Industrial Water Use Cals'!AF137</f>
        <v>0</v>
      </c>
      <c r="AH52" s="90">
        <f>'Industrial Water Use Cals'!AG137</f>
        <v>0</v>
      </c>
      <c r="AI52" s="24"/>
      <c r="AJ52" s="24"/>
      <c r="AK52" s="24"/>
      <c r="AL52" s="24"/>
      <c r="AM52" s="24"/>
      <c r="AN52" s="24"/>
      <c r="AO52" s="24"/>
      <c r="AP52" s="24"/>
      <c r="AQ52" s="24"/>
      <c r="AR52" s="24"/>
      <c r="AS52" s="24"/>
      <c r="AT52" s="24"/>
      <c r="AU52" s="24"/>
      <c r="AV52" s="24"/>
      <c r="AW52" s="24"/>
      <c r="AX52" s="24"/>
      <c r="AY52" s="24"/>
      <c r="AZ52" s="24"/>
      <c r="BA52" s="24"/>
      <c r="BB52" s="24"/>
    </row>
    <row r="53" ht="12.75" customHeight="1">
      <c r="A53" s="18"/>
      <c r="B53" s="214"/>
      <c r="C53" s="215" t="s">
        <v>48</v>
      </c>
      <c r="D53" s="216">
        <f>'Industrial Water Use Cals'!C136</f>
        <v>60876</v>
      </c>
      <c r="E53" s="216">
        <f>'Industrial Water Use Cals'!D136</f>
        <v>64644.51223</v>
      </c>
      <c r="F53" s="216">
        <f>'Industrial Water Use Cals'!E136</f>
        <v>63488.01643</v>
      </c>
      <c r="G53" s="216">
        <f>'Industrial Water Use Cals'!F136</f>
        <v>59592.00781</v>
      </c>
      <c r="H53" s="216">
        <f>'Industrial Water Use Cals'!G136</f>
        <v>63695.9887</v>
      </c>
      <c r="I53" s="216">
        <f>'Industrial Water Use Cals'!H136</f>
        <v>66022.72314</v>
      </c>
      <c r="J53" s="216">
        <f>'Industrial Water Use Cals'!I136</f>
        <v>69080.62716</v>
      </c>
      <c r="K53" s="216">
        <f>'Industrial Water Use Cals'!J136</f>
        <v>73924.79869</v>
      </c>
      <c r="L53" s="216">
        <f>'Industrial Water Use Cals'!K136</f>
        <v>74404.77159</v>
      </c>
      <c r="M53" s="216">
        <f>'Industrial Water Use Cals'!L136</f>
        <v>68909.47037</v>
      </c>
      <c r="N53" s="216">
        <f>'Industrial Water Use Cals'!M136</f>
        <v>85259.08008</v>
      </c>
      <c r="O53" s="216">
        <f>'Industrial Water Use Cals'!N136</f>
        <v>90861.15312</v>
      </c>
      <c r="P53" s="216">
        <f>'Industrial Water Use Cals'!O136</f>
        <v>94042.46519</v>
      </c>
      <c r="Q53" s="216">
        <f>'Industrial Water Use Cals'!P136</f>
        <v>103979.3607</v>
      </c>
      <c r="R53" s="216">
        <f>'Industrial Water Use Cals'!Q136</f>
        <v>114798.823</v>
      </c>
      <c r="S53" s="216">
        <f>'Industrial Water Use Cals'!R136</f>
        <v>125090.5852</v>
      </c>
      <c r="T53" s="216">
        <f>'Industrial Water Use Cals'!S136</f>
        <v>115582.5174</v>
      </c>
      <c r="U53" s="216">
        <f>'Industrial Water Use Cals'!T136</f>
        <v>139245.2777</v>
      </c>
      <c r="V53" s="216">
        <f>'Industrial Water Use Cals'!U136</f>
        <v>156802.1966</v>
      </c>
      <c r="W53" s="216">
        <f>'Industrial Water Use Cals'!V136</f>
        <v>0</v>
      </c>
      <c r="X53" s="216">
        <f>'Industrial Water Use Cals'!W136</f>
        <v>0</v>
      </c>
      <c r="Y53" s="216">
        <f>'Industrial Water Use Cals'!X136</f>
        <v>0</v>
      </c>
      <c r="Z53" s="216">
        <f>'Industrial Water Use Cals'!Y136</f>
        <v>0</v>
      </c>
      <c r="AA53" s="216">
        <f>'Industrial Water Use Cals'!Z136</f>
        <v>0</v>
      </c>
      <c r="AB53" s="216">
        <f>'Industrial Water Use Cals'!AA136</f>
        <v>0</v>
      </c>
      <c r="AC53" s="216">
        <f>'Industrial Water Use Cals'!AB136</f>
        <v>0</v>
      </c>
      <c r="AD53" s="216">
        <f>'Industrial Water Use Cals'!AC136</f>
        <v>0</v>
      </c>
      <c r="AE53" s="216">
        <f>'Industrial Water Use Cals'!AD136</f>
        <v>0</v>
      </c>
      <c r="AF53" s="216">
        <f>'Industrial Water Use Cals'!AE136</f>
        <v>0</v>
      </c>
      <c r="AG53" s="216">
        <f>'Industrial Water Use Cals'!AF136</f>
        <v>0</v>
      </c>
      <c r="AH53" s="217">
        <f>'Industrial Water Use Cals'!AG136</f>
        <v>0</v>
      </c>
      <c r="AI53" s="24"/>
      <c r="AJ53" s="24"/>
      <c r="AK53" s="24"/>
      <c r="AL53" s="24"/>
      <c r="AM53" s="24"/>
      <c r="AN53" s="24"/>
      <c r="AO53" s="24"/>
      <c r="AP53" s="24"/>
      <c r="AQ53" s="24"/>
      <c r="AR53" s="24"/>
      <c r="AS53" s="24"/>
      <c r="AT53" s="24"/>
      <c r="AU53" s="24"/>
      <c r="AV53" s="24"/>
      <c r="AW53" s="24"/>
      <c r="AX53" s="24"/>
      <c r="AY53" s="24"/>
      <c r="AZ53" s="24"/>
      <c r="BA53" s="24"/>
      <c r="BB53" s="24"/>
    </row>
    <row r="54" ht="14.25" customHeight="1">
      <c r="A54" s="66" t="s">
        <v>11</v>
      </c>
      <c r="B54" s="68" t="s">
        <v>46</v>
      </c>
      <c r="C54" s="70" t="s">
        <v>47</v>
      </c>
      <c r="D54" s="73">
        <f t="shared" ref="D54:AH54" si="13">SUM(D55:D56)</f>
        <v>136070.586</v>
      </c>
      <c r="E54" s="73">
        <f t="shared" si="13"/>
        <v>103828.2053</v>
      </c>
      <c r="F54" s="73">
        <f t="shared" si="13"/>
        <v>123576.5498</v>
      </c>
      <c r="G54" s="73">
        <f t="shared" si="13"/>
        <v>159634.6673</v>
      </c>
      <c r="H54" s="73">
        <f t="shared" si="13"/>
        <v>125798.256</v>
      </c>
      <c r="I54" s="73">
        <f t="shared" si="13"/>
        <v>182218.3988</v>
      </c>
      <c r="J54" s="73">
        <f t="shared" si="13"/>
        <v>77522.5035</v>
      </c>
      <c r="K54" s="73">
        <f t="shared" si="13"/>
        <v>169000.1213</v>
      </c>
      <c r="L54" s="73">
        <f t="shared" si="13"/>
        <v>177481.791</v>
      </c>
      <c r="M54" s="73">
        <f t="shared" si="13"/>
        <v>155279.4233</v>
      </c>
      <c r="N54" s="73">
        <f t="shared" si="13"/>
        <v>197401.5743</v>
      </c>
      <c r="O54" s="73">
        <f t="shared" si="13"/>
        <v>206904.1793</v>
      </c>
      <c r="P54" s="73">
        <f t="shared" si="13"/>
        <v>105070.2615</v>
      </c>
      <c r="Q54" s="73">
        <f t="shared" si="13"/>
        <v>180814.7003</v>
      </c>
      <c r="R54" s="73">
        <f t="shared" si="13"/>
        <v>196632.549</v>
      </c>
      <c r="S54" s="73">
        <f t="shared" si="13"/>
        <v>164828.9115</v>
      </c>
      <c r="T54" s="73">
        <f t="shared" si="13"/>
        <v>177678.4208</v>
      </c>
      <c r="U54" s="73">
        <f t="shared" si="13"/>
        <v>242820.9473</v>
      </c>
      <c r="V54" s="73">
        <f t="shared" si="13"/>
        <v>267222.6293</v>
      </c>
      <c r="W54" s="73" t="str">
        <f t="shared" si="13"/>
        <v>#DIV/0!</v>
      </c>
      <c r="X54" s="73" t="str">
        <f t="shared" si="13"/>
        <v>#DIV/0!</v>
      </c>
      <c r="Y54" s="73" t="str">
        <f t="shared" si="13"/>
        <v>#DIV/0!</v>
      </c>
      <c r="Z54" s="73" t="str">
        <f t="shared" si="13"/>
        <v>#DIV/0!</v>
      </c>
      <c r="AA54" s="73" t="str">
        <f t="shared" si="13"/>
        <v>#DIV/0!</v>
      </c>
      <c r="AB54" s="73" t="str">
        <f t="shared" si="13"/>
        <v>#DIV/0!</v>
      </c>
      <c r="AC54" s="73" t="str">
        <f t="shared" si="13"/>
        <v>#DIV/0!</v>
      </c>
      <c r="AD54" s="73" t="str">
        <f t="shared" si="13"/>
        <v>#DIV/0!</v>
      </c>
      <c r="AE54" s="73" t="str">
        <f t="shared" si="13"/>
        <v>#DIV/0!</v>
      </c>
      <c r="AF54" s="73" t="str">
        <f t="shared" si="13"/>
        <v>#DIV/0!</v>
      </c>
      <c r="AG54" s="73" t="str">
        <f t="shared" si="13"/>
        <v>#DIV/0!</v>
      </c>
      <c r="AH54" s="85" t="str">
        <f t="shared" si="13"/>
        <v>#DIV/0!</v>
      </c>
      <c r="AI54" s="24"/>
      <c r="AJ54" s="24"/>
      <c r="AK54" s="24"/>
      <c r="AL54" s="24"/>
      <c r="AM54" s="24"/>
      <c r="AN54" s="24"/>
      <c r="AO54" s="24"/>
      <c r="AP54" s="24"/>
      <c r="AQ54" s="24"/>
      <c r="AR54" s="24"/>
      <c r="AS54" s="24"/>
      <c r="AT54" s="24"/>
      <c r="AU54" s="24"/>
      <c r="AV54" s="24"/>
      <c r="AW54" s="24"/>
      <c r="AX54" s="24"/>
      <c r="AY54" s="24"/>
      <c r="AZ54" s="24"/>
      <c r="BA54" s="24"/>
      <c r="BB54" s="24"/>
    </row>
    <row r="55" ht="12.75" customHeight="1">
      <c r="A55" s="9"/>
      <c r="B55" s="86"/>
      <c r="C55" s="51" t="s">
        <v>49</v>
      </c>
      <c r="D55" s="87">
        <f>'Agricultural Water Use Calcs'!V129</f>
        <v>135915.3713</v>
      </c>
      <c r="E55" s="87">
        <f>'Agricultural Water Use Calcs'!W129</f>
        <v>103709.7692</v>
      </c>
      <c r="F55" s="87">
        <f>'Agricultural Water Use Calcs'!X129</f>
        <v>123435.5869</v>
      </c>
      <c r="G55" s="87">
        <f>'Agricultural Water Use Calcs'!Y129</f>
        <v>159452.5732</v>
      </c>
      <c r="H55" s="87">
        <f>'Agricultural Water Use Calcs'!Z129</f>
        <v>125654.7589</v>
      </c>
      <c r="I55" s="87">
        <f>'Agricultural Water Use Calcs'!AA129</f>
        <v>182010.5436</v>
      </c>
      <c r="J55" s="87">
        <f>'Agricultural Water Use Calcs'!AB129</f>
        <v>77434.07415</v>
      </c>
      <c r="K55" s="87">
        <f>'Agricultural Water Use Calcs'!AC129</f>
        <v>168807.3441</v>
      </c>
      <c r="L55" s="87">
        <f>'Agricultural Water Use Calcs'!AD129</f>
        <v>177279.3388</v>
      </c>
      <c r="M55" s="87">
        <f>'Agricultural Water Use Calcs'!AE129</f>
        <v>155102.2972</v>
      </c>
      <c r="N55" s="87">
        <f>'Agricultural Water Use Calcs'!AF129</f>
        <v>197176.3997</v>
      </c>
      <c r="O55" s="87">
        <f>'Agricultural Water Use Calcs'!AG129</f>
        <v>206668.1652</v>
      </c>
      <c r="P55" s="87">
        <f>'Agricultural Water Use Calcs'!AH129</f>
        <v>104950.4086</v>
      </c>
      <c r="Q55" s="87">
        <f>'Agricultural Water Use Calcs'!AI129</f>
        <v>180608.4463</v>
      </c>
      <c r="R55" s="87">
        <f>'Agricultural Water Use Calcs'!AJ129</f>
        <v>196408.2517</v>
      </c>
      <c r="S55" s="87">
        <f>'Agricultural Water Use Calcs'!AK129</f>
        <v>164640.8924</v>
      </c>
      <c r="T55" s="87">
        <f>'Agricultural Water Use Calcs'!AL129</f>
        <v>177475.7443</v>
      </c>
      <c r="U55" s="87">
        <f>'Agricultural Water Use Calcs'!AM129</f>
        <v>242543.9632</v>
      </c>
      <c r="V55" s="87">
        <f>'Agricultural Water Use Calcs'!AN129</f>
        <v>266917.8104</v>
      </c>
      <c r="W55" s="87" t="str">
        <f>'Agricultural Water Use Calcs'!AO129</f>
        <v>#DIV/0!</v>
      </c>
      <c r="X55" s="87" t="str">
        <f>'Agricultural Water Use Calcs'!AP129</f>
        <v>#DIV/0!</v>
      </c>
      <c r="Y55" s="87" t="str">
        <f>'Agricultural Water Use Calcs'!AQ129</f>
        <v>#DIV/0!</v>
      </c>
      <c r="Z55" s="87" t="str">
        <f>'Agricultural Water Use Calcs'!AR129</f>
        <v>#DIV/0!</v>
      </c>
      <c r="AA55" s="87" t="str">
        <f>'Agricultural Water Use Calcs'!AS129</f>
        <v>#DIV/0!</v>
      </c>
      <c r="AB55" s="87" t="str">
        <f>'Agricultural Water Use Calcs'!AT129</f>
        <v>#DIV/0!</v>
      </c>
      <c r="AC55" s="87" t="str">
        <f>'Agricultural Water Use Calcs'!AU129</f>
        <v>#DIV/0!</v>
      </c>
      <c r="AD55" s="87" t="str">
        <f>'Agricultural Water Use Calcs'!AV129</f>
        <v>#DIV/0!</v>
      </c>
      <c r="AE55" s="87" t="str">
        <f>'Agricultural Water Use Calcs'!AW129</f>
        <v>#DIV/0!</v>
      </c>
      <c r="AF55" s="87" t="str">
        <f>'Agricultural Water Use Calcs'!AX129</f>
        <v>#DIV/0!</v>
      </c>
      <c r="AG55" s="87" t="str">
        <f>'Agricultural Water Use Calcs'!AY129</f>
        <v>#DIV/0!</v>
      </c>
      <c r="AH55" s="90" t="str">
        <f>'Agricultural Water Use Calcs'!AZ129</f>
        <v>#DIV/0!</v>
      </c>
      <c r="AI55" s="24"/>
      <c r="AJ55" s="24"/>
      <c r="AK55" s="24"/>
      <c r="AL55" s="24"/>
      <c r="AM55" s="24"/>
      <c r="AN55" s="24"/>
      <c r="AO55" s="24"/>
      <c r="AP55" s="24"/>
      <c r="AQ55" s="24"/>
      <c r="AR55" s="24"/>
      <c r="AS55" s="24"/>
      <c r="AT55" s="24"/>
      <c r="AU55" s="24"/>
      <c r="AV55" s="24"/>
      <c r="AW55" s="24"/>
      <c r="AX55" s="24"/>
      <c r="AY55" s="24"/>
      <c r="AZ55" s="24"/>
      <c r="BA55" s="24"/>
      <c r="BB55" s="24"/>
    </row>
    <row r="56" ht="12.75" customHeight="1">
      <c r="A56" s="9"/>
      <c r="B56" s="92"/>
      <c r="C56" s="51" t="s">
        <v>48</v>
      </c>
      <c r="D56" s="87">
        <f>'Agricultural Water Use Calcs'!V130</f>
        <v>155.2147161</v>
      </c>
      <c r="E56" s="87">
        <f>'Agricultural Water Use Calcs'!W130</f>
        <v>118.4360696</v>
      </c>
      <c r="F56" s="87">
        <f>'Agricultural Water Use Calcs'!X130</f>
        <v>140.9628609</v>
      </c>
      <c r="G56" s="87">
        <f>'Agricultural Water Use Calcs'!Y130</f>
        <v>182.0940901</v>
      </c>
      <c r="H56" s="87">
        <f>'Agricultural Water Use Calcs'!Z130</f>
        <v>143.4971448</v>
      </c>
      <c r="I56" s="87">
        <f>'Agricultural Water Use Calcs'!AA130</f>
        <v>207.8551865</v>
      </c>
      <c r="J56" s="87">
        <f>'Agricultural Water Use Calcs'!AB130</f>
        <v>88.42934923</v>
      </c>
      <c r="K56" s="87">
        <f>'Agricultural Water Use Calcs'!AC130</f>
        <v>192.7771946</v>
      </c>
      <c r="L56" s="87">
        <f>'Agricultural Water Use Calcs'!AD130</f>
        <v>202.4521729</v>
      </c>
      <c r="M56" s="87">
        <f>'Agricultural Water Use Calcs'!AE130</f>
        <v>177.1260954</v>
      </c>
      <c r="N56" s="87">
        <f>'Agricultural Water Use Calcs'!AF130</f>
        <v>225.174523</v>
      </c>
      <c r="O56" s="87">
        <f>'Agricultural Water Use Calcs'!AG130</f>
        <v>236.0140746</v>
      </c>
      <c r="P56" s="87">
        <f>'Agricultural Water Use Calcs'!AH130</f>
        <v>119.852874</v>
      </c>
      <c r="Q56" s="87">
        <f>'Agricultural Water Use Calcs'!AI130</f>
        <v>206.2539979</v>
      </c>
      <c r="R56" s="87">
        <f>'Agricultural Water Use Calcs'!AJ130</f>
        <v>224.2973016</v>
      </c>
      <c r="S56" s="87">
        <f>'Agricultural Water Use Calcs'!AK130</f>
        <v>188.0191263</v>
      </c>
      <c r="T56" s="87">
        <f>'Agricultural Water Use Calcs'!AL130</f>
        <v>202.676467</v>
      </c>
      <c r="U56" s="87">
        <f>'Agricultural Water Use Calcs'!AM130</f>
        <v>276.9840675</v>
      </c>
      <c r="V56" s="87">
        <f>'Agricultural Water Use Calcs'!AN130</f>
        <v>304.8188866</v>
      </c>
      <c r="W56" s="87" t="str">
        <f>'Agricultural Water Use Calcs'!AO130</f>
        <v>#DIV/0!</v>
      </c>
      <c r="X56" s="87" t="str">
        <f>'Agricultural Water Use Calcs'!AP130</f>
        <v>#DIV/0!</v>
      </c>
      <c r="Y56" s="87" t="str">
        <f>'Agricultural Water Use Calcs'!AQ130</f>
        <v>#DIV/0!</v>
      </c>
      <c r="Z56" s="87" t="str">
        <f>'Agricultural Water Use Calcs'!AR130</f>
        <v>#DIV/0!</v>
      </c>
      <c r="AA56" s="87" t="str">
        <f>'Agricultural Water Use Calcs'!AS130</f>
        <v>#DIV/0!</v>
      </c>
      <c r="AB56" s="87" t="str">
        <f>'Agricultural Water Use Calcs'!AT130</f>
        <v>#DIV/0!</v>
      </c>
      <c r="AC56" s="87" t="str">
        <f>'Agricultural Water Use Calcs'!AU130</f>
        <v>#DIV/0!</v>
      </c>
      <c r="AD56" s="87" t="str">
        <f>'Agricultural Water Use Calcs'!AV130</f>
        <v>#DIV/0!</v>
      </c>
      <c r="AE56" s="87" t="str">
        <f>'Agricultural Water Use Calcs'!AW130</f>
        <v>#DIV/0!</v>
      </c>
      <c r="AF56" s="87" t="str">
        <f>'Agricultural Water Use Calcs'!AX130</f>
        <v>#DIV/0!</v>
      </c>
      <c r="AG56" s="87" t="str">
        <f>'Agricultural Water Use Calcs'!AY130</f>
        <v>#DIV/0!</v>
      </c>
      <c r="AH56" s="90" t="str">
        <f>'Agricultural Water Use Calcs'!AZ130</f>
        <v>#DIV/0!</v>
      </c>
      <c r="AI56" s="24"/>
      <c r="AJ56" s="24"/>
      <c r="AK56" s="24"/>
      <c r="AL56" s="24"/>
      <c r="AM56" s="24"/>
      <c r="AN56" s="24"/>
      <c r="AO56" s="24"/>
      <c r="AP56" s="24"/>
      <c r="AQ56" s="24"/>
      <c r="AR56" s="24"/>
      <c r="AS56" s="24"/>
      <c r="AT56" s="24"/>
      <c r="AU56" s="24"/>
      <c r="AV56" s="24"/>
      <c r="AW56" s="24"/>
      <c r="AX56" s="24"/>
      <c r="AY56" s="24"/>
      <c r="AZ56" s="24"/>
      <c r="BA56" s="24"/>
      <c r="BB56" s="24"/>
    </row>
    <row r="57" ht="12.75" customHeight="1">
      <c r="A57" s="9"/>
      <c r="B57" s="111" t="s">
        <v>60</v>
      </c>
      <c r="C57" s="112" t="s">
        <v>47</v>
      </c>
      <c r="D57" s="114">
        <f t="shared" ref="D57:AH57" si="14">SUM(D58:D59)</f>
        <v>3407.663319</v>
      </c>
      <c r="E57" s="114">
        <f t="shared" si="14"/>
        <v>3414.468568</v>
      </c>
      <c r="F57" s="114">
        <f t="shared" si="14"/>
        <v>3452.618019</v>
      </c>
      <c r="G57" s="114">
        <f t="shared" si="14"/>
        <v>3471.904486</v>
      </c>
      <c r="H57" s="114">
        <f t="shared" si="14"/>
        <v>3476.319778</v>
      </c>
      <c r="I57" s="114">
        <f t="shared" si="14"/>
        <v>3599.414035</v>
      </c>
      <c r="J57" s="114">
        <f t="shared" si="14"/>
        <v>3643.170485</v>
      </c>
      <c r="K57" s="114">
        <f t="shared" si="14"/>
        <v>3721.297849</v>
      </c>
      <c r="L57" s="114">
        <f t="shared" si="14"/>
        <v>3814.161844</v>
      </c>
      <c r="M57" s="114">
        <f t="shared" si="14"/>
        <v>3878.418667</v>
      </c>
      <c r="N57" s="114">
        <f t="shared" si="14"/>
        <v>3888.571623</v>
      </c>
      <c r="O57" s="114">
        <f t="shared" si="14"/>
        <v>3905.668387</v>
      </c>
      <c r="P57" s="114">
        <f t="shared" si="14"/>
        <v>3933.852492</v>
      </c>
      <c r="Q57" s="114">
        <f t="shared" si="14"/>
        <v>3959.847199</v>
      </c>
      <c r="R57" s="114">
        <f t="shared" si="14"/>
        <v>3967.868631</v>
      </c>
      <c r="S57" s="114">
        <f t="shared" si="14"/>
        <v>3976.35393</v>
      </c>
      <c r="T57" s="114">
        <f t="shared" si="14"/>
        <v>3975.992504</v>
      </c>
      <c r="U57" s="114">
        <f t="shared" si="14"/>
        <v>3981.578858</v>
      </c>
      <c r="V57" s="114">
        <f t="shared" si="14"/>
        <v>3990.596317</v>
      </c>
      <c r="W57" s="114">
        <f t="shared" si="14"/>
        <v>0</v>
      </c>
      <c r="X57" s="114">
        <f t="shared" si="14"/>
        <v>0</v>
      </c>
      <c r="Y57" s="114">
        <f t="shared" si="14"/>
        <v>0</v>
      </c>
      <c r="Z57" s="114">
        <f t="shared" si="14"/>
        <v>0</v>
      </c>
      <c r="AA57" s="114">
        <f t="shared" si="14"/>
        <v>0</v>
      </c>
      <c r="AB57" s="114">
        <f t="shared" si="14"/>
        <v>0</v>
      </c>
      <c r="AC57" s="114">
        <f t="shared" si="14"/>
        <v>0</v>
      </c>
      <c r="AD57" s="114">
        <f t="shared" si="14"/>
        <v>0</v>
      </c>
      <c r="AE57" s="114">
        <f t="shared" si="14"/>
        <v>0</v>
      </c>
      <c r="AF57" s="114">
        <f t="shared" si="14"/>
        <v>0</v>
      </c>
      <c r="AG57" s="114">
        <f t="shared" si="14"/>
        <v>0</v>
      </c>
      <c r="AH57" s="128">
        <f t="shared" si="14"/>
        <v>0</v>
      </c>
      <c r="AI57" s="24"/>
      <c r="AJ57" s="24"/>
      <c r="AK57" s="24"/>
      <c r="AL57" s="24"/>
      <c r="AM57" s="24"/>
      <c r="AN57" s="24"/>
      <c r="AO57" s="24"/>
      <c r="AP57" s="24"/>
      <c r="AQ57" s="24"/>
      <c r="AR57" s="24"/>
      <c r="AS57" s="24"/>
      <c r="AT57" s="24"/>
      <c r="AU57" s="24"/>
      <c r="AV57" s="24"/>
      <c r="AW57" s="24"/>
      <c r="AX57" s="24"/>
      <c r="AY57" s="24"/>
      <c r="AZ57" s="24"/>
      <c r="BA57" s="24"/>
      <c r="BB57" s="24"/>
    </row>
    <row r="58" ht="12.75" customHeight="1">
      <c r="A58" s="9"/>
      <c r="B58" s="86"/>
      <c r="C58" s="51" t="s">
        <v>49</v>
      </c>
      <c r="D58" s="87">
        <f>'Muni &amp; Domestic Water Use Calcs'!C314</f>
        <v>3092.11879</v>
      </c>
      <c r="E58" s="87">
        <f>'Muni &amp; Domestic Water Use Calcs'!D314</f>
        <v>3098.047528</v>
      </c>
      <c r="F58" s="87">
        <f>'Muni &amp; Domestic Water Use Calcs'!E314</f>
        <v>3130.937903</v>
      </c>
      <c r="G58" s="87">
        <f>'Muni &amp; Domestic Water Use Calcs'!F314</f>
        <v>3147.594832</v>
      </c>
      <c r="H58" s="87">
        <f>'Muni &amp; Domestic Water Use Calcs'!G314</f>
        <v>3151.133612</v>
      </c>
      <c r="I58" s="87">
        <f>'Muni &amp; Domestic Water Use Calcs'!H314</f>
        <v>3271.598331</v>
      </c>
      <c r="J58" s="87">
        <f>'Muni &amp; Domestic Water Use Calcs'!I314</f>
        <v>3311.848731</v>
      </c>
      <c r="K58" s="87">
        <f>'Muni &amp; Domestic Water Use Calcs'!J314</f>
        <v>3379.457943</v>
      </c>
      <c r="L58" s="87">
        <f>'Muni &amp; Domestic Water Use Calcs'!K314</f>
        <v>3462.6803</v>
      </c>
      <c r="M58" s="87">
        <f>'Muni &amp; Domestic Water Use Calcs'!L314</f>
        <v>3522.55456</v>
      </c>
      <c r="N58" s="87">
        <f>'Muni &amp; Domestic Water Use Calcs'!M314</f>
        <v>3533.584029</v>
      </c>
      <c r="O58" s="87">
        <f>'Muni &amp; Domestic Water Use Calcs'!N314</f>
        <v>3548.051255</v>
      </c>
      <c r="P58" s="87">
        <f>'Muni &amp; Domestic Water Use Calcs'!O314</f>
        <v>3577.988385</v>
      </c>
      <c r="Q58" s="87">
        <f>'Muni &amp; Domestic Water Use Calcs'!P314</f>
        <v>3600.477043</v>
      </c>
      <c r="R58" s="87">
        <f>'Muni &amp; Domestic Water Use Calcs'!Q314</f>
        <v>3608.498475</v>
      </c>
      <c r="S58" s="87">
        <f>'Muni &amp; Domestic Water Use Calcs'!R314</f>
        <v>3615.230748</v>
      </c>
      <c r="T58" s="87">
        <f>'Muni &amp; Domestic Water Use Calcs'!S314</f>
        <v>3611.363272</v>
      </c>
      <c r="U58" s="87">
        <f>'Muni &amp; Domestic Water Use Calcs'!T314</f>
        <v>3616.949626</v>
      </c>
      <c r="V58" s="87">
        <f>'Muni &amp; Domestic Water Use Calcs'!U314</f>
        <v>3618.954984</v>
      </c>
      <c r="W58" s="87">
        <f>'Muni &amp; Domestic Water Use Calcs'!V314</f>
        <v>0</v>
      </c>
      <c r="X58" s="87">
        <f>'Muni &amp; Domestic Water Use Calcs'!W314</f>
        <v>0</v>
      </c>
      <c r="Y58" s="87">
        <f>'Muni &amp; Domestic Water Use Calcs'!X314</f>
        <v>0</v>
      </c>
      <c r="Z58" s="87">
        <f>'Muni &amp; Domestic Water Use Calcs'!Y314</f>
        <v>0</v>
      </c>
      <c r="AA58" s="87">
        <f>'Muni &amp; Domestic Water Use Calcs'!Z314</f>
        <v>0</v>
      </c>
      <c r="AB58" s="87">
        <f>'Muni &amp; Domestic Water Use Calcs'!AA314</f>
        <v>0</v>
      </c>
      <c r="AC58" s="87">
        <f>'Muni &amp; Domestic Water Use Calcs'!AB314</f>
        <v>0</v>
      </c>
      <c r="AD58" s="87">
        <f>'Muni &amp; Domestic Water Use Calcs'!AC314</f>
        <v>0</v>
      </c>
      <c r="AE58" s="87">
        <f>'Muni &amp; Domestic Water Use Calcs'!AD314</f>
        <v>0</v>
      </c>
      <c r="AF58" s="87">
        <f>'Muni &amp; Domestic Water Use Calcs'!AE314</f>
        <v>0</v>
      </c>
      <c r="AG58" s="87">
        <f>'Muni &amp; Domestic Water Use Calcs'!AF314</f>
        <v>0</v>
      </c>
      <c r="AH58" s="90">
        <f>'Muni &amp; Domestic Water Use Calcs'!AG314</f>
        <v>0</v>
      </c>
      <c r="AI58" s="24"/>
      <c r="AJ58" s="24"/>
      <c r="AK58" s="24"/>
      <c r="AL58" s="24"/>
      <c r="AM58" s="24"/>
      <c r="AN58" s="24"/>
      <c r="AO58" s="24"/>
      <c r="AP58" s="24"/>
      <c r="AQ58" s="24"/>
      <c r="AR58" s="24"/>
      <c r="AS58" s="24"/>
      <c r="AT58" s="24"/>
      <c r="AU58" s="24"/>
      <c r="AV58" s="24"/>
      <c r="AW58" s="24"/>
      <c r="AX58" s="24"/>
      <c r="AY58" s="24"/>
      <c r="AZ58" s="24"/>
      <c r="BA58" s="24"/>
      <c r="BB58" s="24"/>
    </row>
    <row r="59" ht="12.75" customHeight="1">
      <c r="A59" s="9"/>
      <c r="B59" s="92"/>
      <c r="C59" s="51" t="s">
        <v>48</v>
      </c>
      <c r="D59" s="87">
        <f>'Muni &amp; Domestic Water Use Calcs'!C313</f>
        <v>315.544528</v>
      </c>
      <c r="E59" s="87">
        <f>'Muni &amp; Domestic Water Use Calcs'!D313</f>
        <v>316.4210406</v>
      </c>
      <c r="F59" s="87">
        <f>'Muni &amp; Domestic Water Use Calcs'!E313</f>
        <v>321.6801161</v>
      </c>
      <c r="G59" s="87">
        <f>'Muni &amp; Domestic Water Use Calcs'!F313</f>
        <v>324.3096538</v>
      </c>
      <c r="H59" s="87">
        <f>'Muni &amp; Domestic Water Use Calcs'!G313</f>
        <v>325.1861664</v>
      </c>
      <c r="I59" s="87">
        <f>'Muni &amp; Domestic Water Use Calcs'!H313</f>
        <v>327.8157041</v>
      </c>
      <c r="J59" s="87">
        <f>'Muni &amp; Domestic Water Use Calcs'!I313</f>
        <v>331.3217544</v>
      </c>
      <c r="K59" s="87">
        <f>'Muni &amp; Domestic Water Use Calcs'!J313</f>
        <v>341.8399054</v>
      </c>
      <c r="L59" s="87">
        <f>'Muni &amp; Domestic Water Use Calcs'!K313</f>
        <v>351.4815437</v>
      </c>
      <c r="M59" s="87">
        <f>'Muni &amp; Domestic Water Use Calcs'!L313</f>
        <v>355.8641066</v>
      </c>
      <c r="N59" s="87">
        <f>'Muni &amp; Domestic Water Use Calcs'!M313</f>
        <v>354.987594</v>
      </c>
      <c r="O59" s="87">
        <f>'Muni &amp; Domestic Water Use Calcs'!N313</f>
        <v>357.6171318</v>
      </c>
      <c r="P59" s="87">
        <f>'Muni &amp; Domestic Water Use Calcs'!O313</f>
        <v>355.8641066</v>
      </c>
      <c r="Q59" s="87">
        <f>'Muni &amp; Domestic Water Use Calcs'!P313</f>
        <v>359.3701569</v>
      </c>
      <c r="R59" s="87">
        <f>'Muni &amp; Domestic Water Use Calcs'!Q313</f>
        <v>359.3701569</v>
      </c>
      <c r="S59" s="87">
        <f>'Muni &amp; Domestic Water Use Calcs'!R313</f>
        <v>361.1231821</v>
      </c>
      <c r="T59" s="87">
        <f>'Muni &amp; Domestic Water Use Calcs'!S313</f>
        <v>364.6292324</v>
      </c>
      <c r="U59" s="87">
        <f>'Muni &amp; Domestic Water Use Calcs'!T313</f>
        <v>364.6292324</v>
      </c>
      <c r="V59" s="87">
        <f>'Muni &amp; Domestic Water Use Calcs'!U313</f>
        <v>371.641333</v>
      </c>
      <c r="W59" s="87">
        <f>'Muni &amp; Domestic Water Use Calcs'!V313</f>
        <v>0</v>
      </c>
      <c r="X59" s="87">
        <f>'Muni &amp; Domestic Water Use Calcs'!W313</f>
        <v>0</v>
      </c>
      <c r="Y59" s="87">
        <f>'Muni &amp; Domestic Water Use Calcs'!X313</f>
        <v>0</v>
      </c>
      <c r="Z59" s="87">
        <f>'Muni &amp; Domestic Water Use Calcs'!Y313</f>
        <v>0</v>
      </c>
      <c r="AA59" s="87">
        <f>'Muni &amp; Domestic Water Use Calcs'!Z313</f>
        <v>0</v>
      </c>
      <c r="AB59" s="87">
        <f>'Muni &amp; Domestic Water Use Calcs'!AA313</f>
        <v>0</v>
      </c>
      <c r="AC59" s="87">
        <f>'Muni &amp; Domestic Water Use Calcs'!AB313</f>
        <v>0</v>
      </c>
      <c r="AD59" s="87">
        <f>'Muni &amp; Domestic Water Use Calcs'!AC313</f>
        <v>0</v>
      </c>
      <c r="AE59" s="87">
        <f>'Muni &amp; Domestic Water Use Calcs'!AD313</f>
        <v>0</v>
      </c>
      <c r="AF59" s="87">
        <f>'Muni &amp; Domestic Water Use Calcs'!AE313</f>
        <v>0</v>
      </c>
      <c r="AG59" s="87">
        <f>'Muni &amp; Domestic Water Use Calcs'!AF313</f>
        <v>0</v>
      </c>
      <c r="AH59" s="90">
        <f>'Muni &amp; Domestic Water Use Calcs'!AG313</f>
        <v>0</v>
      </c>
      <c r="AI59" s="24"/>
      <c r="AJ59" s="24"/>
      <c r="AK59" s="24"/>
      <c r="AL59" s="24"/>
      <c r="AM59" s="24"/>
      <c r="AN59" s="24"/>
      <c r="AO59" s="24"/>
      <c r="AP59" s="24"/>
      <c r="AQ59" s="24"/>
      <c r="AR59" s="24"/>
      <c r="AS59" s="24"/>
      <c r="AT59" s="24"/>
      <c r="AU59" s="24"/>
      <c r="AV59" s="24"/>
      <c r="AW59" s="24"/>
      <c r="AX59" s="24"/>
      <c r="AY59" s="24"/>
      <c r="AZ59" s="24"/>
      <c r="BA59" s="24"/>
      <c r="BB59" s="24"/>
    </row>
    <row r="60" ht="12.75" customHeight="1">
      <c r="A60" s="9"/>
      <c r="B60" s="161" t="s">
        <v>72</v>
      </c>
      <c r="C60" s="162" t="s">
        <v>47</v>
      </c>
      <c r="D60" s="167">
        <f t="shared" ref="D60:AH60" si="15">SUM(D61:D62)</f>
        <v>3348.166033</v>
      </c>
      <c r="E60" s="167">
        <f t="shared" si="15"/>
        <v>3354.525175</v>
      </c>
      <c r="F60" s="167">
        <f t="shared" si="15"/>
        <v>3390.353514</v>
      </c>
      <c r="G60" s="167">
        <f t="shared" si="15"/>
        <v>3408.345234</v>
      </c>
      <c r="H60" s="167">
        <f t="shared" si="15"/>
        <v>3412.067659</v>
      </c>
      <c r="I60" s="167">
        <f t="shared" si="15"/>
        <v>3542.507629</v>
      </c>
      <c r="J60" s="167">
        <f t="shared" si="15"/>
        <v>3586.09102</v>
      </c>
      <c r="K60" s="167">
        <f t="shared" si="15"/>
        <v>3659.298708</v>
      </c>
      <c r="L60" s="167">
        <f t="shared" si="15"/>
        <v>3749.412409</v>
      </c>
      <c r="M60" s="167">
        <f t="shared" si="15"/>
        <v>3814.244642</v>
      </c>
      <c r="N60" s="167">
        <f t="shared" si="15"/>
        <v>3826.187421</v>
      </c>
      <c r="O60" s="167">
        <f t="shared" si="15"/>
        <v>3841.852626</v>
      </c>
      <c r="P60" s="167">
        <f t="shared" si="15"/>
        <v>3874.268742</v>
      </c>
      <c r="Q60" s="167">
        <f t="shared" si="15"/>
        <v>3898.619605</v>
      </c>
      <c r="R60" s="167">
        <f t="shared" si="15"/>
        <v>3907.305263</v>
      </c>
      <c r="S60" s="167">
        <f t="shared" si="15"/>
        <v>3914.595011</v>
      </c>
      <c r="T60" s="167">
        <f t="shared" si="15"/>
        <v>3910.407283</v>
      </c>
      <c r="U60" s="167">
        <f t="shared" si="15"/>
        <v>3916.456224</v>
      </c>
      <c r="V60" s="167">
        <f t="shared" si="15"/>
        <v>3918.627638</v>
      </c>
      <c r="W60" s="167">
        <f t="shared" si="15"/>
        <v>0</v>
      </c>
      <c r="X60" s="167">
        <f t="shared" si="15"/>
        <v>0</v>
      </c>
      <c r="Y60" s="167">
        <f t="shared" si="15"/>
        <v>0</v>
      </c>
      <c r="Z60" s="167">
        <f t="shared" si="15"/>
        <v>0</v>
      </c>
      <c r="AA60" s="167">
        <f t="shared" si="15"/>
        <v>0</v>
      </c>
      <c r="AB60" s="167">
        <f t="shared" si="15"/>
        <v>0</v>
      </c>
      <c r="AC60" s="167">
        <f t="shared" si="15"/>
        <v>0</v>
      </c>
      <c r="AD60" s="167">
        <f t="shared" si="15"/>
        <v>0</v>
      </c>
      <c r="AE60" s="167">
        <f t="shared" si="15"/>
        <v>0</v>
      </c>
      <c r="AF60" s="167">
        <f t="shared" si="15"/>
        <v>0</v>
      </c>
      <c r="AG60" s="167">
        <f t="shared" si="15"/>
        <v>0</v>
      </c>
      <c r="AH60" s="174">
        <f t="shared" si="15"/>
        <v>0</v>
      </c>
      <c r="AI60" s="24"/>
      <c r="AJ60" s="24"/>
      <c r="AK60" s="24"/>
      <c r="AL60" s="24"/>
      <c r="AM60" s="24"/>
      <c r="AN60" s="24"/>
      <c r="AO60" s="24"/>
      <c r="AP60" s="24"/>
      <c r="AQ60" s="24"/>
      <c r="AR60" s="24"/>
      <c r="AS60" s="24"/>
      <c r="AT60" s="24"/>
      <c r="AU60" s="24"/>
      <c r="AV60" s="24"/>
      <c r="AW60" s="24"/>
      <c r="AX60" s="24"/>
      <c r="AY60" s="24"/>
      <c r="AZ60" s="24"/>
      <c r="BA60" s="24"/>
      <c r="BB60" s="24"/>
    </row>
    <row r="61" ht="12.75" customHeight="1">
      <c r="A61" s="9"/>
      <c r="B61" s="86"/>
      <c r="C61" s="51" t="s">
        <v>49</v>
      </c>
      <c r="D61" s="87">
        <f>'Muni &amp; Domestic Water Use Calcs'!C322</f>
        <v>0</v>
      </c>
      <c r="E61" s="87">
        <f>'Muni &amp; Domestic Water Use Calcs'!D322</f>
        <v>0</v>
      </c>
      <c r="F61" s="87">
        <f>'Muni &amp; Domestic Water Use Calcs'!E322</f>
        <v>0</v>
      </c>
      <c r="G61" s="87">
        <f>'Muni &amp; Domestic Water Use Calcs'!F322</f>
        <v>0</v>
      </c>
      <c r="H61" s="87">
        <f>'Muni &amp; Domestic Water Use Calcs'!G322</f>
        <v>0</v>
      </c>
      <c r="I61" s="87">
        <f>'Muni &amp; Domestic Water Use Calcs'!H322</f>
        <v>0</v>
      </c>
      <c r="J61" s="87">
        <f>'Muni &amp; Domestic Water Use Calcs'!I322</f>
        <v>0</v>
      </c>
      <c r="K61" s="87">
        <f>'Muni &amp; Domestic Water Use Calcs'!J322</f>
        <v>0</v>
      </c>
      <c r="L61" s="87">
        <f>'Muni &amp; Domestic Water Use Calcs'!K322</f>
        <v>0</v>
      </c>
      <c r="M61" s="87">
        <f>'Muni &amp; Domestic Water Use Calcs'!L322</f>
        <v>0</v>
      </c>
      <c r="N61" s="87">
        <f>'Muni &amp; Domestic Water Use Calcs'!M322</f>
        <v>0</v>
      </c>
      <c r="O61" s="87">
        <f>'Muni &amp; Domestic Water Use Calcs'!N322</f>
        <v>0</v>
      </c>
      <c r="P61" s="87">
        <f>'Muni &amp; Domestic Water Use Calcs'!O322</f>
        <v>0</v>
      </c>
      <c r="Q61" s="87">
        <f>'Muni &amp; Domestic Water Use Calcs'!P322</f>
        <v>0</v>
      </c>
      <c r="R61" s="87">
        <f>'Muni &amp; Domestic Water Use Calcs'!Q322</f>
        <v>0</v>
      </c>
      <c r="S61" s="87">
        <f>'Muni &amp; Domestic Water Use Calcs'!R322</f>
        <v>0</v>
      </c>
      <c r="T61" s="87">
        <f>'Muni &amp; Domestic Water Use Calcs'!S322</f>
        <v>0</v>
      </c>
      <c r="U61" s="87">
        <f>'Muni &amp; Domestic Water Use Calcs'!T322</f>
        <v>0</v>
      </c>
      <c r="V61" s="87">
        <f>'Muni &amp; Domestic Water Use Calcs'!U322</f>
        <v>0</v>
      </c>
      <c r="W61" s="87">
        <f>'Muni &amp; Domestic Water Use Calcs'!V322</f>
        <v>0</v>
      </c>
      <c r="X61" s="87">
        <f>'Muni &amp; Domestic Water Use Calcs'!W322</f>
        <v>0</v>
      </c>
      <c r="Y61" s="87">
        <f>'Muni &amp; Domestic Water Use Calcs'!X322</f>
        <v>0</v>
      </c>
      <c r="Z61" s="87">
        <f>'Muni &amp; Domestic Water Use Calcs'!Y322</f>
        <v>0</v>
      </c>
      <c r="AA61" s="87">
        <f>'Muni &amp; Domestic Water Use Calcs'!Z322</f>
        <v>0</v>
      </c>
      <c r="AB61" s="87">
        <f>'Muni &amp; Domestic Water Use Calcs'!AA322</f>
        <v>0</v>
      </c>
      <c r="AC61" s="87">
        <f>'Muni &amp; Domestic Water Use Calcs'!AB322</f>
        <v>0</v>
      </c>
      <c r="AD61" s="87">
        <f>'Muni &amp; Domestic Water Use Calcs'!AC322</f>
        <v>0</v>
      </c>
      <c r="AE61" s="87">
        <f>'Muni &amp; Domestic Water Use Calcs'!AD322</f>
        <v>0</v>
      </c>
      <c r="AF61" s="87">
        <f>'Muni &amp; Domestic Water Use Calcs'!AE322</f>
        <v>0</v>
      </c>
      <c r="AG61" s="87">
        <f>'Muni &amp; Domestic Water Use Calcs'!AF322</f>
        <v>0</v>
      </c>
      <c r="AH61" s="90">
        <f>'Muni &amp; Domestic Water Use Calcs'!AG322</f>
        <v>0</v>
      </c>
      <c r="AI61" s="87"/>
      <c r="AJ61" s="87"/>
      <c r="AK61" s="87"/>
      <c r="AL61" s="87"/>
      <c r="AM61" s="87"/>
      <c r="AN61" s="87"/>
      <c r="AO61" s="87"/>
      <c r="AP61" s="87"/>
      <c r="AQ61" s="87"/>
      <c r="AR61" s="87"/>
      <c r="AS61" s="87"/>
      <c r="AT61" s="87"/>
      <c r="AU61" s="87"/>
      <c r="AV61" s="87"/>
      <c r="AW61" s="87"/>
      <c r="AX61" s="87"/>
      <c r="AY61" s="87"/>
      <c r="AZ61" s="87"/>
      <c r="BA61" s="87"/>
      <c r="BB61" s="87"/>
    </row>
    <row r="62" ht="12.75" customHeight="1">
      <c r="A62" s="9"/>
      <c r="B62" s="191"/>
      <c r="C62" s="58" t="s">
        <v>48</v>
      </c>
      <c r="D62" s="193">
        <f>AVERAGE('Muni &amp; Domestic Water Use Calcs'!C323:C324)</f>
        <v>3348.166033</v>
      </c>
      <c r="E62" s="193">
        <f>AVERAGE('Muni &amp; Domestic Water Use Calcs'!D323:D324)</f>
        <v>3354.525175</v>
      </c>
      <c r="F62" s="193">
        <f>AVERAGE('Muni &amp; Domestic Water Use Calcs'!E323:E324)</f>
        <v>3390.353514</v>
      </c>
      <c r="G62" s="193">
        <f>AVERAGE('Muni &amp; Domestic Water Use Calcs'!F323:F324)</f>
        <v>3408.345234</v>
      </c>
      <c r="H62" s="193">
        <f>AVERAGE('Muni &amp; Domestic Water Use Calcs'!G323:G324)</f>
        <v>3412.067659</v>
      </c>
      <c r="I62" s="193">
        <f>AVERAGE('Muni &amp; Domestic Water Use Calcs'!H323:H324)</f>
        <v>3542.507629</v>
      </c>
      <c r="J62" s="193">
        <f>AVERAGE('Muni &amp; Domestic Water Use Calcs'!I323:I324)</f>
        <v>3586.09102</v>
      </c>
      <c r="K62" s="193">
        <f>AVERAGE('Muni &amp; Domestic Water Use Calcs'!J323:J324)</f>
        <v>3659.298708</v>
      </c>
      <c r="L62" s="193">
        <f>AVERAGE('Muni &amp; Domestic Water Use Calcs'!K323:K324)</f>
        <v>3749.412409</v>
      </c>
      <c r="M62" s="193">
        <f>AVERAGE('Muni &amp; Domestic Water Use Calcs'!L323:L324)</f>
        <v>3814.244642</v>
      </c>
      <c r="N62" s="193">
        <f>AVERAGE('Muni &amp; Domestic Water Use Calcs'!M323:M324)</f>
        <v>3826.187421</v>
      </c>
      <c r="O62" s="193">
        <f>AVERAGE('Muni &amp; Domestic Water Use Calcs'!N323:N324)</f>
        <v>3841.852626</v>
      </c>
      <c r="P62" s="193">
        <f>AVERAGE('Muni &amp; Domestic Water Use Calcs'!O323:O324)</f>
        <v>3874.268742</v>
      </c>
      <c r="Q62" s="193">
        <f>AVERAGE('Muni &amp; Domestic Water Use Calcs'!P323:P324)</f>
        <v>3898.619605</v>
      </c>
      <c r="R62" s="193">
        <f>AVERAGE('Muni &amp; Domestic Water Use Calcs'!Q323:Q324)</f>
        <v>3907.305263</v>
      </c>
      <c r="S62" s="193">
        <f>AVERAGE('Muni &amp; Domestic Water Use Calcs'!R323:R324)</f>
        <v>3914.595011</v>
      </c>
      <c r="T62" s="193">
        <f>AVERAGE('Muni &amp; Domestic Water Use Calcs'!S323:S324)</f>
        <v>3910.407283</v>
      </c>
      <c r="U62" s="193">
        <f>AVERAGE('Muni &amp; Domestic Water Use Calcs'!T323:T324)</f>
        <v>3916.456224</v>
      </c>
      <c r="V62" s="193">
        <f>AVERAGE('Muni &amp; Domestic Water Use Calcs'!U323:U324)</f>
        <v>3918.627638</v>
      </c>
      <c r="W62" s="193">
        <f>AVERAGE('Muni &amp; Domestic Water Use Calcs'!V323:V324)</f>
        <v>0</v>
      </c>
      <c r="X62" s="193">
        <f>AVERAGE('Muni &amp; Domestic Water Use Calcs'!W323:W324)</f>
        <v>0</v>
      </c>
      <c r="Y62" s="193">
        <f>AVERAGE('Muni &amp; Domestic Water Use Calcs'!X323:X324)</f>
        <v>0</v>
      </c>
      <c r="Z62" s="193">
        <f>AVERAGE('Muni &amp; Domestic Water Use Calcs'!Y323:Y324)</f>
        <v>0</v>
      </c>
      <c r="AA62" s="193">
        <f>AVERAGE('Muni &amp; Domestic Water Use Calcs'!Z323:Z324)</f>
        <v>0</v>
      </c>
      <c r="AB62" s="193">
        <f>AVERAGE('Muni &amp; Domestic Water Use Calcs'!AA323:AA324)</f>
        <v>0</v>
      </c>
      <c r="AC62" s="193">
        <f>AVERAGE('Muni &amp; Domestic Water Use Calcs'!AB323:AB324)</f>
        <v>0</v>
      </c>
      <c r="AD62" s="193">
        <f>AVERAGE('Muni &amp; Domestic Water Use Calcs'!AC323:AC324)</f>
        <v>0</v>
      </c>
      <c r="AE62" s="193">
        <f>AVERAGE('Muni &amp; Domestic Water Use Calcs'!AD323:AD324)</f>
        <v>0</v>
      </c>
      <c r="AF62" s="193">
        <f>AVERAGE('Muni &amp; Domestic Water Use Calcs'!AE323:AE324)</f>
        <v>0</v>
      </c>
      <c r="AG62" s="193">
        <f>AVERAGE('Muni &amp; Domestic Water Use Calcs'!AF323:AF324)</f>
        <v>0</v>
      </c>
      <c r="AH62" s="200">
        <f>AVERAGE('Muni &amp; Domestic Water Use Calcs'!AG323:AG324)</f>
        <v>0</v>
      </c>
      <c r="AI62" s="24"/>
      <c r="AJ62" s="24"/>
      <c r="AK62" s="24"/>
      <c r="AL62" s="24"/>
      <c r="AM62" s="24"/>
      <c r="AN62" s="24"/>
      <c r="AO62" s="24"/>
      <c r="AP62" s="24"/>
      <c r="AQ62" s="24"/>
      <c r="AR62" s="24"/>
      <c r="AS62" s="24"/>
      <c r="AT62" s="24"/>
      <c r="AU62" s="24"/>
      <c r="AV62" s="24"/>
      <c r="AW62" s="24"/>
      <c r="AX62" s="24"/>
      <c r="AY62" s="24"/>
      <c r="AZ62" s="24"/>
      <c r="BA62" s="24"/>
      <c r="BB62" s="24"/>
    </row>
    <row r="63" ht="12.75" customHeight="1">
      <c r="A63" s="9"/>
      <c r="B63" s="201" t="s">
        <v>109</v>
      </c>
      <c r="C63" s="202" t="s">
        <v>47</v>
      </c>
      <c r="D63" s="203">
        <f t="shared" ref="D63:AH63" si="16">SUM(D64:D65)</f>
        <v>21780.30089</v>
      </c>
      <c r="E63" s="203">
        <f t="shared" si="16"/>
        <v>33326.36021</v>
      </c>
      <c r="F63" s="203">
        <f t="shared" si="16"/>
        <v>45697.15296</v>
      </c>
      <c r="G63" s="203">
        <f t="shared" si="16"/>
        <v>40520.07128</v>
      </c>
      <c r="H63" s="203">
        <f t="shared" si="16"/>
        <v>41304.16111</v>
      </c>
      <c r="I63" s="203">
        <f t="shared" si="16"/>
        <v>49254.41805</v>
      </c>
      <c r="J63" s="203">
        <f t="shared" si="16"/>
        <v>63088.27503</v>
      </c>
      <c r="K63" s="203">
        <f t="shared" si="16"/>
        <v>66507.90314</v>
      </c>
      <c r="L63" s="203">
        <f t="shared" si="16"/>
        <v>72071.97155</v>
      </c>
      <c r="M63" s="203">
        <f t="shared" si="16"/>
        <v>62193.71054</v>
      </c>
      <c r="N63" s="203">
        <f t="shared" si="16"/>
        <v>60246.4978</v>
      </c>
      <c r="O63" s="203">
        <f t="shared" si="16"/>
        <v>56981.7237</v>
      </c>
      <c r="P63" s="203">
        <f t="shared" si="16"/>
        <v>45891.30729</v>
      </c>
      <c r="Q63" s="203">
        <f t="shared" si="16"/>
        <v>40178.17119</v>
      </c>
      <c r="R63" s="203">
        <f t="shared" si="16"/>
        <v>38206.60609</v>
      </c>
      <c r="S63" s="203">
        <f t="shared" si="16"/>
        <v>33235.19055</v>
      </c>
      <c r="T63" s="203">
        <f t="shared" si="16"/>
        <v>28430.72087</v>
      </c>
      <c r="U63" s="203">
        <f t="shared" si="16"/>
        <v>27669.93023</v>
      </c>
      <c r="V63" s="203">
        <f t="shared" si="16"/>
        <v>26409.08542</v>
      </c>
      <c r="W63" s="203">
        <f t="shared" si="16"/>
        <v>0</v>
      </c>
      <c r="X63" s="203">
        <f t="shared" si="16"/>
        <v>0</v>
      </c>
      <c r="Y63" s="203">
        <f t="shared" si="16"/>
        <v>0</v>
      </c>
      <c r="Z63" s="203">
        <f t="shared" si="16"/>
        <v>0</v>
      </c>
      <c r="AA63" s="203">
        <f t="shared" si="16"/>
        <v>0</v>
      </c>
      <c r="AB63" s="203">
        <f t="shared" si="16"/>
        <v>0</v>
      </c>
      <c r="AC63" s="203">
        <f t="shared" si="16"/>
        <v>0</v>
      </c>
      <c r="AD63" s="203">
        <f t="shared" si="16"/>
        <v>0</v>
      </c>
      <c r="AE63" s="203">
        <f t="shared" si="16"/>
        <v>0</v>
      </c>
      <c r="AF63" s="203">
        <f t="shared" si="16"/>
        <v>0</v>
      </c>
      <c r="AG63" s="203">
        <f t="shared" si="16"/>
        <v>0</v>
      </c>
      <c r="AH63" s="204">
        <f t="shared" si="16"/>
        <v>0</v>
      </c>
      <c r="AI63" s="24"/>
      <c r="AJ63" s="24"/>
      <c r="AK63" s="24"/>
      <c r="AL63" s="24"/>
      <c r="AM63" s="24"/>
      <c r="AN63" s="24"/>
      <c r="AO63" s="24"/>
      <c r="AP63" s="24"/>
      <c r="AQ63" s="24"/>
      <c r="AR63" s="24"/>
      <c r="AS63" s="24"/>
      <c r="AT63" s="24"/>
      <c r="AU63" s="24"/>
      <c r="AV63" s="24"/>
      <c r="AW63" s="24"/>
      <c r="AX63" s="24"/>
      <c r="AY63" s="24"/>
      <c r="AZ63" s="24"/>
      <c r="BA63" s="24"/>
      <c r="BB63" s="24"/>
    </row>
    <row r="64" ht="12.75" customHeight="1">
      <c r="A64" s="9"/>
      <c r="B64" s="86"/>
      <c r="C64" s="51" t="s">
        <v>49</v>
      </c>
      <c r="D64" s="87">
        <f>'Industrial Water Use Cals'!C152</f>
        <v>0</v>
      </c>
      <c r="E64" s="87">
        <f>'Industrial Water Use Cals'!D152</f>
        <v>0</v>
      </c>
      <c r="F64" s="87">
        <f>'Industrial Water Use Cals'!E152</f>
        <v>0</v>
      </c>
      <c r="G64" s="87">
        <f>'Industrial Water Use Cals'!F152</f>
        <v>0</v>
      </c>
      <c r="H64" s="87">
        <f>'Industrial Water Use Cals'!G152</f>
        <v>0</v>
      </c>
      <c r="I64" s="87">
        <f>'Industrial Water Use Cals'!H152</f>
        <v>0</v>
      </c>
      <c r="J64" s="87">
        <f>'Industrial Water Use Cals'!I152</f>
        <v>0</v>
      </c>
      <c r="K64" s="87">
        <f>'Industrial Water Use Cals'!J152</f>
        <v>0</v>
      </c>
      <c r="L64" s="87">
        <f>'Industrial Water Use Cals'!K152</f>
        <v>0</v>
      </c>
      <c r="M64" s="87">
        <f>'Industrial Water Use Cals'!L152</f>
        <v>0</v>
      </c>
      <c r="N64" s="87">
        <f>'Industrial Water Use Cals'!M152</f>
        <v>0</v>
      </c>
      <c r="O64" s="87">
        <f>'Industrial Water Use Cals'!N152</f>
        <v>0</v>
      </c>
      <c r="P64" s="87">
        <f>'Industrial Water Use Cals'!O152</f>
        <v>0</v>
      </c>
      <c r="Q64" s="87">
        <f>'Industrial Water Use Cals'!P152</f>
        <v>0</v>
      </c>
      <c r="R64" s="87">
        <f>'Industrial Water Use Cals'!Q152</f>
        <v>0</v>
      </c>
      <c r="S64" s="87">
        <f>'Industrial Water Use Cals'!R152</f>
        <v>0</v>
      </c>
      <c r="T64" s="87">
        <f>'Industrial Water Use Cals'!S152</f>
        <v>0</v>
      </c>
      <c r="U64" s="87">
        <f>'Industrial Water Use Cals'!T152</f>
        <v>0</v>
      </c>
      <c r="V64" s="87">
        <f>'Industrial Water Use Cals'!U152</f>
        <v>0</v>
      </c>
      <c r="W64" s="87">
        <f>'Industrial Water Use Cals'!V152</f>
        <v>0</v>
      </c>
      <c r="X64" s="87">
        <f>'Industrial Water Use Cals'!W152</f>
        <v>0</v>
      </c>
      <c r="Y64" s="87">
        <f>'Industrial Water Use Cals'!X152</f>
        <v>0</v>
      </c>
      <c r="Z64" s="87">
        <f>'Industrial Water Use Cals'!Y152</f>
        <v>0</v>
      </c>
      <c r="AA64" s="87">
        <f>'Industrial Water Use Cals'!Z152</f>
        <v>0</v>
      </c>
      <c r="AB64" s="87">
        <f>'Industrial Water Use Cals'!AA152</f>
        <v>0</v>
      </c>
      <c r="AC64" s="87">
        <f>'Industrial Water Use Cals'!AB152</f>
        <v>0</v>
      </c>
      <c r="AD64" s="87">
        <f>'Industrial Water Use Cals'!AC152</f>
        <v>0</v>
      </c>
      <c r="AE64" s="87">
        <f>'Industrial Water Use Cals'!AD152</f>
        <v>0</v>
      </c>
      <c r="AF64" s="87">
        <f>'Industrial Water Use Cals'!AE152</f>
        <v>0</v>
      </c>
      <c r="AG64" s="87">
        <f>'Industrial Water Use Cals'!AF152</f>
        <v>0</v>
      </c>
      <c r="AH64" s="90">
        <f>'Industrial Water Use Cals'!AG152</f>
        <v>0</v>
      </c>
      <c r="AI64" s="24"/>
      <c r="AJ64" s="24"/>
      <c r="AK64" s="24"/>
      <c r="AL64" s="24"/>
      <c r="AM64" s="24"/>
      <c r="AN64" s="24"/>
      <c r="AO64" s="24"/>
      <c r="AP64" s="24"/>
      <c r="AQ64" s="24"/>
      <c r="AR64" s="24"/>
      <c r="AS64" s="24"/>
      <c r="AT64" s="24"/>
      <c r="AU64" s="24"/>
      <c r="AV64" s="24"/>
      <c r="AW64" s="24"/>
      <c r="AX64" s="24"/>
      <c r="AY64" s="24"/>
      <c r="AZ64" s="24"/>
      <c r="BA64" s="24"/>
      <c r="BB64" s="24"/>
    </row>
    <row r="65" ht="12.75" customHeight="1">
      <c r="A65" s="18"/>
      <c r="B65" s="214"/>
      <c r="C65" s="215" t="s">
        <v>48</v>
      </c>
      <c r="D65" s="216">
        <f>'Industrial Water Use Cals'!C151</f>
        <v>21780.30089</v>
      </c>
      <c r="E65" s="216">
        <f>'Industrial Water Use Cals'!D151</f>
        <v>33326.36021</v>
      </c>
      <c r="F65" s="216">
        <f>'Industrial Water Use Cals'!E151</f>
        <v>45697.15296</v>
      </c>
      <c r="G65" s="216">
        <f>'Industrial Water Use Cals'!F151</f>
        <v>40520.07128</v>
      </c>
      <c r="H65" s="216">
        <f>'Industrial Water Use Cals'!G151</f>
        <v>41304.16111</v>
      </c>
      <c r="I65" s="216">
        <f>'Industrial Water Use Cals'!H151</f>
        <v>49254.41805</v>
      </c>
      <c r="J65" s="216">
        <f>'Industrial Water Use Cals'!I151</f>
        <v>63088.27503</v>
      </c>
      <c r="K65" s="216">
        <f>'Industrial Water Use Cals'!J151</f>
        <v>66507.90314</v>
      </c>
      <c r="L65" s="216">
        <f>'Industrial Water Use Cals'!K151</f>
        <v>72071.97155</v>
      </c>
      <c r="M65" s="216">
        <f>'Industrial Water Use Cals'!L151</f>
        <v>62193.71054</v>
      </c>
      <c r="N65" s="216">
        <f>'Industrial Water Use Cals'!M151</f>
        <v>60246.4978</v>
      </c>
      <c r="O65" s="216">
        <f>'Industrial Water Use Cals'!N151</f>
        <v>56981.7237</v>
      </c>
      <c r="P65" s="216">
        <f>'Industrial Water Use Cals'!O151</f>
        <v>45891.30729</v>
      </c>
      <c r="Q65" s="216">
        <f>'Industrial Water Use Cals'!P151</f>
        <v>40178.17119</v>
      </c>
      <c r="R65" s="216">
        <f>'Industrial Water Use Cals'!Q151</f>
        <v>38206.60609</v>
      </c>
      <c r="S65" s="216">
        <f>'Industrial Water Use Cals'!R151</f>
        <v>33235.19055</v>
      </c>
      <c r="T65" s="216">
        <f>'Industrial Water Use Cals'!S151</f>
        <v>28430.72087</v>
      </c>
      <c r="U65" s="216">
        <f>'Industrial Water Use Cals'!T151</f>
        <v>27669.93023</v>
      </c>
      <c r="V65" s="216">
        <f>'Industrial Water Use Cals'!U151</f>
        <v>26409.08542</v>
      </c>
      <c r="W65" s="216">
        <f>'Industrial Water Use Cals'!V151</f>
        <v>0</v>
      </c>
      <c r="X65" s="216">
        <f>'Industrial Water Use Cals'!W151</f>
        <v>0</v>
      </c>
      <c r="Y65" s="216">
        <f>'Industrial Water Use Cals'!X151</f>
        <v>0</v>
      </c>
      <c r="Z65" s="216">
        <f>'Industrial Water Use Cals'!Y151</f>
        <v>0</v>
      </c>
      <c r="AA65" s="216">
        <f>'Industrial Water Use Cals'!Z151</f>
        <v>0</v>
      </c>
      <c r="AB65" s="216">
        <f>'Industrial Water Use Cals'!AA151</f>
        <v>0</v>
      </c>
      <c r="AC65" s="216">
        <f>'Industrial Water Use Cals'!AB151</f>
        <v>0</v>
      </c>
      <c r="AD65" s="216">
        <f>'Industrial Water Use Cals'!AC151</f>
        <v>0</v>
      </c>
      <c r="AE65" s="216">
        <f>'Industrial Water Use Cals'!AD151</f>
        <v>0</v>
      </c>
      <c r="AF65" s="216">
        <f>'Industrial Water Use Cals'!AE151</f>
        <v>0</v>
      </c>
      <c r="AG65" s="216">
        <f>'Industrial Water Use Cals'!AF151</f>
        <v>0</v>
      </c>
      <c r="AH65" s="217">
        <f>'Industrial Water Use Cals'!AG151</f>
        <v>0</v>
      </c>
      <c r="AI65" s="24"/>
      <c r="AJ65" s="24"/>
      <c r="AK65" s="24"/>
      <c r="AL65" s="24"/>
      <c r="AM65" s="24"/>
      <c r="AN65" s="24"/>
      <c r="AO65" s="24"/>
      <c r="AP65" s="24"/>
      <c r="AQ65" s="24"/>
      <c r="AR65" s="24"/>
      <c r="AS65" s="24"/>
      <c r="AT65" s="24"/>
      <c r="AU65" s="24"/>
      <c r="AV65" s="24"/>
      <c r="AW65" s="24"/>
      <c r="AX65" s="24"/>
      <c r="AY65" s="24"/>
      <c r="AZ65" s="24"/>
      <c r="BA65" s="24"/>
      <c r="BB65" s="24"/>
    </row>
    <row r="66" ht="14.25" customHeight="1">
      <c r="A66" s="66" t="s">
        <v>13</v>
      </c>
      <c r="B66" s="68" t="s">
        <v>46</v>
      </c>
      <c r="C66" s="70" t="s">
        <v>47</v>
      </c>
      <c r="D66" s="73">
        <f t="shared" ref="D66:AH66" si="17">SUM(D67:D68)</f>
        <v>66187.545</v>
      </c>
      <c r="E66" s="73">
        <f t="shared" si="17"/>
        <v>41815.98375</v>
      </c>
      <c r="F66" s="73">
        <f t="shared" si="17"/>
        <v>69550.26</v>
      </c>
      <c r="G66" s="73">
        <f t="shared" si="17"/>
        <v>56943.68875</v>
      </c>
      <c r="H66" s="73">
        <f t="shared" si="17"/>
        <v>88161.16375</v>
      </c>
      <c r="I66" s="73">
        <f t="shared" si="17"/>
        <v>81885.17875</v>
      </c>
      <c r="J66" s="73">
        <f t="shared" si="17"/>
        <v>66618.48875</v>
      </c>
      <c r="K66" s="73">
        <f t="shared" si="17"/>
        <v>57592.135</v>
      </c>
      <c r="L66" s="73">
        <f t="shared" si="17"/>
        <v>75425.98625</v>
      </c>
      <c r="M66" s="73">
        <f t="shared" si="17"/>
        <v>87419.30875</v>
      </c>
      <c r="N66" s="73">
        <f t="shared" si="17"/>
        <v>72648.99375</v>
      </c>
      <c r="O66" s="73">
        <f t="shared" si="17"/>
        <v>86723.48125</v>
      </c>
      <c r="P66" s="73">
        <f t="shared" si="17"/>
        <v>57787.075</v>
      </c>
      <c r="Q66" s="73">
        <f t="shared" si="17"/>
        <v>71114.2925</v>
      </c>
      <c r="R66" s="73">
        <f t="shared" si="17"/>
        <v>72892.66875</v>
      </c>
      <c r="S66" s="73">
        <f t="shared" si="17"/>
        <v>84207.7625</v>
      </c>
      <c r="T66" s="73">
        <f t="shared" si="17"/>
        <v>80303.09625</v>
      </c>
      <c r="U66" s="73">
        <f t="shared" si="17"/>
        <v>69104.87625</v>
      </c>
      <c r="V66" s="73">
        <f t="shared" si="17"/>
        <v>75841.13625</v>
      </c>
      <c r="W66" s="73" t="str">
        <f t="shared" si="17"/>
        <v>#DIV/0!</v>
      </c>
      <c r="X66" s="73" t="str">
        <f t="shared" si="17"/>
        <v>#DIV/0!</v>
      </c>
      <c r="Y66" s="73" t="str">
        <f t="shared" si="17"/>
        <v>#DIV/0!</v>
      </c>
      <c r="Z66" s="73" t="str">
        <f t="shared" si="17"/>
        <v>#DIV/0!</v>
      </c>
      <c r="AA66" s="73" t="str">
        <f t="shared" si="17"/>
        <v>#DIV/0!</v>
      </c>
      <c r="AB66" s="73" t="str">
        <f t="shared" si="17"/>
        <v>#DIV/0!</v>
      </c>
      <c r="AC66" s="73" t="str">
        <f t="shared" si="17"/>
        <v>#DIV/0!</v>
      </c>
      <c r="AD66" s="73" t="str">
        <f t="shared" si="17"/>
        <v>#DIV/0!</v>
      </c>
      <c r="AE66" s="73" t="str">
        <f t="shared" si="17"/>
        <v>#DIV/0!</v>
      </c>
      <c r="AF66" s="73" t="str">
        <f t="shared" si="17"/>
        <v>#DIV/0!</v>
      </c>
      <c r="AG66" s="73" t="str">
        <f t="shared" si="17"/>
        <v>#DIV/0!</v>
      </c>
      <c r="AH66" s="85" t="str">
        <f t="shared" si="17"/>
        <v>#DIV/0!</v>
      </c>
      <c r="AI66" s="24"/>
      <c r="AJ66" s="24"/>
      <c r="AK66" s="24"/>
      <c r="AL66" s="24"/>
      <c r="AM66" s="24"/>
      <c r="AN66" s="24"/>
      <c r="AO66" s="24"/>
      <c r="AP66" s="24"/>
      <c r="AQ66" s="24"/>
      <c r="AR66" s="24"/>
      <c r="AS66" s="24"/>
      <c r="AT66" s="24"/>
      <c r="AU66" s="24"/>
      <c r="AV66" s="24"/>
      <c r="AW66" s="24"/>
      <c r="AX66" s="24"/>
      <c r="AY66" s="24"/>
      <c r="AZ66" s="24"/>
      <c r="BA66" s="24"/>
      <c r="BB66" s="24"/>
    </row>
    <row r="67" ht="12.75" customHeight="1">
      <c r="A67" s="9"/>
      <c r="B67" s="86"/>
      <c r="C67" s="51" t="s">
        <v>49</v>
      </c>
      <c r="D67" s="87">
        <f>'Agricultural Water Use Calcs'!V213</f>
        <v>65743.24704</v>
      </c>
      <c r="E67" s="87">
        <f>'Agricultural Water Use Calcs'!W213</f>
        <v>41535.28508</v>
      </c>
      <c r="F67" s="87">
        <f>'Agricultural Water Use Calcs'!X213</f>
        <v>69083.38911</v>
      </c>
      <c r="G67" s="87">
        <f>'Agricultural Water Use Calcs'!Y213</f>
        <v>56561.44214</v>
      </c>
      <c r="H67" s="87">
        <f>'Agricultural Water Use Calcs'!Z213</f>
        <v>87569.36321</v>
      </c>
      <c r="I67" s="87">
        <f>'Agricultural Water Use Calcs'!AA213</f>
        <v>81335.50709</v>
      </c>
      <c r="J67" s="87">
        <f>'Agricultural Water Use Calcs'!AB213</f>
        <v>66171.29799</v>
      </c>
      <c r="K67" s="87">
        <f>'Agricultural Water Use Calcs'!AC213</f>
        <v>57205.53556</v>
      </c>
      <c r="L67" s="87">
        <f>'Agricultural Water Use Calcs'!AD213</f>
        <v>74919.67329</v>
      </c>
      <c r="M67" s="87">
        <f>'Agricultural Water Use Calcs'!AE213</f>
        <v>86832.48807</v>
      </c>
      <c r="N67" s="87">
        <f>'Agricultural Water Use Calcs'!AF213</f>
        <v>72161.32195</v>
      </c>
      <c r="O67" s="87">
        <f>'Agricultural Water Use Calcs'!AG213</f>
        <v>86141.33146</v>
      </c>
      <c r="P67" s="87">
        <f>'Agricultural Water Use Calcs'!AH213</f>
        <v>57399.16698</v>
      </c>
      <c r="Q67" s="87">
        <f>'Agricultural Water Use Calcs'!AI213</f>
        <v>70636.9227</v>
      </c>
      <c r="R67" s="87">
        <f>'Agricultural Water Use Calcs'!AJ213</f>
        <v>72403.36123</v>
      </c>
      <c r="S67" s="87">
        <f>'Agricultural Water Use Calcs'!AK213</f>
        <v>83642.50001</v>
      </c>
      <c r="T67" s="87">
        <f>'Agricultural Water Use Calcs'!AL213</f>
        <v>79764.04466</v>
      </c>
      <c r="U67" s="87">
        <f>'Agricultural Water Use Calcs'!AM213</f>
        <v>68640.99509</v>
      </c>
      <c r="V67" s="87">
        <f>'Agricultural Water Use Calcs'!AN213</f>
        <v>75332.03651</v>
      </c>
      <c r="W67" s="87" t="str">
        <f>'Agricultural Water Use Calcs'!AO213</f>
        <v>#DIV/0!</v>
      </c>
      <c r="X67" s="87" t="str">
        <f>'Agricultural Water Use Calcs'!AP213</f>
        <v>#DIV/0!</v>
      </c>
      <c r="Y67" s="87" t="str">
        <f>'Agricultural Water Use Calcs'!AQ213</f>
        <v>#DIV/0!</v>
      </c>
      <c r="Z67" s="87" t="str">
        <f>'Agricultural Water Use Calcs'!AR213</f>
        <v>#DIV/0!</v>
      </c>
      <c r="AA67" s="87" t="str">
        <f>'Agricultural Water Use Calcs'!AS213</f>
        <v>#DIV/0!</v>
      </c>
      <c r="AB67" s="87" t="str">
        <f>'Agricultural Water Use Calcs'!AT213</f>
        <v>#DIV/0!</v>
      </c>
      <c r="AC67" s="87" t="str">
        <f>'Agricultural Water Use Calcs'!AU213</f>
        <v>#DIV/0!</v>
      </c>
      <c r="AD67" s="87" t="str">
        <f>'Agricultural Water Use Calcs'!AV213</f>
        <v>#DIV/0!</v>
      </c>
      <c r="AE67" s="87" t="str">
        <f>'Agricultural Water Use Calcs'!AW213</f>
        <v>#DIV/0!</v>
      </c>
      <c r="AF67" s="87" t="str">
        <f>'Agricultural Water Use Calcs'!AX213</f>
        <v>#DIV/0!</v>
      </c>
      <c r="AG67" s="87" t="str">
        <f>'Agricultural Water Use Calcs'!AY213</f>
        <v>#DIV/0!</v>
      </c>
      <c r="AH67" s="90" t="str">
        <f>'Agricultural Water Use Calcs'!AZ213</f>
        <v>#DIV/0!</v>
      </c>
      <c r="AI67" s="24"/>
      <c r="AJ67" s="24"/>
      <c r="AK67" s="24"/>
      <c r="AL67" s="24"/>
      <c r="AM67" s="24"/>
      <c r="AN67" s="24"/>
      <c r="AO67" s="24"/>
      <c r="AP67" s="24"/>
      <c r="AQ67" s="24"/>
      <c r="AR67" s="24"/>
      <c r="AS67" s="24"/>
      <c r="AT67" s="24"/>
      <c r="AU67" s="24"/>
      <c r="AV67" s="24"/>
      <c r="AW67" s="24"/>
      <c r="AX67" s="24"/>
      <c r="AY67" s="24"/>
      <c r="AZ67" s="24"/>
      <c r="BA67" s="24"/>
      <c r="BB67" s="24"/>
    </row>
    <row r="68" ht="12.75" customHeight="1">
      <c r="A68" s="9"/>
      <c r="B68" s="92"/>
      <c r="C68" s="51" t="s">
        <v>48</v>
      </c>
      <c r="D68" s="87">
        <f>'Agricultural Water Use Calcs'!V214</f>
        <v>444.2979561</v>
      </c>
      <c r="E68" s="87">
        <f>'Agricultural Water Use Calcs'!W214</f>
        <v>280.698674</v>
      </c>
      <c r="F68" s="87">
        <f>'Agricultural Water Use Calcs'!X214</f>
        <v>466.8708949</v>
      </c>
      <c r="G68" s="87">
        <f>'Agricultural Water Use Calcs'!Y214</f>
        <v>382.2466074</v>
      </c>
      <c r="H68" s="87">
        <f>'Agricultural Water Use Calcs'!Z214</f>
        <v>591.8005399</v>
      </c>
      <c r="I68" s="87">
        <f>'Agricultural Water Use Calcs'!AA214</f>
        <v>549.6716574</v>
      </c>
      <c r="J68" s="87">
        <f>'Agricultural Water Use Calcs'!AB214</f>
        <v>447.1907576</v>
      </c>
      <c r="K68" s="87">
        <f>'Agricultural Water Use Calcs'!AC214</f>
        <v>386.5994406</v>
      </c>
      <c r="L68" s="87">
        <f>'Agricultural Water Use Calcs'!AD214</f>
        <v>506.3129556</v>
      </c>
      <c r="M68" s="87">
        <f>'Agricultural Water Use Calcs'!AE214</f>
        <v>586.8206806</v>
      </c>
      <c r="N68" s="87">
        <f>'Agricultural Water Use Calcs'!AF214</f>
        <v>487.6718035</v>
      </c>
      <c r="O68" s="87">
        <f>'Agricultural Water Use Calcs'!AG214</f>
        <v>582.1497907</v>
      </c>
      <c r="P68" s="87">
        <f>'Agricultural Water Use Calcs'!AH214</f>
        <v>387.9080167</v>
      </c>
      <c r="Q68" s="87">
        <f>'Agricultural Water Use Calcs'!AI214</f>
        <v>477.3697953</v>
      </c>
      <c r="R68" s="87">
        <f>'Agricultural Water Use Calcs'!AJ214</f>
        <v>489.3075237</v>
      </c>
      <c r="S68" s="87">
        <f>'Agricultural Water Use Calcs'!AK214</f>
        <v>565.2624942</v>
      </c>
      <c r="T68" s="87">
        <f>'Agricultural Water Use Calcs'!AL214</f>
        <v>539.0515925</v>
      </c>
      <c r="U68" s="87">
        <f>'Agricultural Water Use Calcs'!AM214</f>
        <v>463.8811619</v>
      </c>
      <c r="V68" s="87">
        <f>'Agricultural Water Use Calcs'!AN214</f>
        <v>509.0997381</v>
      </c>
      <c r="W68" s="87" t="str">
        <f>'Agricultural Water Use Calcs'!AO214</f>
        <v>#DIV/0!</v>
      </c>
      <c r="X68" s="87" t="str">
        <f>'Agricultural Water Use Calcs'!AP214</f>
        <v>#DIV/0!</v>
      </c>
      <c r="Y68" s="87" t="str">
        <f>'Agricultural Water Use Calcs'!AQ214</f>
        <v>#DIV/0!</v>
      </c>
      <c r="Z68" s="87" t="str">
        <f>'Agricultural Water Use Calcs'!AR214</f>
        <v>#DIV/0!</v>
      </c>
      <c r="AA68" s="87" t="str">
        <f>'Agricultural Water Use Calcs'!AS214</f>
        <v>#DIV/0!</v>
      </c>
      <c r="AB68" s="87" t="str">
        <f>'Agricultural Water Use Calcs'!AT214</f>
        <v>#DIV/0!</v>
      </c>
      <c r="AC68" s="87" t="str">
        <f>'Agricultural Water Use Calcs'!AU214</f>
        <v>#DIV/0!</v>
      </c>
      <c r="AD68" s="87" t="str">
        <f>'Agricultural Water Use Calcs'!AV214</f>
        <v>#DIV/0!</v>
      </c>
      <c r="AE68" s="87" t="str">
        <f>'Agricultural Water Use Calcs'!AW214</f>
        <v>#DIV/0!</v>
      </c>
      <c r="AF68" s="87" t="str">
        <f>'Agricultural Water Use Calcs'!AX214</f>
        <v>#DIV/0!</v>
      </c>
      <c r="AG68" s="87" t="str">
        <f>'Agricultural Water Use Calcs'!AY214</f>
        <v>#DIV/0!</v>
      </c>
      <c r="AH68" s="90" t="str">
        <f>'Agricultural Water Use Calcs'!AZ214</f>
        <v>#DIV/0!</v>
      </c>
      <c r="AI68" s="24"/>
      <c r="AJ68" s="24"/>
      <c r="AK68" s="24"/>
      <c r="AL68" s="24"/>
      <c r="AM68" s="24"/>
      <c r="AN68" s="24"/>
      <c r="AO68" s="24"/>
      <c r="AP68" s="24"/>
      <c r="AQ68" s="24"/>
      <c r="AR68" s="24"/>
      <c r="AS68" s="24"/>
      <c r="AT68" s="24"/>
      <c r="AU68" s="24"/>
      <c r="AV68" s="24"/>
      <c r="AW68" s="24"/>
      <c r="AX68" s="24"/>
      <c r="AY68" s="24"/>
      <c r="AZ68" s="24"/>
      <c r="BA68" s="24"/>
      <c r="BB68" s="24"/>
    </row>
    <row r="69" ht="12.75" customHeight="1">
      <c r="A69" s="9"/>
      <c r="B69" s="111" t="s">
        <v>60</v>
      </c>
      <c r="C69" s="112" t="s">
        <v>47</v>
      </c>
      <c r="D69" s="114">
        <f t="shared" ref="D69:AH69" si="18">SUM(D70:D71)</f>
        <v>6478.175608</v>
      </c>
      <c r="E69" s="114">
        <f t="shared" si="18"/>
        <v>6543.531218</v>
      </c>
      <c r="F69" s="114">
        <f t="shared" si="18"/>
        <v>6597.728553</v>
      </c>
      <c r="G69" s="114">
        <f t="shared" si="18"/>
        <v>6676.367824</v>
      </c>
      <c r="H69" s="114">
        <f t="shared" si="18"/>
        <v>6817.705973</v>
      </c>
      <c r="I69" s="114">
        <f t="shared" si="18"/>
        <v>6895.813898</v>
      </c>
      <c r="J69" s="114">
        <f t="shared" si="18"/>
        <v>7046.716282</v>
      </c>
      <c r="K69" s="114">
        <f t="shared" si="18"/>
        <v>7223.654641</v>
      </c>
      <c r="L69" s="114">
        <f t="shared" si="18"/>
        <v>7418.658779</v>
      </c>
      <c r="M69" s="114">
        <f t="shared" si="18"/>
        <v>7526.522103</v>
      </c>
      <c r="N69" s="114">
        <f t="shared" si="18"/>
        <v>7554.152118</v>
      </c>
      <c r="O69" s="114">
        <f t="shared" si="18"/>
        <v>7594.534446</v>
      </c>
      <c r="P69" s="114">
        <f t="shared" si="18"/>
        <v>7790</v>
      </c>
      <c r="Q69" s="114">
        <f t="shared" si="18"/>
        <v>7996.818938</v>
      </c>
      <c r="R69" s="114">
        <f t="shared" si="18"/>
        <v>8151.798142</v>
      </c>
      <c r="S69" s="114">
        <f t="shared" si="18"/>
        <v>8208.497851</v>
      </c>
      <c r="T69" s="114">
        <f t="shared" si="18"/>
        <v>8272.757521</v>
      </c>
      <c r="U69" s="114">
        <f t="shared" si="18"/>
        <v>8297.597394</v>
      </c>
      <c r="V69" s="114">
        <f t="shared" si="18"/>
        <v>8258.177596</v>
      </c>
      <c r="W69" s="114">
        <f t="shared" si="18"/>
        <v>0</v>
      </c>
      <c r="X69" s="114">
        <f t="shared" si="18"/>
        <v>0</v>
      </c>
      <c r="Y69" s="114">
        <f t="shared" si="18"/>
        <v>0</v>
      </c>
      <c r="Z69" s="114">
        <f t="shared" si="18"/>
        <v>0</v>
      </c>
      <c r="AA69" s="114">
        <f t="shared" si="18"/>
        <v>0</v>
      </c>
      <c r="AB69" s="114">
        <f t="shared" si="18"/>
        <v>0</v>
      </c>
      <c r="AC69" s="114">
        <f t="shared" si="18"/>
        <v>0</v>
      </c>
      <c r="AD69" s="114">
        <f t="shared" si="18"/>
        <v>0</v>
      </c>
      <c r="AE69" s="114">
        <f t="shared" si="18"/>
        <v>0</v>
      </c>
      <c r="AF69" s="114">
        <f t="shared" si="18"/>
        <v>0</v>
      </c>
      <c r="AG69" s="114">
        <f t="shared" si="18"/>
        <v>0</v>
      </c>
      <c r="AH69" s="128">
        <f t="shared" si="18"/>
        <v>0</v>
      </c>
      <c r="AI69" s="24"/>
      <c r="AJ69" s="24"/>
      <c r="AK69" s="24"/>
      <c r="AL69" s="24"/>
      <c r="AM69" s="24"/>
      <c r="AN69" s="24"/>
      <c r="AO69" s="24"/>
      <c r="AP69" s="24"/>
      <c r="AQ69" s="24"/>
      <c r="AR69" s="24"/>
      <c r="AS69" s="24"/>
      <c r="AT69" s="24"/>
      <c r="AU69" s="24"/>
      <c r="AV69" s="24"/>
      <c r="AW69" s="24"/>
      <c r="AX69" s="24"/>
      <c r="AY69" s="24"/>
      <c r="AZ69" s="24"/>
      <c r="BA69" s="24"/>
      <c r="BB69" s="24"/>
    </row>
    <row r="70" ht="12.75" customHeight="1">
      <c r="A70" s="9"/>
      <c r="B70" s="86"/>
      <c r="C70" s="51" t="s">
        <v>49</v>
      </c>
      <c r="D70" s="87" t="str">
        <f>'Muni &amp; Domestic Water Use Calcs'!C347</f>
        <v/>
      </c>
      <c r="E70" s="87" t="str">
        <f>'Muni &amp; Domestic Water Use Calcs'!D347</f>
        <v/>
      </c>
      <c r="F70" s="87">
        <f>'Muni &amp; Domestic Water Use Calcs'!E347</f>
        <v>0</v>
      </c>
      <c r="G70" s="87">
        <f>'Muni &amp; Domestic Water Use Calcs'!F347</f>
        <v>0</v>
      </c>
      <c r="H70" s="87">
        <f>'Muni &amp; Domestic Water Use Calcs'!G347</f>
        <v>0</v>
      </c>
      <c r="I70" s="87">
        <f>'Muni &amp; Domestic Water Use Calcs'!H347</f>
        <v>0</v>
      </c>
      <c r="J70" s="87">
        <f>'Muni &amp; Domestic Water Use Calcs'!I347</f>
        <v>0</v>
      </c>
      <c r="K70" s="87">
        <f>'Muni &amp; Domestic Water Use Calcs'!J347</f>
        <v>0</v>
      </c>
      <c r="L70" s="87">
        <f>'Muni &amp; Domestic Water Use Calcs'!K347</f>
        <v>0</v>
      </c>
      <c r="M70" s="87">
        <f>'Muni &amp; Domestic Water Use Calcs'!L347</f>
        <v>0</v>
      </c>
      <c r="N70" s="87">
        <f>'Muni &amp; Domestic Water Use Calcs'!M347</f>
        <v>0</v>
      </c>
      <c r="O70" s="87">
        <f>'Muni &amp; Domestic Water Use Calcs'!N347</f>
        <v>0</v>
      </c>
      <c r="P70" s="87">
        <f>'Muni &amp; Domestic Water Use Calcs'!O347</f>
        <v>0</v>
      </c>
      <c r="Q70" s="87">
        <f>'Muni &amp; Domestic Water Use Calcs'!P347</f>
        <v>0</v>
      </c>
      <c r="R70" s="87">
        <f>'Muni &amp; Domestic Water Use Calcs'!Q347</f>
        <v>0</v>
      </c>
      <c r="S70" s="87">
        <f>'Muni &amp; Domestic Water Use Calcs'!R347</f>
        <v>0</v>
      </c>
      <c r="T70" s="87">
        <f>'Muni &amp; Domestic Water Use Calcs'!S347</f>
        <v>0</v>
      </c>
      <c r="U70" s="87">
        <f>'Muni &amp; Domestic Water Use Calcs'!T347</f>
        <v>0</v>
      </c>
      <c r="V70" s="87">
        <f>'Muni &amp; Domestic Water Use Calcs'!U347</f>
        <v>0</v>
      </c>
      <c r="W70" s="87">
        <f>'Muni &amp; Domestic Water Use Calcs'!V347</f>
        <v>0</v>
      </c>
      <c r="X70" s="87">
        <f>'Muni &amp; Domestic Water Use Calcs'!W347</f>
        <v>0</v>
      </c>
      <c r="Y70" s="87">
        <f>'Muni &amp; Domestic Water Use Calcs'!X347</f>
        <v>0</v>
      </c>
      <c r="Z70" s="87">
        <f>'Muni &amp; Domestic Water Use Calcs'!Y347</f>
        <v>0</v>
      </c>
      <c r="AA70" s="87">
        <f>'Muni &amp; Domestic Water Use Calcs'!Z347</f>
        <v>0</v>
      </c>
      <c r="AB70" s="87">
        <f>'Muni &amp; Domestic Water Use Calcs'!AA347</f>
        <v>0</v>
      </c>
      <c r="AC70" s="87">
        <f>'Muni &amp; Domestic Water Use Calcs'!AB347</f>
        <v>0</v>
      </c>
      <c r="AD70" s="87">
        <f>'Muni &amp; Domestic Water Use Calcs'!AC347</f>
        <v>0</v>
      </c>
      <c r="AE70" s="87">
        <f>'Muni &amp; Domestic Water Use Calcs'!AD347</f>
        <v>0</v>
      </c>
      <c r="AF70" s="87">
        <f>'Muni &amp; Domestic Water Use Calcs'!AE347</f>
        <v>0</v>
      </c>
      <c r="AG70" s="87">
        <f>'Muni &amp; Domestic Water Use Calcs'!AF347</f>
        <v>0</v>
      </c>
      <c r="AH70" s="90">
        <f>'Muni &amp; Domestic Water Use Calcs'!AG347</f>
        <v>0</v>
      </c>
      <c r="AI70" s="24"/>
      <c r="AJ70" s="24"/>
      <c r="AK70" s="24"/>
      <c r="AL70" s="24"/>
      <c r="AM70" s="24"/>
      <c r="AN70" s="24"/>
      <c r="AO70" s="24"/>
      <c r="AP70" s="24"/>
      <c r="AQ70" s="24"/>
      <c r="AR70" s="24"/>
      <c r="AS70" s="24"/>
      <c r="AT70" s="24"/>
      <c r="AU70" s="24"/>
      <c r="AV70" s="24"/>
      <c r="AW70" s="24"/>
      <c r="AX70" s="24"/>
      <c r="AY70" s="24"/>
      <c r="AZ70" s="24"/>
      <c r="BA70" s="24"/>
      <c r="BB70" s="24"/>
    </row>
    <row r="71" ht="12.75" customHeight="1">
      <c r="A71" s="9"/>
      <c r="B71" s="92"/>
      <c r="C71" s="51" t="s">
        <v>48</v>
      </c>
      <c r="D71" s="87">
        <f>'Muni &amp; Domestic Water Use Calcs'!C346</f>
        <v>6478.175608</v>
      </c>
      <c r="E71" s="87">
        <f>'Muni &amp; Domestic Water Use Calcs'!D346</f>
        <v>6543.531218</v>
      </c>
      <c r="F71" s="87">
        <f>'Muni &amp; Domestic Water Use Calcs'!E346</f>
        <v>6597.728553</v>
      </c>
      <c r="G71" s="87">
        <f>'Muni &amp; Domestic Water Use Calcs'!F346</f>
        <v>6676.367824</v>
      </c>
      <c r="H71" s="87">
        <f>'Muni &amp; Domestic Water Use Calcs'!G346</f>
        <v>6817.705973</v>
      </c>
      <c r="I71" s="87">
        <f>'Muni &amp; Domestic Water Use Calcs'!H346</f>
        <v>6895.813898</v>
      </c>
      <c r="J71" s="87">
        <f>'Muni &amp; Domestic Water Use Calcs'!I346</f>
        <v>7046.716282</v>
      </c>
      <c r="K71" s="87">
        <f>'Muni &amp; Domestic Water Use Calcs'!J346</f>
        <v>7223.654641</v>
      </c>
      <c r="L71" s="87">
        <f>'Muni &amp; Domestic Water Use Calcs'!K346</f>
        <v>7418.658779</v>
      </c>
      <c r="M71" s="87">
        <f>'Muni &amp; Domestic Water Use Calcs'!L346</f>
        <v>7526.522103</v>
      </c>
      <c r="N71" s="87">
        <f>'Muni &amp; Domestic Water Use Calcs'!M346</f>
        <v>7554.152118</v>
      </c>
      <c r="O71" s="87">
        <f>'Muni &amp; Domestic Water Use Calcs'!N346</f>
        <v>7594.534446</v>
      </c>
      <c r="P71" s="87">
        <f>'Muni &amp; Domestic Water Use Calcs'!O346</f>
        <v>7790</v>
      </c>
      <c r="Q71" s="87">
        <f>'Muni &amp; Domestic Water Use Calcs'!P346</f>
        <v>7996.818938</v>
      </c>
      <c r="R71" s="87">
        <f>'Muni &amp; Domestic Water Use Calcs'!Q346</f>
        <v>8151.798142</v>
      </c>
      <c r="S71" s="87">
        <f>'Muni &amp; Domestic Water Use Calcs'!R346</f>
        <v>8208.497851</v>
      </c>
      <c r="T71" s="87">
        <f>'Muni &amp; Domestic Water Use Calcs'!S346</f>
        <v>8272.757521</v>
      </c>
      <c r="U71" s="87">
        <f>'Muni &amp; Domestic Water Use Calcs'!T346</f>
        <v>8297.597394</v>
      </c>
      <c r="V71" s="87">
        <f>'Muni &amp; Domestic Water Use Calcs'!U346</f>
        <v>8258.177596</v>
      </c>
      <c r="W71" s="87">
        <f>'Muni &amp; Domestic Water Use Calcs'!V346</f>
        <v>0</v>
      </c>
      <c r="X71" s="87">
        <f>'Muni &amp; Domestic Water Use Calcs'!W346</f>
        <v>0</v>
      </c>
      <c r="Y71" s="87">
        <f>'Muni &amp; Domestic Water Use Calcs'!X346</f>
        <v>0</v>
      </c>
      <c r="Z71" s="87">
        <f>'Muni &amp; Domestic Water Use Calcs'!Y346</f>
        <v>0</v>
      </c>
      <c r="AA71" s="87">
        <f>'Muni &amp; Domestic Water Use Calcs'!Z346</f>
        <v>0</v>
      </c>
      <c r="AB71" s="87">
        <f>'Muni &amp; Domestic Water Use Calcs'!AA346</f>
        <v>0</v>
      </c>
      <c r="AC71" s="87">
        <f>'Muni &amp; Domestic Water Use Calcs'!AB346</f>
        <v>0</v>
      </c>
      <c r="AD71" s="87">
        <f>'Muni &amp; Domestic Water Use Calcs'!AC346</f>
        <v>0</v>
      </c>
      <c r="AE71" s="87">
        <f>'Muni &amp; Domestic Water Use Calcs'!AD346</f>
        <v>0</v>
      </c>
      <c r="AF71" s="87">
        <f>'Muni &amp; Domestic Water Use Calcs'!AE346</f>
        <v>0</v>
      </c>
      <c r="AG71" s="87">
        <f>'Muni &amp; Domestic Water Use Calcs'!AF346</f>
        <v>0</v>
      </c>
      <c r="AH71" s="90">
        <f>'Muni &amp; Domestic Water Use Calcs'!AG346</f>
        <v>0</v>
      </c>
      <c r="AI71" s="24"/>
      <c r="AJ71" s="24"/>
      <c r="AK71" s="24"/>
      <c r="AL71" s="24"/>
      <c r="AM71" s="24"/>
      <c r="AN71" s="24"/>
      <c r="AO71" s="24"/>
      <c r="AP71" s="24"/>
      <c r="AQ71" s="24"/>
      <c r="AR71" s="24"/>
      <c r="AS71" s="24"/>
      <c r="AT71" s="24"/>
      <c r="AU71" s="24"/>
      <c r="AV71" s="24"/>
      <c r="AW71" s="24"/>
      <c r="AX71" s="24"/>
      <c r="AY71" s="24"/>
      <c r="AZ71" s="24"/>
      <c r="BA71" s="24"/>
      <c r="BB71" s="24"/>
    </row>
    <row r="72" ht="12.75" customHeight="1">
      <c r="A72" s="9"/>
      <c r="B72" s="161" t="s">
        <v>72</v>
      </c>
      <c r="C72" s="162" t="s">
        <v>47</v>
      </c>
      <c r="D72" s="167">
        <f t="shared" ref="D72:AH72" si="19">SUM(D73:D74)</f>
        <v>2510.242411</v>
      </c>
      <c r="E72" s="167">
        <f t="shared" si="19"/>
        <v>2535.5672</v>
      </c>
      <c r="F72" s="167">
        <f t="shared" si="19"/>
        <v>2556.568243</v>
      </c>
      <c r="G72" s="167">
        <f t="shared" si="19"/>
        <v>2587.040346</v>
      </c>
      <c r="H72" s="167">
        <f t="shared" si="19"/>
        <v>2641.807774</v>
      </c>
      <c r="I72" s="167">
        <f t="shared" si="19"/>
        <v>2672.073984</v>
      </c>
      <c r="J72" s="167">
        <f t="shared" si="19"/>
        <v>2730.547479</v>
      </c>
      <c r="K72" s="167">
        <f t="shared" si="19"/>
        <v>2799.10971</v>
      </c>
      <c r="L72" s="167">
        <f t="shared" si="19"/>
        <v>2874.672289</v>
      </c>
      <c r="M72" s="167">
        <f t="shared" si="19"/>
        <v>2916.468484</v>
      </c>
      <c r="N72" s="167">
        <f t="shared" si="19"/>
        <v>2927.174899</v>
      </c>
      <c r="O72" s="167">
        <f t="shared" si="19"/>
        <v>2942.822735</v>
      </c>
      <c r="P72" s="167">
        <f t="shared" si="19"/>
        <v>1074.67611</v>
      </c>
      <c r="Q72" s="167">
        <f t="shared" si="19"/>
        <v>1103.207993</v>
      </c>
      <c r="R72" s="167">
        <f t="shared" si="19"/>
        <v>1124.588282</v>
      </c>
      <c r="S72" s="167">
        <f t="shared" si="19"/>
        <v>1132.410338</v>
      </c>
      <c r="T72" s="167">
        <f t="shared" si="19"/>
        <v>1141.275336</v>
      </c>
      <c r="U72" s="167">
        <f t="shared" si="19"/>
        <v>1144.702142</v>
      </c>
      <c r="V72" s="167">
        <f t="shared" si="19"/>
        <v>1139.26395</v>
      </c>
      <c r="W72" s="167">
        <f t="shared" si="19"/>
        <v>0</v>
      </c>
      <c r="X72" s="167">
        <f t="shared" si="19"/>
        <v>0</v>
      </c>
      <c r="Y72" s="167">
        <f t="shared" si="19"/>
        <v>0</v>
      </c>
      <c r="Z72" s="167">
        <f t="shared" si="19"/>
        <v>0</v>
      </c>
      <c r="AA72" s="167">
        <f t="shared" si="19"/>
        <v>0</v>
      </c>
      <c r="AB72" s="167">
        <f t="shared" si="19"/>
        <v>0</v>
      </c>
      <c r="AC72" s="167">
        <f t="shared" si="19"/>
        <v>0</v>
      </c>
      <c r="AD72" s="167">
        <f t="shared" si="19"/>
        <v>0</v>
      </c>
      <c r="AE72" s="167">
        <f t="shared" si="19"/>
        <v>0</v>
      </c>
      <c r="AF72" s="167">
        <f t="shared" si="19"/>
        <v>0</v>
      </c>
      <c r="AG72" s="167">
        <f t="shared" si="19"/>
        <v>0</v>
      </c>
      <c r="AH72" s="174">
        <f t="shared" si="19"/>
        <v>0</v>
      </c>
      <c r="AI72" s="24"/>
      <c r="AJ72" s="24"/>
      <c r="AK72" s="24"/>
      <c r="AL72" s="24"/>
      <c r="AM72" s="24"/>
      <c r="AN72" s="24"/>
      <c r="AO72" s="24"/>
      <c r="AP72" s="24"/>
      <c r="AQ72" s="24"/>
      <c r="AR72" s="24"/>
      <c r="AS72" s="24"/>
      <c r="AT72" s="24"/>
      <c r="AU72" s="24"/>
      <c r="AV72" s="24"/>
      <c r="AW72" s="24"/>
      <c r="AX72" s="24"/>
      <c r="AY72" s="24"/>
      <c r="AZ72" s="24"/>
      <c r="BA72" s="24"/>
      <c r="BB72" s="24"/>
    </row>
    <row r="73" ht="12.75" customHeight="1">
      <c r="A73" s="9"/>
      <c r="B73" s="86"/>
      <c r="C73" s="51" t="s">
        <v>49</v>
      </c>
      <c r="D73" s="87">
        <v>0.0</v>
      </c>
      <c r="E73" s="87">
        <v>0.0</v>
      </c>
      <c r="F73" s="87">
        <v>0.0</v>
      </c>
      <c r="G73" s="87">
        <v>0.0</v>
      </c>
      <c r="H73" s="87">
        <v>0.0</v>
      </c>
      <c r="I73" s="87">
        <v>0.0</v>
      </c>
      <c r="J73" s="87">
        <v>0.0</v>
      </c>
      <c r="K73" s="87">
        <v>0.0</v>
      </c>
      <c r="L73" s="87">
        <v>0.0</v>
      </c>
      <c r="M73" s="87">
        <v>0.0</v>
      </c>
      <c r="N73" s="87">
        <v>0.0</v>
      </c>
      <c r="O73" s="87">
        <v>0.0</v>
      </c>
      <c r="P73" s="87">
        <v>0.0</v>
      </c>
      <c r="Q73" s="87">
        <v>0.0</v>
      </c>
      <c r="R73" s="87">
        <v>0.0</v>
      </c>
      <c r="S73" s="87">
        <v>0.0</v>
      </c>
      <c r="T73" s="87">
        <v>0.0</v>
      </c>
      <c r="U73" s="87">
        <v>0.0</v>
      </c>
      <c r="V73" s="87">
        <v>0.0</v>
      </c>
      <c r="W73" s="87">
        <v>0.0</v>
      </c>
      <c r="X73" s="87">
        <v>0.0</v>
      </c>
      <c r="Y73" s="87">
        <v>0.0</v>
      </c>
      <c r="Z73" s="87">
        <v>0.0</v>
      </c>
      <c r="AA73" s="87">
        <v>0.0</v>
      </c>
      <c r="AB73" s="87">
        <v>0.0</v>
      </c>
      <c r="AC73" s="87">
        <v>0.0</v>
      </c>
      <c r="AD73" s="87">
        <v>0.0</v>
      </c>
      <c r="AE73" s="87">
        <v>0.0</v>
      </c>
      <c r="AF73" s="87">
        <v>0.0</v>
      </c>
      <c r="AG73" s="87">
        <v>0.0</v>
      </c>
      <c r="AH73" s="90">
        <v>0.0</v>
      </c>
      <c r="AI73" s="24"/>
      <c r="AJ73" s="24"/>
      <c r="AK73" s="24"/>
      <c r="AL73" s="24"/>
      <c r="AM73" s="24"/>
      <c r="AN73" s="24"/>
      <c r="AO73" s="24"/>
      <c r="AP73" s="24"/>
      <c r="AQ73" s="24"/>
      <c r="AR73" s="24"/>
      <c r="AS73" s="24"/>
      <c r="AT73" s="24"/>
      <c r="AU73" s="24"/>
      <c r="AV73" s="24"/>
      <c r="AW73" s="24"/>
      <c r="AX73" s="24"/>
      <c r="AY73" s="24"/>
      <c r="AZ73" s="24"/>
      <c r="BA73" s="24"/>
      <c r="BB73" s="24"/>
    </row>
    <row r="74" ht="12.75" customHeight="1">
      <c r="A74" s="9"/>
      <c r="B74" s="191"/>
      <c r="C74" s="58" t="s">
        <v>48</v>
      </c>
      <c r="D74" s="193">
        <f>'Muni &amp; Domestic Water Use Calcs'!C353</f>
        <v>2510.242411</v>
      </c>
      <c r="E74" s="193">
        <f>'Muni &amp; Domestic Water Use Calcs'!D353</f>
        <v>2535.5672</v>
      </c>
      <c r="F74" s="193">
        <f>'Muni &amp; Domestic Water Use Calcs'!E353</f>
        <v>2556.568243</v>
      </c>
      <c r="G74" s="193">
        <f>'Muni &amp; Domestic Water Use Calcs'!F353</f>
        <v>2587.040346</v>
      </c>
      <c r="H74" s="193">
        <f>'Muni &amp; Domestic Water Use Calcs'!G353</f>
        <v>2641.807774</v>
      </c>
      <c r="I74" s="193">
        <f>'Muni &amp; Domestic Water Use Calcs'!H353</f>
        <v>2672.073984</v>
      </c>
      <c r="J74" s="193">
        <f>'Muni &amp; Domestic Water Use Calcs'!I353</f>
        <v>2730.547479</v>
      </c>
      <c r="K74" s="193">
        <f>'Muni &amp; Domestic Water Use Calcs'!J353</f>
        <v>2799.10971</v>
      </c>
      <c r="L74" s="193">
        <f>'Muni &amp; Domestic Water Use Calcs'!K353</f>
        <v>2874.672289</v>
      </c>
      <c r="M74" s="193">
        <f>'Muni &amp; Domestic Water Use Calcs'!L353</f>
        <v>2916.468484</v>
      </c>
      <c r="N74" s="193">
        <f>'Muni &amp; Domestic Water Use Calcs'!M353</f>
        <v>2927.174899</v>
      </c>
      <c r="O74" s="193">
        <f>'Muni &amp; Domestic Water Use Calcs'!N353</f>
        <v>2942.822735</v>
      </c>
      <c r="P74" s="193">
        <f>'Muni &amp; Domestic Water Use Calcs'!O353</f>
        <v>1074.67611</v>
      </c>
      <c r="Q74" s="193">
        <f>'Muni &amp; Domestic Water Use Calcs'!P353</f>
        <v>1103.207993</v>
      </c>
      <c r="R74" s="193">
        <f>'Muni &amp; Domestic Water Use Calcs'!Q353</f>
        <v>1124.588282</v>
      </c>
      <c r="S74" s="193">
        <f>'Muni &amp; Domestic Water Use Calcs'!R353</f>
        <v>1132.410338</v>
      </c>
      <c r="T74" s="193">
        <f>'Muni &amp; Domestic Water Use Calcs'!S353</f>
        <v>1141.275336</v>
      </c>
      <c r="U74" s="193">
        <f>'Muni &amp; Domestic Water Use Calcs'!T353</f>
        <v>1144.702142</v>
      </c>
      <c r="V74" s="193">
        <f>'Muni &amp; Domestic Water Use Calcs'!U353</f>
        <v>1139.26395</v>
      </c>
      <c r="W74" s="193">
        <f>'Muni &amp; Domestic Water Use Calcs'!V353</f>
        <v>0</v>
      </c>
      <c r="X74" s="193">
        <f>'Muni &amp; Domestic Water Use Calcs'!W353</f>
        <v>0</v>
      </c>
      <c r="Y74" s="193">
        <f>'Muni &amp; Domestic Water Use Calcs'!X353</f>
        <v>0</v>
      </c>
      <c r="Z74" s="193">
        <f>'Muni &amp; Domestic Water Use Calcs'!Y353</f>
        <v>0</v>
      </c>
      <c r="AA74" s="193">
        <f>'Muni &amp; Domestic Water Use Calcs'!Z353</f>
        <v>0</v>
      </c>
      <c r="AB74" s="193">
        <f>'Muni &amp; Domestic Water Use Calcs'!AA353</f>
        <v>0</v>
      </c>
      <c r="AC74" s="193">
        <f>'Muni &amp; Domestic Water Use Calcs'!AB353</f>
        <v>0</v>
      </c>
      <c r="AD74" s="193">
        <f>'Muni &amp; Domestic Water Use Calcs'!AC353</f>
        <v>0</v>
      </c>
      <c r="AE74" s="193">
        <f>'Muni &amp; Domestic Water Use Calcs'!AD353</f>
        <v>0</v>
      </c>
      <c r="AF74" s="193">
        <f>'Muni &amp; Domestic Water Use Calcs'!AE353</f>
        <v>0</v>
      </c>
      <c r="AG74" s="193">
        <f>'Muni &amp; Domestic Water Use Calcs'!AF353</f>
        <v>0</v>
      </c>
      <c r="AH74" s="200">
        <f>'Muni &amp; Domestic Water Use Calcs'!AG353</f>
        <v>0</v>
      </c>
      <c r="AI74" s="24"/>
      <c r="AJ74" s="24"/>
      <c r="AK74" s="24"/>
      <c r="AL74" s="24"/>
      <c r="AM74" s="24"/>
      <c r="AN74" s="24"/>
      <c r="AO74" s="24"/>
      <c r="AP74" s="24"/>
      <c r="AQ74" s="24"/>
      <c r="AR74" s="24"/>
      <c r="AS74" s="24"/>
      <c r="AT74" s="24"/>
      <c r="AU74" s="24"/>
      <c r="AV74" s="24"/>
      <c r="AW74" s="24"/>
      <c r="AX74" s="24"/>
      <c r="AY74" s="24"/>
      <c r="AZ74" s="24"/>
      <c r="BA74" s="24"/>
      <c r="BB74" s="24"/>
    </row>
    <row r="75" ht="12.75" customHeight="1">
      <c r="A75" s="9"/>
      <c r="B75" s="201" t="s">
        <v>109</v>
      </c>
      <c r="C75" s="202" t="s">
        <v>47</v>
      </c>
      <c r="D75" s="203">
        <f t="shared" ref="D75:AH75" si="20">SUM(D76:D77)</f>
        <v>112</v>
      </c>
      <c r="E75" s="203">
        <f t="shared" si="20"/>
        <v>112</v>
      </c>
      <c r="F75" s="203">
        <f t="shared" si="20"/>
        <v>112</v>
      </c>
      <c r="G75" s="203">
        <f t="shared" si="20"/>
        <v>112</v>
      </c>
      <c r="H75" s="203">
        <f t="shared" si="20"/>
        <v>112</v>
      </c>
      <c r="I75" s="203">
        <f t="shared" si="20"/>
        <v>112</v>
      </c>
      <c r="J75" s="203">
        <f t="shared" si="20"/>
        <v>0</v>
      </c>
      <c r="K75" s="203">
        <f t="shared" si="20"/>
        <v>0</v>
      </c>
      <c r="L75" s="203">
        <f t="shared" si="20"/>
        <v>0</v>
      </c>
      <c r="M75" s="203">
        <f t="shared" si="20"/>
        <v>0</v>
      </c>
      <c r="N75" s="203">
        <f t="shared" si="20"/>
        <v>0</v>
      </c>
      <c r="O75" s="203">
        <f t="shared" si="20"/>
        <v>0</v>
      </c>
      <c r="P75" s="203">
        <f t="shared" si="20"/>
        <v>0</v>
      </c>
      <c r="Q75" s="203">
        <f t="shared" si="20"/>
        <v>0</v>
      </c>
      <c r="R75" s="203">
        <f t="shared" si="20"/>
        <v>0</v>
      </c>
      <c r="S75" s="203">
        <f t="shared" si="20"/>
        <v>0</v>
      </c>
      <c r="T75" s="203">
        <f t="shared" si="20"/>
        <v>0</v>
      </c>
      <c r="U75" s="203">
        <f t="shared" si="20"/>
        <v>0</v>
      </c>
      <c r="V75" s="203">
        <f t="shared" si="20"/>
        <v>0</v>
      </c>
      <c r="W75" s="203">
        <f t="shared" si="20"/>
        <v>0</v>
      </c>
      <c r="X75" s="203">
        <f t="shared" si="20"/>
        <v>0</v>
      </c>
      <c r="Y75" s="203">
        <f t="shared" si="20"/>
        <v>0</v>
      </c>
      <c r="Z75" s="203">
        <f t="shared" si="20"/>
        <v>0</v>
      </c>
      <c r="AA75" s="203">
        <f t="shared" si="20"/>
        <v>0</v>
      </c>
      <c r="AB75" s="203">
        <f t="shared" si="20"/>
        <v>0</v>
      </c>
      <c r="AC75" s="203">
        <f t="shared" si="20"/>
        <v>0</v>
      </c>
      <c r="AD75" s="203">
        <f t="shared" si="20"/>
        <v>0</v>
      </c>
      <c r="AE75" s="203">
        <f t="shared" si="20"/>
        <v>0</v>
      </c>
      <c r="AF75" s="203">
        <f t="shared" si="20"/>
        <v>0</v>
      </c>
      <c r="AG75" s="203">
        <f t="shared" si="20"/>
        <v>0</v>
      </c>
      <c r="AH75" s="204">
        <f t="shared" si="20"/>
        <v>0</v>
      </c>
      <c r="AI75" s="24"/>
      <c r="AJ75" s="24"/>
      <c r="AK75" s="24"/>
      <c r="AL75" s="24"/>
      <c r="AM75" s="24"/>
      <c r="AN75" s="24"/>
      <c r="AO75" s="24"/>
      <c r="AP75" s="24"/>
      <c r="AQ75" s="24"/>
      <c r="AR75" s="24"/>
      <c r="AS75" s="24"/>
      <c r="AT75" s="24"/>
      <c r="AU75" s="24"/>
      <c r="AV75" s="24"/>
      <c r="AW75" s="24"/>
      <c r="AX75" s="24"/>
      <c r="AY75" s="24"/>
      <c r="AZ75" s="24"/>
      <c r="BA75" s="24"/>
      <c r="BB75" s="24"/>
    </row>
    <row r="76" ht="12.75" customHeight="1">
      <c r="A76" s="9"/>
      <c r="B76" s="86"/>
      <c r="C76" s="51" t="s">
        <v>49</v>
      </c>
      <c r="D76" s="87">
        <f>'Industrial Water Use Cals'!C164</f>
        <v>112</v>
      </c>
      <c r="E76" s="87">
        <f>'Industrial Water Use Cals'!D164</f>
        <v>112</v>
      </c>
      <c r="F76" s="87">
        <f>'Industrial Water Use Cals'!E164</f>
        <v>112</v>
      </c>
      <c r="G76" s="87">
        <f>'Industrial Water Use Cals'!F164</f>
        <v>112</v>
      </c>
      <c r="H76" s="87">
        <f>'Industrial Water Use Cals'!G164</f>
        <v>112</v>
      </c>
      <c r="I76" s="87">
        <f>'Industrial Water Use Cals'!H164</f>
        <v>112</v>
      </c>
      <c r="J76" s="87">
        <f>'Industrial Water Use Cals'!I164</f>
        <v>0</v>
      </c>
      <c r="K76" s="87">
        <f>'Industrial Water Use Cals'!J164</f>
        <v>0</v>
      </c>
      <c r="L76" s="87">
        <f>'Industrial Water Use Cals'!K164</f>
        <v>0</v>
      </c>
      <c r="M76" s="87">
        <f>'Industrial Water Use Cals'!L164</f>
        <v>0</v>
      </c>
      <c r="N76" s="87">
        <f>'Industrial Water Use Cals'!M164</f>
        <v>0</v>
      </c>
      <c r="O76" s="87">
        <f>'Industrial Water Use Cals'!N164</f>
        <v>0</v>
      </c>
      <c r="P76" s="87">
        <f>'Industrial Water Use Cals'!O164</f>
        <v>0</v>
      </c>
      <c r="Q76" s="87">
        <f>'Industrial Water Use Cals'!P164</f>
        <v>0</v>
      </c>
      <c r="R76" s="87">
        <f>'Industrial Water Use Cals'!Q164</f>
        <v>0</v>
      </c>
      <c r="S76" s="87" t="str">
        <f>'Industrial Water Use Cals'!R164</f>
        <v/>
      </c>
      <c r="T76" s="87" t="str">
        <f>'Industrial Water Use Cals'!S164</f>
        <v/>
      </c>
      <c r="U76" s="87" t="str">
        <f>'Industrial Water Use Cals'!T164</f>
        <v/>
      </c>
      <c r="V76" s="87" t="str">
        <f>'Industrial Water Use Cals'!U164</f>
        <v/>
      </c>
      <c r="W76" s="87" t="str">
        <f>'Industrial Water Use Cals'!V164</f>
        <v/>
      </c>
      <c r="X76" s="87" t="str">
        <f>'Industrial Water Use Cals'!W164</f>
        <v/>
      </c>
      <c r="Y76" s="87" t="str">
        <f>'Industrial Water Use Cals'!X164</f>
        <v/>
      </c>
      <c r="Z76" s="87" t="str">
        <f>'Industrial Water Use Cals'!Y164</f>
        <v/>
      </c>
      <c r="AA76" s="87" t="str">
        <f>'Industrial Water Use Cals'!Z164</f>
        <v/>
      </c>
      <c r="AB76" s="87" t="str">
        <f>'Industrial Water Use Cals'!AA164</f>
        <v/>
      </c>
      <c r="AC76" s="87" t="str">
        <f>'Industrial Water Use Cals'!AB164</f>
        <v/>
      </c>
      <c r="AD76" s="87" t="str">
        <f>'Industrial Water Use Cals'!AC164</f>
        <v/>
      </c>
      <c r="AE76" s="87" t="str">
        <f>'Industrial Water Use Cals'!AD164</f>
        <v/>
      </c>
      <c r="AF76" s="87" t="str">
        <f>'Industrial Water Use Cals'!AE164</f>
        <v/>
      </c>
      <c r="AG76" s="87" t="str">
        <f>'Industrial Water Use Cals'!AF164</f>
        <v/>
      </c>
      <c r="AH76" s="90" t="str">
        <f>'Industrial Water Use Cals'!AG164</f>
        <v/>
      </c>
      <c r="AI76" s="24"/>
      <c r="AJ76" s="24"/>
      <c r="AK76" s="24"/>
      <c r="AL76" s="24"/>
      <c r="AM76" s="24"/>
      <c r="AN76" s="24"/>
      <c r="AO76" s="24"/>
      <c r="AP76" s="24"/>
      <c r="AQ76" s="24"/>
      <c r="AR76" s="24"/>
      <c r="AS76" s="24"/>
      <c r="AT76" s="24"/>
      <c r="AU76" s="24"/>
      <c r="AV76" s="24"/>
      <c r="AW76" s="24"/>
      <c r="AX76" s="24"/>
      <c r="AY76" s="24"/>
      <c r="AZ76" s="24"/>
      <c r="BA76" s="24"/>
      <c r="BB76" s="24"/>
    </row>
    <row r="77" ht="12.75" customHeight="1">
      <c r="A77" s="18"/>
      <c r="B77" s="214"/>
      <c r="C77" s="215" t="s">
        <v>48</v>
      </c>
      <c r="D77" s="216">
        <f>'Industrial Water Use Cals'!C163</f>
        <v>0</v>
      </c>
      <c r="E77" s="216">
        <f>'Industrial Water Use Cals'!D163</f>
        <v>0</v>
      </c>
      <c r="F77" s="216">
        <f>'Industrial Water Use Cals'!E163</f>
        <v>0</v>
      </c>
      <c r="G77" s="216">
        <f>'Industrial Water Use Cals'!F163</f>
        <v>0</v>
      </c>
      <c r="H77" s="216">
        <f>'Industrial Water Use Cals'!G163</f>
        <v>0</v>
      </c>
      <c r="I77" s="216">
        <f>'Industrial Water Use Cals'!H163</f>
        <v>0</v>
      </c>
      <c r="J77" s="216">
        <f>'Industrial Water Use Cals'!I163</f>
        <v>0</v>
      </c>
      <c r="K77" s="216">
        <f>'Industrial Water Use Cals'!J163</f>
        <v>0</v>
      </c>
      <c r="L77" s="216">
        <f>'Industrial Water Use Cals'!K163</f>
        <v>0</v>
      </c>
      <c r="M77" s="216">
        <f>'Industrial Water Use Cals'!L163</f>
        <v>0</v>
      </c>
      <c r="N77" s="216">
        <f>'Industrial Water Use Cals'!M163</f>
        <v>0</v>
      </c>
      <c r="O77" s="216">
        <f>'Industrial Water Use Cals'!N163</f>
        <v>0</v>
      </c>
      <c r="P77" s="216">
        <f>'Industrial Water Use Cals'!O163</f>
        <v>0</v>
      </c>
      <c r="Q77" s="216">
        <f>'Industrial Water Use Cals'!P163</f>
        <v>0</v>
      </c>
      <c r="R77" s="216">
        <f>'Industrial Water Use Cals'!Q163</f>
        <v>0</v>
      </c>
      <c r="S77" s="216" t="str">
        <f>'Industrial Water Use Cals'!R163</f>
        <v/>
      </c>
      <c r="T77" s="216" t="str">
        <f>'Industrial Water Use Cals'!S163</f>
        <v/>
      </c>
      <c r="U77" s="216" t="str">
        <f>'Industrial Water Use Cals'!T163</f>
        <v/>
      </c>
      <c r="V77" s="216" t="str">
        <f>'Industrial Water Use Cals'!U163</f>
        <v/>
      </c>
      <c r="W77" s="216" t="str">
        <f>'Industrial Water Use Cals'!V163</f>
        <v/>
      </c>
      <c r="X77" s="216" t="str">
        <f>'Industrial Water Use Cals'!W163</f>
        <v/>
      </c>
      <c r="Y77" s="216" t="str">
        <f>'Industrial Water Use Cals'!X163</f>
        <v/>
      </c>
      <c r="Z77" s="216" t="str">
        <f>'Industrial Water Use Cals'!Y163</f>
        <v/>
      </c>
      <c r="AA77" s="216" t="str">
        <f>'Industrial Water Use Cals'!Z163</f>
        <v/>
      </c>
      <c r="AB77" s="216" t="str">
        <f>'Industrial Water Use Cals'!AA163</f>
        <v/>
      </c>
      <c r="AC77" s="216" t="str">
        <f>'Industrial Water Use Cals'!AB163</f>
        <v/>
      </c>
      <c r="AD77" s="216" t="str">
        <f>'Industrial Water Use Cals'!AC163</f>
        <v/>
      </c>
      <c r="AE77" s="216" t="str">
        <f>'Industrial Water Use Cals'!AD163</f>
        <v/>
      </c>
      <c r="AF77" s="216" t="str">
        <f>'Industrial Water Use Cals'!AE163</f>
        <v/>
      </c>
      <c r="AG77" s="216" t="str">
        <f>'Industrial Water Use Cals'!AF163</f>
        <v/>
      </c>
      <c r="AH77" s="217" t="str">
        <f>'Industrial Water Use Cals'!AG163</f>
        <v/>
      </c>
      <c r="AI77" s="24"/>
      <c r="AJ77" s="24"/>
      <c r="AK77" s="24"/>
      <c r="AL77" s="24"/>
      <c r="AM77" s="24"/>
      <c r="AN77" s="24"/>
      <c r="AO77" s="24"/>
      <c r="AP77" s="24"/>
      <c r="AQ77" s="24"/>
      <c r="AR77" s="24"/>
      <c r="AS77" s="24"/>
      <c r="AT77" s="24"/>
      <c r="AU77" s="24"/>
      <c r="AV77" s="24"/>
      <c r="AW77" s="24"/>
      <c r="AX77" s="24"/>
      <c r="AY77" s="24"/>
      <c r="AZ77" s="24"/>
      <c r="BA77" s="24"/>
      <c r="BB77" s="24"/>
    </row>
    <row r="78" ht="12.75" customHeight="1">
      <c r="A78" s="66" t="s">
        <v>14</v>
      </c>
      <c r="B78" s="68" t="s">
        <v>46</v>
      </c>
      <c r="C78" s="70" t="s">
        <v>47</v>
      </c>
      <c r="D78" s="73">
        <f t="shared" ref="D78:AH78" si="21">SUM(D79:D80)</f>
        <v>880733.2398</v>
      </c>
      <c r="E78" s="73">
        <f t="shared" si="21"/>
        <v>907689.5328</v>
      </c>
      <c r="F78" s="73">
        <f t="shared" si="21"/>
        <v>782591.173</v>
      </c>
      <c r="G78" s="73">
        <f t="shared" si="21"/>
        <v>1024009.464</v>
      </c>
      <c r="H78" s="73">
        <f t="shared" si="21"/>
        <v>1045218.761</v>
      </c>
      <c r="I78" s="73">
        <f t="shared" si="21"/>
        <v>1090001.781</v>
      </c>
      <c r="J78" s="73">
        <f t="shared" si="21"/>
        <v>903845.4243</v>
      </c>
      <c r="K78" s="73">
        <f t="shared" si="21"/>
        <v>988923.3491</v>
      </c>
      <c r="L78" s="73">
        <f t="shared" si="21"/>
        <v>1038025.816</v>
      </c>
      <c r="M78" s="73">
        <f t="shared" si="21"/>
        <v>1122973.406</v>
      </c>
      <c r="N78" s="73">
        <f t="shared" si="21"/>
        <v>988685.6798</v>
      </c>
      <c r="O78" s="73">
        <f t="shared" si="21"/>
        <v>1009416.572</v>
      </c>
      <c r="P78" s="73">
        <f t="shared" si="21"/>
        <v>860045.2816</v>
      </c>
      <c r="Q78" s="73">
        <f t="shared" si="21"/>
        <v>978982.641</v>
      </c>
      <c r="R78" s="73">
        <f t="shared" si="21"/>
        <v>1172696.88</v>
      </c>
      <c r="S78" s="73">
        <f t="shared" si="21"/>
        <v>1126434.177</v>
      </c>
      <c r="T78" s="73">
        <f t="shared" si="21"/>
        <v>1298422.38</v>
      </c>
      <c r="U78" s="73">
        <f t="shared" si="21"/>
        <v>1334068.167</v>
      </c>
      <c r="V78" s="73">
        <f t="shared" si="21"/>
        <v>1432484.704</v>
      </c>
      <c r="W78" s="73" t="str">
        <f t="shared" si="21"/>
        <v>#DIV/0!</v>
      </c>
      <c r="X78" s="73" t="str">
        <f t="shared" si="21"/>
        <v>#DIV/0!</v>
      </c>
      <c r="Y78" s="73" t="str">
        <f t="shared" si="21"/>
        <v>#DIV/0!</v>
      </c>
      <c r="Z78" s="73" t="str">
        <f t="shared" si="21"/>
        <v>#DIV/0!</v>
      </c>
      <c r="AA78" s="73" t="str">
        <f t="shared" si="21"/>
        <v>#DIV/0!</v>
      </c>
      <c r="AB78" s="73" t="str">
        <f t="shared" si="21"/>
        <v>#DIV/0!</v>
      </c>
      <c r="AC78" s="73" t="str">
        <f t="shared" si="21"/>
        <v>#DIV/0!</v>
      </c>
      <c r="AD78" s="73" t="str">
        <f t="shared" si="21"/>
        <v>#DIV/0!</v>
      </c>
      <c r="AE78" s="73" t="str">
        <f t="shared" si="21"/>
        <v>#DIV/0!</v>
      </c>
      <c r="AF78" s="73" t="str">
        <f t="shared" si="21"/>
        <v>#DIV/0!</v>
      </c>
      <c r="AG78" s="73" t="str">
        <f t="shared" si="21"/>
        <v>#DIV/0!</v>
      </c>
      <c r="AH78" s="85" t="str">
        <f t="shared" si="21"/>
        <v>#DIV/0!</v>
      </c>
      <c r="AI78" s="24"/>
      <c r="AJ78" s="24"/>
      <c r="AK78" s="24"/>
      <c r="AL78" s="24"/>
      <c r="AM78" s="24"/>
      <c r="AN78" s="24"/>
      <c r="AO78" s="24"/>
      <c r="AP78" s="24"/>
      <c r="AQ78" s="24"/>
      <c r="AR78" s="24"/>
      <c r="AS78" s="24"/>
      <c r="AT78" s="24"/>
      <c r="AU78" s="24"/>
      <c r="AV78" s="24"/>
      <c r="AW78" s="24"/>
      <c r="AX78" s="24"/>
      <c r="AY78" s="24"/>
      <c r="AZ78" s="24"/>
      <c r="BA78" s="24"/>
      <c r="BB78" s="24"/>
    </row>
    <row r="79" ht="12.75" customHeight="1">
      <c r="A79" s="9"/>
      <c r="B79" s="86"/>
      <c r="C79" s="51" t="s">
        <v>49</v>
      </c>
      <c r="D79" s="87">
        <f>'Agricultural Water Use Calcs'!V253</f>
        <v>874695.9093</v>
      </c>
      <c r="E79" s="87">
        <f>'Agricultural Water Use Calcs'!W253</f>
        <v>901467.4199</v>
      </c>
      <c r="F79" s="87">
        <f>'Agricultural Water Use Calcs'!X253</f>
        <v>777226.5957</v>
      </c>
      <c r="G79" s="87">
        <f>'Agricultural Water Use Calcs'!Y253</f>
        <v>1016989.99</v>
      </c>
      <c r="H79" s="87">
        <f>'Agricultural Water Use Calcs'!Z253</f>
        <v>1038053.9</v>
      </c>
      <c r="I79" s="87">
        <f>'Agricultural Water Use Calcs'!AA253</f>
        <v>1082529.938</v>
      </c>
      <c r="J79" s="87">
        <f>'Agricultural Water Use Calcs'!AB253</f>
        <v>897649.6624</v>
      </c>
      <c r="K79" s="87">
        <f>'Agricultural Water Use Calcs'!AC253</f>
        <v>982144.3872</v>
      </c>
      <c r="L79" s="87">
        <f>'Agricultural Water Use Calcs'!AD253</f>
        <v>1030910.262</v>
      </c>
      <c r="M79" s="87">
        <f>'Agricultural Water Use Calcs'!AE253</f>
        <v>1115275.546</v>
      </c>
      <c r="N79" s="87">
        <f>'Agricultural Water Use Calcs'!AF253</f>
        <v>981908.3472</v>
      </c>
      <c r="O79" s="87">
        <f>'Agricultural Water Use Calcs'!AG253</f>
        <v>1002497.131</v>
      </c>
      <c r="P79" s="87">
        <f>'Agricultural Water Use Calcs'!AH253</f>
        <v>854149.7648</v>
      </c>
      <c r="Q79" s="87">
        <f>'Agricultural Water Use Calcs'!AI253</f>
        <v>972271.8216</v>
      </c>
      <c r="R79" s="87">
        <f>'Agricultural Water Use Calcs'!AJ253</f>
        <v>1164658.171</v>
      </c>
      <c r="S79" s="87">
        <f>'Agricultural Water Use Calcs'!AK253</f>
        <v>1118712.593</v>
      </c>
      <c r="T79" s="87">
        <f>'Agricultural Water Use Calcs'!AL253</f>
        <v>1289521.836</v>
      </c>
      <c r="U79" s="87">
        <f>'Agricultural Water Use Calcs'!AM253</f>
        <v>1324923.275</v>
      </c>
      <c r="V79" s="87">
        <f>'Agricultural Water Use Calcs'!AN253</f>
        <v>1422665.177</v>
      </c>
      <c r="W79" s="87" t="str">
        <f>'Agricultural Water Use Calcs'!AO253</f>
        <v>#DIV/0!</v>
      </c>
      <c r="X79" s="87" t="str">
        <f>'Agricultural Water Use Calcs'!AP253</f>
        <v>#DIV/0!</v>
      </c>
      <c r="Y79" s="87" t="str">
        <f>'Agricultural Water Use Calcs'!AQ253</f>
        <v>#DIV/0!</v>
      </c>
      <c r="Z79" s="87" t="str">
        <f>'Agricultural Water Use Calcs'!AR253</f>
        <v>#DIV/0!</v>
      </c>
      <c r="AA79" s="87" t="str">
        <f>'Agricultural Water Use Calcs'!AS253</f>
        <v>#DIV/0!</v>
      </c>
      <c r="AB79" s="87" t="str">
        <f>'Agricultural Water Use Calcs'!AT253</f>
        <v>#DIV/0!</v>
      </c>
      <c r="AC79" s="87" t="str">
        <f>'Agricultural Water Use Calcs'!AU253</f>
        <v>#DIV/0!</v>
      </c>
      <c r="AD79" s="87" t="str">
        <f>'Agricultural Water Use Calcs'!AV253</f>
        <v>#DIV/0!</v>
      </c>
      <c r="AE79" s="87" t="str">
        <f>'Agricultural Water Use Calcs'!AW253</f>
        <v>#DIV/0!</v>
      </c>
      <c r="AF79" s="87" t="str">
        <f>'Agricultural Water Use Calcs'!AX253</f>
        <v>#DIV/0!</v>
      </c>
      <c r="AG79" s="87" t="str">
        <f>'Agricultural Water Use Calcs'!AY253</f>
        <v>#DIV/0!</v>
      </c>
      <c r="AH79" s="90" t="str">
        <f>'Agricultural Water Use Calcs'!AZ253</f>
        <v>#DIV/0!</v>
      </c>
      <c r="AI79" s="24"/>
      <c r="AJ79" s="24"/>
      <c r="AK79" s="24"/>
      <c r="AL79" s="24"/>
      <c r="AM79" s="24"/>
      <c r="AN79" s="24"/>
      <c r="AO79" s="24"/>
      <c r="AP79" s="24"/>
      <c r="AQ79" s="24"/>
      <c r="AR79" s="24"/>
      <c r="AS79" s="24"/>
      <c r="AT79" s="24"/>
      <c r="AU79" s="24"/>
      <c r="AV79" s="24"/>
      <c r="AW79" s="24"/>
      <c r="AX79" s="24"/>
      <c r="AY79" s="24"/>
      <c r="AZ79" s="24"/>
      <c r="BA79" s="24"/>
      <c r="BB79" s="24"/>
    </row>
    <row r="80" ht="12.75" customHeight="1">
      <c r="A80" s="9"/>
      <c r="B80" s="92"/>
      <c r="C80" s="51" t="s">
        <v>48</v>
      </c>
      <c r="D80" s="87">
        <f>'Agricultural Water Use Calcs'!V254</f>
        <v>6037.330428</v>
      </c>
      <c r="E80" s="87">
        <f>'Agricultural Water Use Calcs'!W254</f>
        <v>6222.11288</v>
      </c>
      <c r="F80" s="87">
        <f>'Agricultural Water Use Calcs'!X254</f>
        <v>5364.57725</v>
      </c>
      <c r="G80" s="87">
        <f>'Agricultural Water Use Calcs'!Y254</f>
        <v>7019.473338</v>
      </c>
      <c r="H80" s="87">
        <f>'Agricultural Water Use Calcs'!Z254</f>
        <v>7164.86076</v>
      </c>
      <c r="I80" s="87">
        <f>'Agricultural Water Use Calcs'!AA254</f>
        <v>7471.843485</v>
      </c>
      <c r="J80" s="87">
        <f>'Agricultural Water Use Calcs'!AB254</f>
        <v>6195.761936</v>
      </c>
      <c r="K80" s="87">
        <f>'Agricultural Water Use Calcs'!AC254</f>
        <v>6778.961843</v>
      </c>
      <c r="L80" s="87">
        <f>'Agricultural Water Use Calcs'!AD254</f>
        <v>7115.553906</v>
      </c>
      <c r="M80" s="87">
        <f>'Agricultural Water Use Calcs'!AE254</f>
        <v>7697.860383</v>
      </c>
      <c r="N80" s="87">
        <f>'Agricultural Water Use Calcs'!AF254</f>
        <v>6777.332646</v>
      </c>
      <c r="O80" s="87">
        <f>'Agricultural Water Use Calcs'!AG254</f>
        <v>6919.440653</v>
      </c>
      <c r="P80" s="87">
        <f>'Agricultural Water Use Calcs'!AH254</f>
        <v>5895.516728</v>
      </c>
      <c r="Q80" s="87">
        <f>'Agricultural Water Use Calcs'!AI254</f>
        <v>6710.819372</v>
      </c>
      <c r="R80" s="87">
        <f>'Agricultural Water Use Calcs'!AJ254</f>
        <v>8038.70938</v>
      </c>
      <c r="S80" s="87">
        <f>'Agricultural Water Use Calcs'!AK254</f>
        <v>7721.583591</v>
      </c>
      <c r="T80" s="87">
        <f>'Agricultural Water Use Calcs'!AL254</f>
        <v>8900.543988</v>
      </c>
      <c r="U80" s="87">
        <f>'Agricultural Water Use Calcs'!AM254</f>
        <v>9144.891978</v>
      </c>
      <c r="V80" s="87">
        <f>'Agricultural Water Use Calcs'!AN254</f>
        <v>9819.526616</v>
      </c>
      <c r="W80" s="87" t="str">
        <f>'Agricultural Water Use Calcs'!AO254</f>
        <v>#DIV/0!</v>
      </c>
      <c r="X80" s="87" t="str">
        <f>'Agricultural Water Use Calcs'!AP254</f>
        <v>#DIV/0!</v>
      </c>
      <c r="Y80" s="87" t="str">
        <f>'Agricultural Water Use Calcs'!AQ254</f>
        <v>#DIV/0!</v>
      </c>
      <c r="Z80" s="87" t="str">
        <f>'Agricultural Water Use Calcs'!AR254</f>
        <v>#DIV/0!</v>
      </c>
      <c r="AA80" s="87" t="str">
        <f>'Agricultural Water Use Calcs'!AS254</f>
        <v>#DIV/0!</v>
      </c>
      <c r="AB80" s="87" t="str">
        <f>'Agricultural Water Use Calcs'!AT254</f>
        <v>#DIV/0!</v>
      </c>
      <c r="AC80" s="87" t="str">
        <f>'Agricultural Water Use Calcs'!AU254</f>
        <v>#DIV/0!</v>
      </c>
      <c r="AD80" s="87" t="str">
        <f>'Agricultural Water Use Calcs'!AV254</f>
        <v>#DIV/0!</v>
      </c>
      <c r="AE80" s="87" t="str">
        <f>'Agricultural Water Use Calcs'!AW254</f>
        <v>#DIV/0!</v>
      </c>
      <c r="AF80" s="87" t="str">
        <f>'Agricultural Water Use Calcs'!AX254</f>
        <v>#DIV/0!</v>
      </c>
      <c r="AG80" s="87" t="str">
        <f>'Agricultural Water Use Calcs'!AY254</f>
        <v>#DIV/0!</v>
      </c>
      <c r="AH80" s="90" t="str">
        <f>'Agricultural Water Use Calcs'!AZ254</f>
        <v>#DIV/0!</v>
      </c>
      <c r="AI80" s="24"/>
      <c r="AJ80" s="24"/>
      <c r="AK80" s="24"/>
      <c r="AL80" s="24"/>
      <c r="AM80" s="24"/>
      <c r="AN80" s="24"/>
      <c r="AO80" s="24"/>
      <c r="AP80" s="24"/>
      <c r="AQ80" s="24"/>
      <c r="AR80" s="24"/>
      <c r="AS80" s="24"/>
      <c r="AT80" s="24"/>
      <c r="AU80" s="24"/>
      <c r="AV80" s="24"/>
      <c r="AW80" s="24"/>
      <c r="AX80" s="24"/>
      <c r="AY80" s="24"/>
      <c r="AZ80" s="24"/>
      <c r="BA80" s="24"/>
      <c r="BB80" s="24"/>
    </row>
    <row r="81" ht="12.75" customHeight="1">
      <c r="A81" s="9"/>
      <c r="B81" s="111" t="s">
        <v>60</v>
      </c>
      <c r="C81" s="112" t="s">
        <v>47</v>
      </c>
      <c r="D81" s="114" t="s">
        <v>7</v>
      </c>
      <c r="E81" s="114" t="s">
        <v>7</v>
      </c>
      <c r="F81" s="114">
        <f t="shared" ref="F81:AH81" si="22">SUM(F82:F83)</f>
        <v>13665.75521</v>
      </c>
      <c r="G81" s="114">
        <f t="shared" si="22"/>
        <v>13633.05989</v>
      </c>
      <c r="H81" s="114">
        <f t="shared" si="22"/>
        <v>13686.4964</v>
      </c>
      <c r="I81" s="114">
        <f t="shared" si="22"/>
        <v>13756.56141</v>
      </c>
      <c r="J81" s="114">
        <f t="shared" si="22"/>
        <v>13811.81205</v>
      </c>
      <c r="K81" s="114">
        <f t="shared" si="22"/>
        <v>14040.6648</v>
      </c>
      <c r="L81" s="114">
        <f t="shared" si="22"/>
        <v>14186.42795</v>
      </c>
      <c r="M81" s="114">
        <f t="shared" si="22"/>
        <v>13428</v>
      </c>
      <c r="N81" s="114">
        <f t="shared" si="22"/>
        <v>13652.78515</v>
      </c>
      <c r="O81" s="114">
        <f t="shared" si="22"/>
        <v>13707.14659</v>
      </c>
      <c r="P81" s="114">
        <f t="shared" si="22"/>
        <v>13816.57947</v>
      </c>
      <c r="Q81" s="114">
        <f t="shared" si="22"/>
        <v>13879.62975</v>
      </c>
      <c r="R81" s="114">
        <f t="shared" si="22"/>
        <v>13774.8252</v>
      </c>
      <c r="S81" s="114">
        <f t="shared" si="22"/>
        <v>13748.51686</v>
      </c>
      <c r="T81" s="114">
        <f t="shared" si="22"/>
        <v>13749.38767</v>
      </c>
      <c r="U81" s="114">
        <f t="shared" si="22"/>
        <v>13674.64208</v>
      </c>
      <c r="V81" s="114">
        <f t="shared" si="22"/>
        <v>13536.94189</v>
      </c>
      <c r="W81" s="114">
        <f t="shared" si="22"/>
        <v>0</v>
      </c>
      <c r="X81" s="114">
        <f t="shared" si="22"/>
        <v>0</v>
      </c>
      <c r="Y81" s="114">
        <f t="shared" si="22"/>
        <v>0</v>
      </c>
      <c r="Z81" s="114">
        <f t="shared" si="22"/>
        <v>0</v>
      </c>
      <c r="AA81" s="114">
        <f t="shared" si="22"/>
        <v>0</v>
      </c>
      <c r="AB81" s="114">
        <f t="shared" si="22"/>
        <v>0</v>
      </c>
      <c r="AC81" s="114">
        <f t="shared" si="22"/>
        <v>0</v>
      </c>
      <c r="AD81" s="114">
        <f t="shared" si="22"/>
        <v>0</v>
      </c>
      <c r="AE81" s="114">
        <f t="shared" si="22"/>
        <v>0</v>
      </c>
      <c r="AF81" s="114">
        <f t="shared" si="22"/>
        <v>0</v>
      </c>
      <c r="AG81" s="114">
        <f t="shared" si="22"/>
        <v>0</v>
      </c>
      <c r="AH81" s="128">
        <f t="shared" si="22"/>
        <v>0</v>
      </c>
      <c r="AI81" s="24"/>
      <c r="AJ81" s="24"/>
      <c r="AK81" s="24"/>
      <c r="AL81" s="24"/>
      <c r="AM81" s="24"/>
      <c r="AN81" s="24"/>
      <c r="AO81" s="24"/>
      <c r="AP81" s="24"/>
      <c r="AQ81" s="24"/>
      <c r="AR81" s="24"/>
      <c r="AS81" s="24"/>
      <c r="AT81" s="24"/>
      <c r="AU81" s="24"/>
      <c r="AV81" s="24"/>
      <c r="AW81" s="24"/>
      <c r="AX81" s="24"/>
      <c r="AY81" s="24"/>
      <c r="AZ81" s="24"/>
      <c r="BA81" s="24"/>
      <c r="BB81" s="24"/>
    </row>
    <row r="82" ht="12.75" customHeight="1">
      <c r="A82" s="9"/>
      <c r="B82" s="86"/>
      <c r="C82" s="51" t="s">
        <v>49</v>
      </c>
      <c r="D82" s="87" t="s">
        <v>7</v>
      </c>
      <c r="E82" s="87" t="s">
        <v>7</v>
      </c>
      <c r="F82" s="87">
        <f>'Muni &amp; Domestic Water Use Calcs'!E416</f>
        <v>4373.041666</v>
      </c>
      <c r="G82" s="87">
        <f>'Muni &amp; Domestic Water Use Calcs'!F416</f>
        <v>4380.470324</v>
      </c>
      <c r="H82" s="87">
        <f>'Muni &amp; Domestic Water Use Calcs'!G416</f>
        <v>4400.202695</v>
      </c>
      <c r="I82" s="87">
        <f>'Muni &amp; Domestic Water Use Calcs'!H416</f>
        <v>4438.971</v>
      </c>
      <c r="J82" s="87">
        <f>'Muni &amp; Domestic Water Use Calcs'!I416</f>
        <v>4494.22164</v>
      </c>
      <c r="K82" s="87">
        <f>'Muni &amp; Domestic Water Use Calcs'!J416</f>
        <v>4561.775993</v>
      </c>
      <c r="L82" s="87">
        <f>'Muni &amp; Domestic Water Use Calcs'!K416</f>
        <v>4631.303583</v>
      </c>
      <c r="M82" s="87">
        <f>'Muni &amp; Domestic Water Use Calcs'!L416</f>
        <v>7728</v>
      </c>
      <c r="N82" s="87">
        <f>'Muni &amp; Domestic Water Use Calcs'!M416</f>
        <v>7875.122057</v>
      </c>
      <c r="O82" s="87">
        <f>'Muni &amp; Domestic Water Use Calcs'!N416</f>
        <v>7922.893902</v>
      </c>
      <c r="P82" s="87">
        <f>'Muni &amp; Domestic Water Use Calcs'!O416</f>
        <v>8014.440745</v>
      </c>
      <c r="Q82" s="87">
        <f>'Muni &amp; Domestic Water Use Calcs'!P416</f>
        <v>8047.367156</v>
      </c>
      <c r="R82" s="87">
        <f>'Muni &amp; Domestic Water Use Calcs'!Q416</f>
        <v>8000.927593</v>
      </c>
      <c r="S82" s="87">
        <f>'Muni &amp; Domestic Water Use Calcs'!R416</f>
        <v>7961.910748</v>
      </c>
      <c r="T82" s="87">
        <f>'Muni &amp; Domestic Water Use Calcs'!S416</f>
        <v>7999.024333</v>
      </c>
      <c r="U82" s="87">
        <f>'Muni &amp; Domestic Water Use Calcs'!T416</f>
        <v>7972.759334</v>
      </c>
      <c r="V82" s="87">
        <f>'Muni &amp; Domestic Water Use Calcs'!U416</f>
        <v>7896.248251</v>
      </c>
      <c r="W82" s="87">
        <f>'Muni &amp; Domestic Water Use Calcs'!V416</f>
        <v>0</v>
      </c>
      <c r="X82" s="87">
        <f>'Muni &amp; Domestic Water Use Calcs'!W416</f>
        <v>0</v>
      </c>
      <c r="Y82" s="87">
        <f>'Muni &amp; Domestic Water Use Calcs'!X416</f>
        <v>0</v>
      </c>
      <c r="Z82" s="87">
        <f>'Muni &amp; Domestic Water Use Calcs'!Y416</f>
        <v>0</v>
      </c>
      <c r="AA82" s="87">
        <f>'Muni &amp; Domestic Water Use Calcs'!Z416</f>
        <v>0</v>
      </c>
      <c r="AB82" s="87">
        <f>'Muni &amp; Domestic Water Use Calcs'!AA416</f>
        <v>0</v>
      </c>
      <c r="AC82" s="87">
        <f>'Muni &amp; Domestic Water Use Calcs'!AB416</f>
        <v>0</v>
      </c>
      <c r="AD82" s="87">
        <f>'Muni &amp; Domestic Water Use Calcs'!AC416</f>
        <v>0</v>
      </c>
      <c r="AE82" s="87">
        <f>'Muni &amp; Domestic Water Use Calcs'!AD416</f>
        <v>0</v>
      </c>
      <c r="AF82" s="87">
        <f>'Muni &amp; Domestic Water Use Calcs'!AE416</f>
        <v>0</v>
      </c>
      <c r="AG82" s="87">
        <f>'Muni &amp; Domestic Water Use Calcs'!AF416</f>
        <v>0</v>
      </c>
      <c r="AH82" s="90">
        <f>'Muni &amp; Domestic Water Use Calcs'!AG416</f>
        <v>0</v>
      </c>
      <c r="AI82" s="24"/>
      <c r="AJ82" s="24"/>
      <c r="AK82" s="24"/>
      <c r="AL82" s="24"/>
      <c r="AM82" s="24"/>
      <c r="AN82" s="24"/>
      <c r="AO82" s="24"/>
      <c r="AP82" s="24"/>
      <c r="AQ82" s="24"/>
      <c r="AR82" s="24"/>
      <c r="AS82" s="24"/>
      <c r="AT82" s="24"/>
      <c r="AU82" s="24"/>
      <c r="AV82" s="24"/>
      <c r="AW82" s="24"/>
      <c r="AX82" s="24"/>
      <c r="AY82" s="24"/>
      <c r="AZ82" s="24"/>
      <c r="BA82" s="24"/>
      <c r="BB82" s="24"/>
    </row>
    <row r="83" ht="12.75" customHeight="1">
      <c r="A83" s="9"/>
      <c r="B83" s="92"/>
      <c r="C83" s="51" t="s">
        <v>48</v>
      </c>
      <c r="D83" s="87" t="s">
        <v>7</v>
      </c>
      <c r="E83" s="87" t="s">
        <v>7</v>
      </c>
      <c r="F83" s="87">
        <f>'Muni &amp; Domestic Water Use Calcs'!E415</f>
        <v>9292.713541</v>
      </c>
      <c r="G83" s="87">
        <f>'Muni &amp; Domestic Water Use Calcs'!F415</f>
        <v>9252.589562</v>
      </c>
      <c r="H83" s="87">
        <f>'Muni &amp; Domestic Water Use Calcs'!G415</f>
        <v>9286.293704</v>
      </c>
      <c r="I83" s="87">
        <f>'Muni &amp; Domestic Water Use Calcs'!H415</f>
        <v>9317.590408</v>
      </c>
      <c r="J83" s="87">
        <f>'Muni &amp; Domestic Water Use Calcs'!I415</f>
        <v>9317.590408</v>
      </c>
      <c r="K83" s="87">
        <f>'Muni &amp; Domestic Water Use Calcs'!J415</f>
        <v>9478.888804</v>
      </c>
      <c r="L83" s="87">
        <f>'Muni &amp; Domestic Water Use Calcs'!K415</f>
        <v>9555.124364</v>
      </c>
      <c r="M83" s="87">
        <f>'Muni &amp; Domestic Water Use Calcs'!L415</f>
        <v>5700</v>
      </c>
      <c r="N83" s="87">
        <f>'Muni &amp; Domestic Water Use Calcs'!M415</f>
        <v>5777.663088</v>
      </c>
      <c r="O83" s="87">
        <f>'Muni &amp; Domestic Water Use Calcs'!N415</f>
        <v>5784.252684</v>
      </c>
      <c r="P83" s="87">
        <f>'Muni &amp; Domestic Water Use Calcs'!O415</f>
        <v>5802.138728</v>
      </c>
      <c r="Q83" s="87">
        <f>'Muni &amp; Domestic Water Use Calcs'!P415</f>
        <v>5832.262593</v>
      </c>
      <c r="R83" s="87">
        <f>'Muni &amp; Domestic Water Use Calcs'!Q415</f>
        <v>5773.897605</v>
      </c>
      <c r="S83" s="87">
        <f>'Muni &amp; Domestic Water Use Calcs'!R415</f>
        <v>5786.606111</v>
      </c>
      <c r="T83" s="87">
        <f>'Muni &amp; Domestic Water Use Calcs'!S415</f>
        <v>5750.363336</v>
      </c>
      <c r="U83" s="87">
        <f>'Muni &amp; Domestic Water Use Calcs'!T415</f>
        <v>5701.882742</v>
      </c>
      <c r="V83" s="87">
        <f>'Muni &amp; Domestic Water Use Calcs'!U415</f>
        <v>5640.693642</v>
      </c>
      <c r="W83" s="87">
        <f>'Muni &amp; Domestic Water Use Calcs'!V415</f>
        <v>0</v>
      </c>
      <c r="X83" s="87">
        <f>'Muni &amp; Domestic Water Use Calcs'!W415</f>
        <v>0</v>
      </c>
      <c r="Y83" s="87">
        <f>'Muni &amp; Domestic Water Use Calcs'!X415</f>
        <v>0</v>
      </c>
      <c r="Z83" s="87">
        <f>'Muni &amp; Domestic Water Use Calcs'!Y415</f>
        <v>0</v>
      </c>
      <c r="AA83" s="87">
        <f>'Muni &amp; Domestic Water Use Calcs'!Z415</f>
        <v>0</v>
      </c>
      <c r="AB83" s="87">
        <f>'Muni &amp; Domestic Water Use Calcs'!AA415</f>
        <v>0</v>
      </c>
      <c r="AC83" s="87">
        <f>'Muni &amp; Domestic Water Use Calcs'!AB415</f>
        <v>0</v>
      </c>
      <c r="AD83" s="87">
        <f>'Muni &amp; Domestic Water Use Calcs'!AC415</f>
        <v>0</v>
      </c>
      <c r="AE83" s="87">
        <f>'Muni &amp; Domestic Water Use Calcs'!AD415</f>
        <v>0</v>
      </c>
      <c r="AF83" s="87">
        <f>'Muni &amp; Domestic Water Use Calcs'!AE415</f>
        <v>0</v>
      </c>
      <c r="AG83" s="87">
        <f>'Muni &amp; Domestic Water Use Calcs'!AF415</f>
        <v>0</v>
      </c>
      <c r="AH83" s="90">
        <f>'Muni &amp; Domestic Water Use Calcs'!AG415</f>
        <v>0</v>
      </c>
      <c r="AI83" s="24"/>
      <c r="AJ83" s="24"/>
      <c r="AK83" s="24"/>
      <c r="AL83" s="24"/>
      <c r="AM83" s="24"/>
      <c r="AN83" s="24"/>
      <c r="AO83" s="24"/>
      <c r="AP83" s="24"/>
      <c r="AQ83" s="24"/>
      <c r="AR83" s="24"/>
      <c r="AS83" s="24"/>
      <c r="AT83" s="24"/>
      <c r="AU83" s="24"/>
      <c r="AV83" s="24"/>
      <c r="AW83" s="24"/>
      <c r="AX83" s="24"/>
      <c r="AY83" s="24"/>
      <c r="AZ83" s="24"/>
      <c r="BA83" s="24"/>
      <c r="BB83" s="24"/>
    </row>
    <row r="84" ht="12.75" customHeight="1">
      <c r="A84" s="9"/>
      <c r="B84" s="161" t="s">
        <v>72</v>
      </c>
      <c r="C84" s="162" t="s">
        <v>47</v>
      </c>
      <c r="D84" s="167" t="s">
        <v>7</v>
      </c>
      <c r="E84" s="167" t="s">
        <v>7</v>
      </c>
      <c r="F84" s="167">
        <f t="shared" ref="F84:AH84" si="23">SUM(F85:F86)</f>
        <v>9433.823665</v>
      </c>
      <c r="G84" s="167">
        <f t="shared" si="23"/>
        <v>9436.505089</v>
      </c>
      <c r="H84" s="167">
        <f t="shared" si="23"/>
        <v>9477.109507</v>
      </c>
      <c r="I84" s="167">
        <f t="shared" si="23"/>
        <v>9548.550299</v>
      </c>
      <c r="J84" s="167">
        <f t="shared" si="23"/>
        <v>9639.71871</v>
      </c>
      <c r="K84" s="167">
        <f t="shared" si="23"/>
        <v>9789.686915</v>
      </c>
      <c r="L84" s="167">
        <f t="shared" si="23"/>
        <v>9922.608925</v>
      </c>
      <c r="M84" s="167">
        <f t="shared" si="23"/>
        <v>7876.85169</v>
      </c>
      <c r="N84" s="167">
        <f t="shared" si="23"/>
        <v>8017.013447</v>
      </c>
      <c r="O84" s="167">
        <f t="shared" si="23"/>
        <v>8056.611385</v>
      </c>
      <c r="P84" s="167">
        <f t="shared" si="23"/>
        <v>8134.163573</v>
      </c>
      <c r="Q84" s="167">
        <f t="shared" si="23"/>
        <v>8169.577578</v>
      </c>
      <c r="R84" s="167">
        <f t="shared" si="23"/>
        <v>8114.588743</v>
      </c>
      <c r="S84" s="167">
        <f t="shared" si="23"/>
        <v>8087.990883</v>
      </c>
      <c r="T84" s="167">
        <f t="shared" si="23"/>
        <v>8105.623173</v>
      </c>
      <c r="U84" s="167">
        <f t="shared" si="23"/>
        <v>8069.611463</v>
      </c>
      <c r="V84" s="167">
        <f t="shared" si="23"/>
        <v>7990.116735</v>
      </c>
      <c r="W84" s="167">
        <f t="shared" si="23"/>
        <v>0</v>
      </c>
      <c r="X84" s="167">
        <f t="shared" si="23"/>
        <v>0</v>
      </c>
      <c r="Y84" s="167">
        <f t="shared" si="23"/>
        <v>0</v>
      </c>
      <c r="Z84" s="167">
        <f t="shared" si="23"/>
        <v>0</v>
      </c>
      <c r="AA84" s="167">
        <f t="shared" si="23"/>
        <v>0</v>
      </c>
      <c r="AB84" s="167">
        <f t="shared" si="23"/>
        <v>0</v>
      </c>
      <c r="AC84" s="167">
        <f t="shared" si="23"/>
        <v>0</v>
      </c>
      <c r="AD84" s="167">
        <f t="shared" si="23"/>
        <v>0</v>
      </c>
      <c r="AE84" s="167">
        <f t="shared" si="23"/>
        <v>0</v>
      </c>
      <c r="AF84" s="167">
        <f t="shared" si="23"/>
        <v>0</v>
      </c>
      <c r="AG84" s="167">
        <f t="shared" si="23"/>
        <v>0</v>
      </c>
      <c r="AH84" s="174">
        <f t="shared" si="23"/>
        <v>0</v>
      </c>
      <c r="AI84" s="24"/>
      <c r="AJ84" s="24"/>
      <c r="AK84" s="24"/>
      <c r="AL84" s="24"/>
      <c r="AM84" s="24"/>
      <c r="AN84" s="24"/>
      <c r="AO84" s="24"/>
      <c r="AP84" s="24"/>
      <c r="AQ84" s="24"/>
      <c r="AR84" s="24"/>
      <c r="AS84" s="24"/>
      <c r="AT84" s="24"/>
      <c r="AU84" s="24"/>
      <c r="AV84" s="24"/>
      <c r="AW84" s="24"/>
      <c r="AX84" s="24"/>
      <c r="AY84" s="24"/>
      <c r="AZ84" s="24"/>
      <c r="BA84" s="24"/>
      <c r="BB84" s="24"/>
    </row>
    <row r="85" ht="12.75" customHeight="1">
      <c r="A85" s="9"/>
      <c r="B85" s="86"/>
      <c r="C85" s="51" t="s">
        <v>49</v>
      </c>
      <c r="D85" s="87" t="s">
        <v>7</v>
      </c>
      <c r="E85" s="87" t="s">
        <v>7</v>
      </c>
      <c r="F85" s="87">
        <f>AVERAGE('Muni &amp; Domestic Water Use Calcs'!E424:E425)</f>
        <v>2452.794153</v>
      </c>
      <c r="G85" s="87">
        <f>AVERAGE('Muni &amp; Domestic Water Use Calcs'!F424:F425)</f>
        <v>2453.491323</v>
      </c>
      <c r="H85" s="87">
        <f>AVERAGE('Muni &amp; Domestic Water Use Calcs'!G424:G425)</f>
        <v>2464.048472</v>
      </c>
      <c r="I85" s="87">
        <f>AVERAGE('Muni &amp; Domestic Water Use Calcs'!H424:H425)</f>
        <v>2482.623078</v>
      </c>
      <c r="J85" s="87">
        <f>AVERAGE('Muni &amp; Domestic Water Use Calcs'!I424:I425)</f>
        <v>2506.326865</v>
      </c>
      <c r="K85" s="87">
        <f>AVERAGE('Muni &amp; Domestic Water Use Calcs'!J424:J425)</f>
        <v>2545.318598</v>
      </c>
      <c r="L85" s="87">
        <f>AVERAGE('Muni &amp; Domestic Water Use Calcs'!K424:K425)</f>
        <v>2579.878321</v>
      </c>
      <c r="M85" s="87">
        <f>AVERAGE('Muni &amp; Domestic Water Use Calcs'!L424:L425)</f>
        <v>2047.981439</v>
      </c>
      <c r="N85" s="87">
        <f>AVERAGE('Muni &amp; Domestic Water Use Calcs'!M424:M425)</f>
        <v>2084.423496</v>
      </c>
      <c r="O85" s="87">
        <f>AVERAGE('Muni &amp; Domestic Water Use Calcs'!N424:N425)</f>
        <v>2094.71896</v>
      </c>
      <c r="P85" s="87">
        <f>AVERAGE('Muni &amp; Domestic Water Use Calcs'!O424:O425)</f>
        <v>2114.882529</v>
      </c>
      <c r="Q85" s="87">
        <f>AVERAGE('Muni &amp; Domestic Water Use Calcs'!P424:P425)</f>
        <v>2124.09017</v>
      </c>
      <c r="R85" s="87">
        <f>AVERAGE('Muni &amp; Domestic Water Use Calcs'!Q424:Q425)</f>
        <v>2109.793073</v>
      </c>
      <c r="S85" s="87">
        <f>AVERAGE('Muni &amp; Domestic Water Use Calcs'!R424:R425)</f>
        <v>2102.87763</v>
      </c>
      <c r="T85" s="87">
        <f>AVERAGE('Muni &amp; Domestic Water Use Calcs'!S424:S425)</f>
        <v>2107.462025</v>
      </c>
      <c r="U85" s="87">
        <f>AVERAGE('Muni &amp; Domestic Water Use Calcs'!T424:T425)</f>
        <v>2098.09898</v>
      </c>
      <c r="V85" s="87">
        <f>AVERAGE('Muni &amp; Domestic Water Use Calcs'!U424:U425)</f>
        <v>2077.430351</v>
      </c>
      <c r="W85" s="87">
        <f>AVERAGE('Muni &amp; Domestic Water Use Calcs'!V424:V425)</f>
        <v>0</v>
      </c>
      <c r="X85" s="87">
        <f>AVERAGE('Muni &amp; Domestic Water Use Calcs'!W424:W425)</f>
        <v>0</v>
      </c>
      <c r="Y85" s="87">
        <f>AVERAGE('Muni &amp; Domestic Water Use Calcs'!X424:X425)</f>
        <v>0</v>
      </c>
      <c r="Z85" s="87">
        <f>AVERAGE('Muni &amp; Domestic Water Use Calcs'!Y424:Y425)</f>
        <v>0</v>
      </c>
      <c r="AA85" s="87">
        <f>AVERAGE('Muni &amp; Domestic Water Use Calcs'!Z424:Z425)</f>
        <v>0</v>
      </c>
      <c r="AB85" s="87">
        <f>AVERAGE('Muni &amp; Domestic Water Use Calcs'!AA424:AA425)</f>
        <v>0</v>
      </c>
      <c r="AC85" s="87">
        <f>AVERAGE('Muni &amp; Domestic Water Use Calcs'!AB424:AB425)</f>
        <v>0</v>
      </c>
      <c r="AD85" s="87">
        <f>AVERAGE('Muni &amp; Domestic Water Use Calcs'!AC424:AC425)</f>
        <v>0</v>
      </c>
      <c r="AE85" s="87">
        <f>AVERAGE('Muni &amp; Domestic Water Use Calcs'!AD424:AD425)</f>
        <v>0</v>
      </c>
      <c r="AF85" s="87">
        <f>AVERAGE('Muni &amp; Domestic Water Use Calcs'!AE424:AE425)</f>
        <v>0</v>
      </c>
      <c r="AG85" s="87">
        <f>AVERAGE('Muni &amp; Domestic Water Use Calcs'!AF424:AF425)</f>
        <v>0</v>
      </c>
      <c r="AH85" s="90">
        <f>AVERAGE('Muni &amp; Domestic Water Use Calcs'!AG424:AG425)</f>
        <v>0</v>
      </c>
      <c r="AI85" s="24"/>
      <c r="AJ85" s="24"/>
      <c r="AK85" s="24"/>
      <c r="AL85" s="24"/>
      <c r="AM85" s="24"/>
      <c r="AN85" s="24"/>
      <c r="AO85" s="24"/>
      <c r="AP85" s="24"/>
      <c r="AQ85" s="24"/>
      <c r="AR85" s="24"/>
      <c r="AS85" s="24"/>
      <c r="AT85" s="24"/>
      <c r="AU85" s="24"/>
      <c r="AV85" s="24"/>
      <c r="AW85" s="24"/>
      <c r="AX85" s="24"/>
      <c r="AY85" s="24"/>
      <c r="AZ85" s="24"/>
      <c r="BA85" s="24"/>
      <c r="BB85" s="24"/>
    </row>
    <row r="86" ht="12.75" customHeight="1">
      <c r="A86" s="9"/>
      <c r="B86" s="191"/>
      <c r="C86" s="58" t="s">
        <v>48</v>
      </c>
      <c r="D86" s="193" t="s">
        <v>7</v>
      </c>
      <c r="E86" s="193" t="s">
        <v>7</v>
      </c>
      <c r="F86" s="193">
        <f>AVERAGE('Muni &amp; Domestic Water Use Calcs'!E426:E427)</f>
        <v>6981.029512</v>
      </c>
      <c r="G86" s="193">
        <f>AVERAGE('Muni &amp; Domestic Water Use Calcs'!F426:F427)</f>
        <v>6983.013766</v>
      </c>
      <c r="H86" s="193">
        <f>AVERAGE('Muni &amp; Domestic Water Use Calcs'!G426:G427)</f>
        <v>7013.061035</v>
      </c>
      <c r="I86" s="193">
        <f>AVERAGE('Muni &amp; Domestic Water Use Calcs'!H426:H427)</f>
        <v>7065.927221</v>
      </c>
      <c r="J86" s="193">
        <f>AVERAGE('Muni &amp; Domestic Water Use Calcs'!I426:I427)</f>
        <v>7133.391845</v>
      </c>
      <c r="K86" s="193">
        <f>AVERAGE('Muni &amp; Domestic Water Use Calcs'!J426:J427)</f>
        <v>7244.368317</v>
      </c>
      <c r="L86" s="193">
        <f>AVERAGE('Muni &amp; Domestic Water Use Calcs'!K426:K427)</f>
        <v>7342.730605</v>
      </c>
      <c r="M86" s="193">
        <f>AVERAGE('Muni &amp; Domestic Water Use Calcs'!L426:L427)</f>
        <v>5828.870251</v>
      </c>
      <c r="N86" s="193">
        <f>AVERAGE('Muni &amp; Domestic Water Use Calcs'!M426:M427)</f>
        <v>5932.589951</v>
      </c>
      <c r="O86" s="193">
        <f>AVERAGE('Muni &amp; Domestic Water Use Calcs'!N426:N427)</f>
        <v>5961.892425</v>
      </c>
      <c r="P86" s="193">
        <f>AVERAGE('Muni &amp; Domestic Water Use Calcs'!O426:O427)</f>
        <v>6019.281044</v>
      </c>
      <c r="Q86" s="193">
        <f>AVERAGE('Muni &amp; Domestic Water Use Calcs'!P426:P427)</f>
        <v>6045.487408</v>
      </c>
      <c r="R86" s="193">
        <f>AVERAGE('Muni &amp; Domestic Water Use Calcs'!Q426:Q427)</f>
        <v>6004.79567</v>
      </c>
      <c r="S86" s="193">
        <f>AVERAGE('Muni &amp; Domestic Water Use Calcs'!R426:R427)</f>
        <v>5985.113254</v>
      </c>
      <c r="T86" s="193">
        <f>AVERAGE('Muni &amp; Domestic Water Use Calcs'!S426:S427)</f>
        <v>5998.161148</v>
      </c>
      <c r="U86" s="193">
        <f>AVERAGE('Muni &amp; Domestic Water Use Calcs'!T426:T427)</f>
        <v>5971.512483</v>
      </c>
      <c r="V86" s="193">
        <f>AVERAGE('Muni &amp; Domestic Water Use Calcs'!U426:U427)</f>
        <v>5912.686384</v>
      </c>
      <c r="W86" s="193">
        <f>AVERAGE('Muni &amp; Domestic Water Use Calcs'!V426:V427)</f>
        <v>0</v>
      </c>
      <c r="X86" s="193">
        <f>AVERAGE('Muni &amp; Domestic Water Use Calcs'!W426:W427)</f>
        <v>0</v>
      </c>
      <c r="Y86" s="193">
        <f>AVERAGE('Muni &amp; Domestic Water Use Calcs'!X426:X427)</f>
        <v>0</v>
      </c>
      <c r="Z86" s="193">
        <f>AVERAGE('Muni &amp; Domestic Water Use Calcs'!Y426:Y427)</f>
        <v>0</v>
      </c>
      <c r="AA86" s="193">
        <f>AVERAGE('Muni &amp; Domestic Water Use Calcs'!Z426:Z427)</f>
        <v>0</v>
      </c>
      <c r="AB86" s="193">
        <f>AVERAGE('Muni &amp; Domestic Water Use Calcs'!AA426:AA427)</f>
        <v>0</v>
      </c>
      <c r="AC86" s="193">
        <f>AVERAGE('Muni &amp; Domestic Water Use Calcs'!AB426:AB427)</f>
        <v>0</v>
      </c>
      <c r="AD86" s="193">
        <f>AVERAGE('Muni &amp; Domestic Water Use Calcs'!AC426:AC427)</f>
        <v>0</v>
      </c>
      <c r="AE86" s="193">
        <f>AVERAGE('Muni &amp; Domestic Water Use Calcs'!AD426:AD427)</f>
        <v>0</v>
      </c>
      <c r="AF86" s="193">
        <f>AVERAGE('Muni &amp; Domestic Water Use Calcs'!AE426:AE427)</f>
        <v>0</v>
      </c>
      <c r="AG86" s="193">
        <f>AVERAGE('Muni &amp; Domestic Water Use Calcs'!AF426:AF427)</f>
        <v>0</v>
      </c>
      <c r="AH86" s="200">
        <f>AVERAGE('Muni &amp; Domestic Water Use Calcs'!AG426:AG427)</f>
        <v>0</v>
      </c>
      <c r="AI86" s="24"/>
      <c r="AJ86" s="24"/>
      <c r="AK86" s="24"/>
      <c r="AL86" s="24"/>
      <c r="AM86" s="24"/>
      <c r="AN86" s="24"/>
      <c r="AO86" s="24"/>
      <c r="AP86" s="24"/>
      <c r="AQ86" s="24"/>
      <c r="AR86" s="24"/>
      <c r="AS86" s="24"/>
      <c r="AT86" s="24"/>
      <c r="AU86" s="24"/>
      <c r="AV86" s="24"/>
      <c r="AW86" s="24"/>
      <c r="AX86" s="24"/>
      <c r="AY86" s="24"/>
      <c r="AZ86" s="24"/>
      <c r="BA86" s="24"/>
      <c r="BB86" s="24"/>
    </row>
    <row r="87" ht="12.75" customHeight="1">
      <c r="A87" s="9"/>
      <c r="B87" s="201" t="s">
        <v>109</v>
      </c>
      <c r="C87" s="202" t="s">
        <v>47</v>
      </c>
      <c r="D87" s="203">
        <f t="shared" ref="D87:AH87" si="24">SUM(D88:D89)</f>
        <v>93617</v>
      </c>
      <c r="E87" s="203">
        <f t="shared" si="24"/>
        <v>91568.85635</v>
      </c>
      <c r="F87" s="203">
        <f t="shared" si="24"/>
        <v>88094.31001</v>
      </c>
      <c r="G87" s="203">
        <f t="shared" si="24"/>
        <v>88452.81466</v>
      </c>
      <c r="H87" s="203">
        <f t="shared" si="24"/>
        <v>91596.34264</v>
      </c>
      <c r="I87" s="203">
        <f t="shared" si="24"/>
        <v>89414.63548</v>
      </c>
      <c r="J87" s="203">
        <f t="shared" si="24"/>
        <v>90679.66812</v>
      </c>
      <c r="K87" s="203">
        <f t="shared" si="24"/>
        <v>92085.95139</v>
      </c>
      <c r="L87" s="203">
        <f t="shared" si="24"/>
        <v>88095.22117</v>
      </c>
      <c r="M87" s="203">
        <f t="shared" si="24"/>
        <v>92240</v>
      </c>
      <c r="N87" s="203">
        <f t="shared" si="24"/>
        <v>96953.83541</v>
      </c>
      <c r="O87" s="203">
        <f t="shared" si="24"/>
        <v>97566.3215</v>
      </c>
      <c r="P87" s="203">
        <f t="shared" si="24"/>
        <v>100200.9735</v>
      </c>
      <c r="Q87" s="203">
        <f t="shared" si="24"/>
        <v>95484.63825</v>
      </c>
      <c r="R87" s="203">
        <f t="shared" si="24"/>
        <v>94323.4192</v>
      </c>
      <c r="S87" s="203">
        <f t="shared" si="24"/>
        <v>89597.71076</v>
      </c>
      <c r="T87" s="203">
        <f t="shared" si="24"/>
        <v>82209.43334</v>
      </c>
      <c r="U87" s="203">
        <f t="shared" si="24"/>
        <v>81195.60258</v>
      </c>
      <c r="V87" s="203">
        <f t="shared" si="24"/>
        <v>79775.78101</v>
      </c>
      <c r="W87" s="203">
        <f t="shared" si="24"/>
        <v>0</v>
      </c>
      <c r="X87" s="203">
        <f t="shared" si="24"/>
        <v>0</v>
      </c>
      <c r="Y87" s="203">
        <f t="shared" si="24"/>
        <v>0</v>
      </c>
      <c r="Z87" s="203">
        <f t="shared" si="24"/>
        <v>0</v>
      </c>
      <c r="AA87" s="203">
        <f t="shared" si="24"/>
        <v>0</v>
      </c>
      <c r="AB87" s="203">
        <f t="shared" si="24"/>
        <v>0</v>
      </c>
      <c r="AC87" s="203">
        <f t="shared" si="24"/>
        <v>0</v>
      </c>
      <c r="AD87" s="203">
        <f t="shared" si="24"/>
        <v>0</v>
      </c>
      <c r="AE87" s="203">
        <f t="shared" si="24"/>
        <v>0</v>
      </c>
      <c r="AF87" s="203">
        <f t="shared" si="24"/>
        <v>0</v>
      </c>
      <c r="AG87" s="203">
        <f t="shared" si="24"/>
        <v>0</v>
      </c>
      <c r="AH87" s="204">
        <f t="shared" si="24"/>
        <v>0</v>
      </c>
      <c r="AI87" s="24"/>
      <c r="AJ87" s="24"/>
      <c r="AK87" s="24"/>
      <c r="AL87" s="24"/>
      <c r="AM87" s="24"/>
      <c r="AN87" s="24"/>
      <c r="AO87" s="24"/>
      <c r="AP87" s="24"/>
      <c r="AQ87" s="24"/>
      <c r="AR87" s="24"/>
      <c r="AS87" s="24"/>
      <c r="AT87" s="24"/>
      <c r="AU87" s="24"/>
      <c r="AV87" s="24"/>
      <c r="AW87" s="24"/>
      <c r="AX87" s="24"/>
      <c r="AY87" s="24"/>
      <c r="AZ87" s="24"/>
      <c r="BA87" s="24"/>
      <c r="BB87" s="24"/>
    </row>
    <row r="88" ht="12.75" customHeight="1">
      <c r="A88" s="9"/>
      <c r="B88" s="86"/>
      <c r="C88" s="51" t="s">
        <v>49</v>
      </c>
      <c r="D88" s="87">
        <f>'Industrial Water Use Cals'!C177</f>
        <v>82225</v>
      </c>
      <c r="E88" s="87">
        <f>'Industrial Water Use Cals'!D177</f>
        <v>80426.08942</v>
      </c>
      <c r="F88" s="87">
        <f>'Industrial Water Use Cals'!E177</f>
        <v>77374.35124</v>
      </c>
      <c r="G88" s="87">
        <f>'Industrial Water Use Cals'!F177</f>
        <v>77689.23043</v>
      </c>
      <c r="H88" s="87">
        <f>'Industrial Water Use Cals'!G177</f>
        <v>80450.23098</v>
      </c>
      <c r="I88" s="87">
        <f>'Industrial Water Use Cals'!H177</f>
        <v>78534.00988</v>
      </c>
      <c r="J88" s="87">
        <f>'Industrial Water Use Cals'!I177</f>
        <v>79645.1041</v>
      </c>
      <c r="K88" s="87">
        <f>'Industrial Water Use Cals'!J177</f>
        <v>80880.26056</v>
      </c>
      <c r="L88" s="87">
        <f>'Industrial Water Use Cals'!K177</f>
        <v>77375.15153</v>
      </c>
      <c r="M88" s="87">
        <f>'Industrial Water Use Cals'!L177</f>
        <v>982</v>
      </c>
      <c r="N88" s="87">
        <f>'Industrial Water Use Cals'!M177</f>
        <v>1032.184154</v>
      </c>
      <c r="O88" s="87">
        <f>'Industrial Water Use Cals'!N177</f>
        <v>1038.704767</v>
      </c>
      <c r="P88" s="87">
        <f>'Industrial Water Use Cals'!O177</f>
        <v>1066.753643</v>
      </c>
      <c r="Q88" s="87">
        <f>'Industrial Water Use Cals'!P177</f>
        <v>1016.542875</v>
      </c>
      <c r="R88" s="87">
        <f>'Industrial Water Use Cals'!Q177</f>
        <v>1004.180373</v>
      </c>
      <c r="S88" s="87">
        <f>'Industrial Water Use Cals'!R177</f>
        <v>953.8698175</v>
      </c>
      <c r="T88" s="87">
        <f>'Industrial Water Use Cals'!S177</f>
        <v>875.213178</v>
      </c>
      <c r="U88" s="87">
        <f>'Industrial Water Use Cals'!T177</f>
        <v>864.4197932</v>
      </c>
      <c r="V88" s="87">
        <f>'Industrial Water Use Cals'!U177</f>
        <v>849.3041733</v>
      </c>
      <c r="W88" s="87">
        <f>'Industrial Water Use Cals'!V177</f>
        <v>0</v>
      </c>
      <c r="X88" s="87">
        <f>'Industrial Water Use Cals'!W177</f>
        <v>0</v>
      </c>
      <c r="Y88" s="87">
        <f>'Industrial Water Use Cals'!X177</f>
        <v>0</v>
      </c>
      <c r="Z88" s="87">
        <f>'Industrial Water Use Cals'!Y177</f>
        <v>0</v>
      </c>
      <c r="AA88" s="87">
        <f>'Industrial Water Use Cals'!Z177</f>
        <v>0</v>
      </c>
      <c r="AB88" s="87">
        <f>'Industrial Water Use Cals'!AA177</f>
        <v>0</v>
      </c>
      <c r="AC88" s="87">
        <f>'Industrial Water Use Cals'!AB177</f>
        <v>0</v>
      </c>
      <c r="AD88" s="87">
        <f>'Industrial Water Use Cals'!AC177</f>
        <v>0</v>
      </c>
      <c r="AE88" s="87">
        <f>'Industrial Water Use Cals'!AD177</f>
        <v>0</v>
      </c>
      <c r="AF88" s="87">
        <f>'Industrial Water Use Cals'!AE177</f>
        <v>0</v>
      </c>
      <c r="AG88" s="87">
        <f>'Industrial Water Use Cals'!AF177</f>
        <v>0</v>
      </c>
      <c r="AH88" s="90">
        <f>'Industrial Water Use Cals'!AG177</f>
        <v>0</v>
      </c>
      <c r="AI88" s="24"/>
      <c r="AJ88" s="24"/>
      <c r="AK88" s="24"/>
      <c r="AL88" s="24"/>
      <c r="AM88" s="24"/>
      <c r="AN88" s="24"/>
      <c r="AO88" s="24"/>
      <c r="AP88" s="24"/>
      <c r="AQ88" s="24"/>
      <c r="AR88" s="24"/>
      <c r="AS88" s="24"/>
      <c r="AT88" s="24"/>
      <c r="AU88" s="24"/>
      <c r="AV88" s="24"/>
      <c r="AW88" s="24"/>
      <c r="AX88" s="24"/>
      <c r="AY88" s="24"/>
      <c r="AZ88" s="24"/>
      <c r="BA88" s="24"/>
      <c r="BB88" s="24"/>
    </row>
    <row r="89" ht="12.75" customHeight="1">
      <c r="A89" s="18"/>
      <c r="B89" s="214"/>
      <c r="C89" s="215" t="s">
        <v>48</v>
      </c>
      <c r="D89" s="216">
        <f>'Industrial Water Use Cals'!C176</f>
        <v>11392</v>
      </c>
      <c r="E89" s="216">
        <f>'Industrial Water Use Cals'!D176</f>
        <v>11142.76693</v>
      </c>
      <c r="F89" s="216">
        <f>'Industrial Water Use Cals'!E176</f>
        <v>10719.95876</v>
      </c>
      <c r="G89" s="216">
        <f>'Industrial Water Use Cals'!F176</f>
        <v>10763.58423</v>
      </c>
      <c r="H89" s="216">
        <f>'Industrial Water Use Cals'!G176</f>
        <v>11146.11166</v>
      </c>
      <c r="I89" s="216">
        <f>'Industrial Water Use Cals'!H176</f>
        <v>10880.62561</v>
      </c>
      <c r="J89" s="216">
        <f>'Industrial Water Use Cals'!I176</f>
        <v>11034.56401</v>
      </c>
      <c r="K89" s="216">
        <f>'Industrial Water Use Cals'!J176</f>
        <v>11205.69083</v>
      </c>
      <c r="L89" s="216">
        <f>'Industrial Water Use Cals'!K176</f>
        <v>10720.06964</v>
      </c>
      <c r="M89" s="216">
        <f>'Industrial Water Use Cals'!L176</f>
        <v>91258</v>
      </c>
      <c r="N89" s="216">
        <f>'Industrial Water Use Cals'!M176</f>
        <v>95921.65126</v>
      </c>
      <c r="O89" s="216">
        <f>'Industrial Water Use Cals'!N176</f>
        <v>96527.61673</v>
      </c>
      <c r="P89" s="216">
        <f>'Industrial Water Use Cals'!O176</f>
        <v>99134.21987</v>
      </c>
      <c r="Q89" s="216">
        <f>'Industrial Water Use Cals'!P176</f>
        <v>94468.09538</v>
      </c>
      <c r="R89" s="216">
        <f>'Industrial Water Use Cals'!Q176</f>
        <v>93319.23882</v>
      </c>
      <c r="S89" s="216">
        <f>'Industrial Water Use Cals'!R176</f>
        <v>88643.84094</v>
      </c>
      <c r="T89" s="216">
        <f>'Industrial Water Use Cals'!S176</f>
        <v>81334.22016</v>
      </c>
      <c r="U89" s="216">
        <f>'Industrial Water Use Cals'!T176</f>
        <v>80331.18278</v>
      </c>
      <c r="V89" s="216">
        <f>'Industrial Water Use Cals'!U176</f>
        <v>78926.47683</v>
      </c>
      <c r="W89" s="216">
        <f>'Industrial Water Use Cals'!V176</f>
        <v>0</v>
      </c>
      <c r="X89" s="216">
        <f>'Industrial Water Use Cals'!W176</f>
        <v>0</v>
      </c>
      <c r="Y89" s="216">
        <f>'Industrial Water Use Cals'!X176</f>
        <v>0</v>
      </c>
      <c r="Z89" s="216">
        <f>'Industrial Water Use Cals'!Y176</f>
        <v>0</v>
      </c>
      <c r="AA89" s="216">
        <f>'Industrial Water Use Cals'!Z176</f>
        <v>0</v>
      </c>
      <c r="AB89" s="216">
        <f>'Industrial Water Use Cals'!AA176</f>
        <v>0</v>
      </c>
      <c r="AC89" s="216">
        <f>'Industrial Water Use Cals'!AB176</f>
        <v>0</v>
      </c>
      <c r="AD89" s="216">
        <f>'Industrial Water Use Cals'!AC176</f>
        <v>0</v>
      </c>
      <c r="AE89" s="216">
        <f>'Industrial Water Use Cals'!AD176</f>
        <v>0</v>
      </c>
      <c r="AF89" s="216">
        <f>'Industrial Water Use Cals'!AE176</f>
        <v>0</v>
      </c>
      <c r="AG89" s="216">
        <f>'Industrial Water Use Cals'!AF176</f>
        <v>0</v>
      </c>
      <c r="AH89" s="217">
        <f>'Industrial Water Use Cals'!AG176</f>
        <v>0</v>
      </c>
      <c r="AI89" s="24"/>
      <c r="AJ89" s="24"/>
      <c r="AK89" s="24"/>
      <c r="AL89" s="24"/>
      <c r="AM89" s="24"/>
      <c r="AN89" s="24"/>
      <c r="AO89" s="24"/>
      <c r="AP89" s="24"/>
      <c r="AQ89" s="24"/>
      <c r="AR89" s="24"/>
      <c r="AS89" s="24"/>
      <c r="AT89" s="24"/>
      <c r="AU89" s="24"/>
      <c r="AV89" s="24"/>
      <c r="AW89" s="24"/>
      <c r="AX89" s="24"/>
      <c r="AY89" s="24"/>
      <c r="AZ89" s="24"/>
      <c r="BA89" s="24"/>
      <c r="BB89" s="24"/>
    </row>
    <row r="90" ht="12.75" customHeight="1">
      <c r="A90" s="66" t="s">
        <v>174</v>
      </c>
      <c r="B90" s="68" t="s">
        <v>46</v>
      </c>
      <c r="C90" s="70" t="s">
        <v>47</v>
      </c>
      <c r="D90" s="73">
        <f t="shared" ref="D90:AH90" si="25">SUM(D5,D17,D42,D54,D30,D66,D78)</f>
        <v>1905795.278</v>
      </c>
      <c r="E90" s="73">
        <f t="shared" si="25"/>
        <v>1978900.047</v>
      </c>
      <c r="F90" s="73">
        <f t="shared" si="25"/>
        <v>1659789.205</v>
      </c>
      <c r="G90" s="73">
        <f t="shared" si="25"/>
        <v>2282008.562</v>
      </c>
      <c r="H90" s="73">
        <f t="shared" si="25"/>
        <v>2266452.121</v>
      </c>
      <c r="I90" s="73">
        <f t="shared" si="25"/>
        <v>2483117.794</v>
      </c>
      <c r="J90" s="73">
        <f t="shared" si="25"/>
        <v>1942043.136</v>
      </c>
      <c r="K90" s="73">
        <f t="shared" si="25"/>
        <v>2105139.528</v>
      </c>
      <c r="L90" s="73">
        <f t="shared" si="25"/>
        <v>2373347.964</v>
      </c>
      <c r="M90" s="73">
        <f t="shared" si="25"/>
        <v>2606243.84</v>
      </c>
      <c r="N90" s="73">
        <f t="shared" si="25"/>
        <v>2458625.851</v>
      </c>
      <c r="O90" s="73">
        <f t="shared" si="25"/>
        <v>2564954.753</v>
      </c>
      <c r="P90" s="73">
        <f t="shared" si="25"/>
        <v>1770882.986</v>
      </c>
      <c r="Q90" s="73">
        <f t="shared" si="25"/>
        <v>2181372.859</v>
      </c>
      <c r="R90" s="73">
        <f t="shared" si="25"/>
        <v>2824937.125</v>
      </c>
      <c r="S90" s="73">
        <f t="shared" si="25"/>
        <v>2597623.849</v>
      </c>
      <c r="T90" s="73">
        <f t="shared" si="25"/>
        <v>2838977.949</v>
      </c>
      <c r="U90" s="73">
        <f t="shared" si="25"/>
        <v>3048950.301</v>
      </c>
      <c r="V90" s="73">
        <f t="shared" si="25"/>
        <v>3156588.26</v>
      </c>
      <c r="W90" s="73" t="str">
        <f t="shared" si="25"/>
        <v>#DIV/0!</v>
      </c>
      <c r="X90" s="73" t="str">
        <f t="shared" si="25"/>
        <v>#DIV/0!</v>
      </c>
      <c r="Y90" s="73" t="str">
        <f t="shared" si="25"/>
        <v>#DIV/0!</v>
      </c>
      <c r="Z90" s="73" t="str">
        <f t="shared" si="25"/>
        <v>#DIV/0!</v>
      </c>
      <c r="AA90" s="73" t="str">
        <f t="shared" si="25"/>
        <v>#DIV/0!</v>
      </c>
      <c r="AB90" s="73" t="str">
        <f t="shared" si="25"/>
        <v>#DIV/0!</v>
      </c>
      <c r="AC90" s="73" t="str">
        <f t="shared" si="25"/>
        <v>#DIV/0!</v>
      </c>
      <c r="AD90" s="73" t="str">
        <f t="shared" si="25"/>
        <v>#DIV/0!</v>
      </c>
      <c r="AE90" s="73" t="str">
        <f t="shared" si="25"/>
        <v>#DIV/0!</v>
      </c>
      <c r="AF90" s="73" t="str">
        <f t="shared" si="25"/>
        <v>#DIV/0!</v>
      </c>
      <c r="AG90" s="73" t="str">
        <f t="shared" si="25"/>
        <v>#DIV/0!</v>
      </c>
      <c r="AH90" s="85" t="str">
        <f t="shared" si="25"/>
        <v>#DIV/0!</v>
      </c>
      <c r="AI90" s="24"/>
      <c r="AJ90" s="24"/>
      <c r="AK90" s="24"/>
      <c r="AL90" s="24"/>
      <c r="AM90" s="24"/>
      <c r="AN90" s="24"/>
      <c r="AO90" s="24"/>
      <c r="AP90" s="24"/>
      <c r="AQ90" s="24"/>
      <c r="AR90" s="24"/>
      <c r="AS90" s="24"/>
      <c r="AT90" s="24"/>
      <c r="AU90" s="24"/>
      <c r="AV90" s="24"/>
      <c r="AW90" s="24"/>
      <c r="AX90" s="24"/>
      <c r="AY90" s="24"/>
      <c r="AZ90" s="24"/>
      <c r="BA90" s="24"/>
      <c r="BB90" s="24"/>
    </row>
    <row r="91" ht="12.75" customHeight="1">
      <c r="A91" s="9"/>
      <c r="B91" s="86"/>
      <c r="C91" s="51" t="s">
        <v>49</v>
      </c>
      <c r="D91" s="87">
        <f t="shared" ref="D91:AH91" si="26">SUM(D6,D18,D43,D55,D31,D67,D79)</f>
        <v>1846024.857</v>
      </c>
      <c r="E91" s="87">
        <f t="shared" si="26"/>
        <v>1910801.949</v>
      </c>
      <c r="F91" s="87">
        <f t="shared" si="26"/>
        <v>1609854.965</v>
      </c>
      <c r="G91" s="87">
        <f t="shared" si="26"/>
        <v>2207947.778</v>
      </c>
      <c r="H91" s="87">
        <f t="shared" si="26"/>
        <v>2200618.22</v>
      </c>
      <c r="I91" s="87">
        <f t="shared" si="26"/>
        <v>2406168.913</v>
      </c>
      <c r="J91" s="87">
        <f t="shared" si="26"/>
        <v>1884436.448</v>
      </c>
      <c r="K91" s="87">
        <f t="shared" si="26"/>
        <v>2037892.71</v>
      </c>
      <c r="L91" s="87">
        <f t="shared" si="26"/>
        <v>2295549.912</v>
      </c>
      <c r="M91" s="87">
        <f t="shared" si="26"/>
        <v>2519295.434</v>
      </c>
      <c r="N91" s="87">
        <f t="shared" si="26"/>
        <v>2369587.754</v>
      </c>
      <c r="O91" s="87">
        <f t="shared" si="26"/>
        <v>2477248.632</v>
      </c>
      <c r="P91" s="87">
        <f t="shared" si="26"/>
        <v>1719838.883</v>
      </c>
      <c r="Q91" s="87">
        <f t="shared" si="26"/>
        <v>2108343.326</v>
      </c>
      <c r="R91" s="87">
        <f t="shared" si="26"/>
        <v>2723906.34</v>
      </c>
      <c r="S91" s="87">
        <f t="shared" si="26"/>
        <v>2503536.322</v>
      </c>
      <c r="T91" s="87">
        <f t="shared" si="26"/>
        <v>2750081.262</v>
      </c>
      <c r="U91" s="87">
        <f t="shared" si="26"/>
        <v>2952806.317</v>
      </c>
      <c r="V91" s="87">
        <f t="shared" si="26"/>
        <v>3048553.929</v>
      </c>
      <c r="W91" s="87" t="str">
        <f t="shared" si="26"/>
        <v>#DIV/0!</v>
      </c>
      <c r="X91" s="87" t="str">
        <f t="shared" si="26"/>
        <v>#DIV/0!</v>
      </c>
      <c r="Y91" s="87" t="str">
        <f t="shared" si="26"/>
        <v>#DIV/0!</v>
      </c>
      <c r="Z91" s="87" t="str">
        <f t="shared" si="26"/>
        <v>#DIV/0!</v>
      </c>
      <c r="AA91" s="87" t="str">
        <f t="shared" si="26"/>
        <v>#DIV/0!</v>
      </c>
      <c r="AB91" s="87" t="str">
        <f t="shared" si="26"/>
        <v>#DIV/0!</v>
      </c>
      <c r="AC91" s="87" t="str">
        <f t="shared" si="26"/>
        <v>#DIV/0!</v>
      </c>
      <c r="AD91" s="87" t="str">
        <f t="shared" si="26"/>
        <v>#DIV/0!</v>
      </c>
      <c r="AE91" s="87" t="str">
        <f t="shared" si="26"/>
        <v>#DIV/0!</v>
      </c>
      <c r="AF91" s="87" t="str">
        <f t="shared" si="26"/>
        <v>#DIV/0!</v>
      </c>
      <c r="AG91" s="87" t="str">
        <f t="shared" si="26"/>
        <v>#DIV/0!</v>
      </c>
      <c r="AH91" s="90" t="str">
        <f t="shared" si="26"/>
        <v>#DIV/0!</v>
      </c>
      <c r="AI91" s="24"/>
      <c r="AJ91" s="24"/>
      <c r="AK91" s="24"/>
      <c r="AL91" s="24"/>
      <c r="AM91" s="24"/>
      <c r="AN91" s="24"/>
      <c r="AO91" s="24"/>
      <c r="AP91" s="24"/>
      <c r="AQ91" s="24"/>
      <c r="AR91" s="24"/>
      <c r="AS91" s="24"/>
      <c r="AT91" s="24"/>
      <c r="AU91" s="24"/>
      <c r="AV91" s="24"/>
      <c r="AW91" s="24"/>
      <c r="AX91" s="24"/>
      <c r="AY91" s="24"/>
      <c r="AZ91" s="24"/>
      <c r="BA91" s="24"/>
      <c r="BB91" s="24"/>
    </row>
    <row r="92" ht="12.75" customHeight="1">
      <c r="A92" s="9"/>
      <c r="B92" s="92"/>
      <c r="C92" s="51" t="s">
        <v>48</v>
      </c>
      <c r="D92" s="87">
        <f t="shared" ref="D92:AH92" si="27">SUM(D7,D19,D44,D56,D32,D68,D80)</f>
        <v>59770.42057</v>
      </c>
      <c r="E92" s="87">
        <f t="shared" si="27"/>
        <v>68098.09785</v>
      </c>
      <c r="F92" s="87">
        <f t="shared" si="27"/>
        <v>49934.24009</v>
      </c>
      <c r="G92" s="87">
        <f t="shared" si="27"/>
        <v>74060.78428</v>
      </c>
      <c r="H92" s="87">
        <f t="shared" si="27"/>
        <v>65833.90061</v>
      </c>
      <c r="I92" s="87">
        <f t="shared" si="27"/>
        <v>76948.88124</v>
      </c>
      <c r="J92" s="87">
        <f t="shared" si="27"/>
        <v>57606.68782</v>
      </c>
      <c r="K92" s="87">
        <f t="shared" si="27"/>
        <v>67246.81747</v>
      </c>
      <c r="L92" s="87">
        <f t="shared" si="27"/>
        <v>77798.0515</v>
      </c>
      <c r="M92" s="87">
        <f t="shared" si="27"/>
        <v>86948.40572</v>
      </c>
      <c r="N92" s="87">
        <f t="shared" si="27"/>
        <v>89038.09689</v>
      </c>
      <c r="O92" s="87">
        <f t="shared" si="27"/>
        <v>87706.12102</v>
      </c>
      <c r="P92" s="87">
        <f t="shared" si="27"/>
        <v>51044.10311</v>
      </c>
      <c r="Q92" s="87">
        <f t="shared" si="27"/>
        <v>73029.53294</v>
      </c>
      <c r="R92" s="87">
        <f t="shared" si="27"/>
        <v>101030.7853</v>
      </c>
      <c r="S92" s="87">
        <f t="shared" si="27"/>
        <v>94087.52781</v>
      </c>
      <c r="T92" s="87">
        <f t="shared" si="27"/>
        <v>88896.68701</v>
      </c>
      <c r="U92" s="87">
        <f t="shared" si="27"/>
        <v>96143.98377</v>
      </c>
      <c r="V92" s="87">
        <f t="shared" si="27"/>
        <v>108034.3303</v>
      </c>
      <c r="W92" s="87" t="str">
        <f t="shared" si="27"/>
        <v>#DIV/0!</v>
      </c>
      <c r="X92" s="87" t="str">
        <f t="shared" si="27"/>
        <v>#DIV/0!</v>
      </c>
      <c r="Y92" s="87" t="str">
        <f t="shared" si="27"/>
        <v>#DIV/0!</v>
      </c>
      <c r="Z92" s="87" t="str">
        <f t="shared" si="27"/>
        <v>#DIV/0!</v>
      </c>
      <c r="AA92" s="87" t="str">
        <f t="shared" si="27"/>
        <v>#DIV/0!</v>
      </c>
      <c r="AB92" s="87" t="str">
        <f t="shared" si="27"/>
        <v>#DIV/0!</v>
      </c>
      <c r="AC92" s="87" t="str">
        <f t="shared" si="27"/>
        <v>#DIV/0!</v>
      </c>
      <c r="AD92" s="87" t="str">
        <f t="shared" si="27"/>
        <v>#DIV/0!</v>
      </c>
      <c r="AE92" s="87" t="str">
        <f t="shared" si="27"/>
        <v>#DIV/0!</v>
      </c>
      <c r="AF92" s="87" t="str">
        <f t="shared" si="27"/>
        <v>#DIV/0!</v>
      </c>
      <c r="AG92" s="87" t="str">
        <f t="shared" si="27"/>
        <v>#DIV/0!</v>
      </c>
      <c r="AH92" s="90" t="str">
        <f t="shared" si="27"/>
        <v>#DIV/0!</v>
      </c>
      <c r="AI92" s="24"/>
      <c r="AJ92" s="24"/>
      <c r="AK92" s="24"/>
      <c r="AL92" s="24"/>
      <c r="AM92" s="24"/>
      <c r="AN92" s="24"/>
      <c r="AO92" s="24"/>
      <c r="AP92" s="24"/>
      <c r="AQ92" s="24"/>
      <c r="AR92" s="24"/>
      <c r="AS92" s="24"/>
      <c r="AT92" s="24"/>
      <c r="AU92" s="24"/>
      <c r="AV92" s="24"/>
      <c r="AW92" s="24"/>
      <c r="AX92" s="24"/>
      <c r="AY92" s="24"/>
      <c r="AZ92" s="24"/>
      <c r="BA92" s="24"/>
      <c r="BB92" s="24"/>
    </row>
    <row r="93" ht="12.75" customHeight="1">
      <c r="A93" s="9"/>
      <c r="B93" s="111" t="s">
        <v>60</v>
      </c>
      <c r="C93" s="112" t="s">
        <v>47</v>
      </c>
      <c r="D93" s="114">
        <f t="shared" ref="D93:AH93" si="28">SUM(D8,D20,D45,D57,D33,D69,D81)</f>
        <v>34888.93893</v>
      </c>
      <c r="E93" s="114">
        <f t="shared" si="28"/>
        <v>34982.18684</v>
      </c>
      <c r="F93" s="114">
        <f t="shared" si="28"/>
        <v>79686.43412</v>
      </c>
      <c r="G93" s="114">
        <f t="shared" si="28"/>
        <v>80177.01304</v>
      </c>
      <c r="H93" s="114">
        <f t="shared" si="28"/>
        <v>81098.8348</v>
      </c>
      <c r="I93" s="114">
        <f t="shared" si="28"/>
        <v>81847.49682</v>
      </c>
      <c r="J93" s="114">
        <f t="shared" si="28"/>
        <v>82877.21611</v>
      </c>
      <c r="K93" s="114">
        <f t="shared" si="28"/>
        <v>84380.13119</v>
      </c>
      <c r="L93" s="114">
        <f t="shared" si="28"/>
        <v>85895.76019</v>
      </c>
      <c r="M93" s="114">
        <f t="shared" si="28"/>
        <v>88658.88424</v>
      </c>
      <c r="N93" s="114">
        <f t="shared" si="28"/>
        <v>89662.91096</v>
      </c>
      <c r="O93" s="114">
        <f t="shared" si="28"/>
        <v>90250.78678</v>
      </c>
      <c r="P93" s="114">
        <f t="shared" si="28"/>
        <v>81401.45344</v>
      </c>
      <c r="Q93" s="114">
        <f t="shared" si="28"/>
        <v>84616.84444</v>
      </c>
      <c r="R93" s="114">
        <f t="shared" si="28"/>
        <v>75434.05694</v>
      </c>
      <c r="S93" s="114">
        <f t="shared" si="28"/>
        <v>72632.80632</v>
      </c>
      <c r="T93" s="114">
        <f t="shared" si="28"/>
        <v>73275.0808</v>
      </c>
      <c r="U93" s="114">
        <f t="shared" si="28"/>
        <v>72325.58257</v>
      </c>
      <c r="V93" s="114">
        <f t="shared" si="28"/>
        <v>61775.81403</v>
      </c>
      <c r="W93" s="114">
        <f t="shared" si="28"/>
        <v>0</v>
      </c>
      <c r="X93" s="114">
        <f t="shared" si="28"/>
        <v>0</v>
      </c>
      <c r="Y93" s="114">
        <f t="shared" si="28"/>
        <v>0</v>
      </c>
      <c r="Z93" s="114">
        <f t="shared" si="28"/>
        <v>0</v>
      </c>
      <c r="AA93" s="114">
        <f t="shared" si="28"/>
        <v>0</v>
      </c>
      <c r="AB93" s="114">
        <f t="shared" si="28"/>
        <v>0</v>
      </c>
      <c r="AC93" s="114">
        <f t="shared" si="28"/>
        <v>0</v>
      </c>
      <c r="AD93" s="114">
        <f t="shared" si="28"/>
        <v>0</v>
      </c>
      <c r="AE93" s="114">
        <f t="shared" si="28"/>
        <v>0</v>
      </c>
      <c r="AF93" s="114">
        <f t="shared" si="28"/>
        <v>0</v>
      </c>
      <c r="AG93" s="114">
        <f t="shared" si="28"/>
        <v>0</v>
      </c>
      <c r="AH93" s="128" t="str">
        <f t="shared" si="28"/>
        <v>#DIV/0!</v>
      </c>
      <c r="AI93" s="24"/>
      <c r="AJ93" s="24"/>
      <c r="AK93" s="24"/>
      <c r="AL93" s="24"/>
      <c r="AM93" s="24"/>
      <c r="AN93" s="24"/>
      <c r="AO93" s="24"/>
      <c r="AP93" s="24"/>
      <c r="AQ93" s="24"/>
      <c r="AR93" s="24"/>
      <c r="AS93" s="24"/>
      <c r="AT93" s="24"/>
      <c r="AU93" s="24"/>
      <c r="AV93" s="24"/>
      <c r="AW93" s="24"/>
      <c r="AX93" s="24"/>
      <c r="AY93" s="24"/>
      <c r="AZ93" s="24"/>
      <c r="BA93" s="24"/>
      <c r="BB93" s="24"/>
    </row>
    <row r="94" ht="12.75" customHeight="1">
      <c r="A94" s="9"/>
      <c r="B94" s="86"/>
      <c r="C94" s="51" t="s">
        <v>49</v>
      </c>
      <c r="D94" s="87">
        <f t="shared" ref="D94:AH94" si="29">SUM(D9,D21,D46,D58,D34,D70,D82)</f>
        <v>18492.11879</v>
      </c>
      <c r="E94" s="87">
        <f t="shared" si="29"/>
        <v>18609.3707</v>
      </c>
      <c r="F94" s="87">
        <f t="shared" si="29"/>
        <v>33841.46771</v>
      </c>
      <c r="G94" s="87">
        <f t="shared" si="29"/>
        <v>34089.44959</v>
      </c>
      <c r="H94" s="87">
        <f t="shared" si="29"/>
        <v>34461.33601</v>
      </c>
      <c r="I94" s="87">
        <f t="shared" si="29"/>
        <v>34976.1616</v>
      </c>
      <c r="J94" s="87">
        <f t="shared" si="29"/>
        <v>35363.40774</v>
      </c>
      <c r="K94" s="87">
        <f t="shared" si="29"/>
        <v>35789.41708</v>
      </c>
      <c r="L94" s="87">
        <f t="shared" si="29"/>
        <v>36393.61535</v>
      </c>
      <c r="M94" s="87">
        <f t="shared" si="29"/>
        <v>41362.11872</v>
      </c>
      <c r="N94" s="87">
        <f t="shared" si="29"/>
        <v>41985.45176</v>
      </c>
      <c r="O94" s="87">
        <f t="shared" si="29"/>
        <v>42248.33947</v>
      </c>
      <c r="P94" s="87">
        <f t="shared" si="29"/>
        <v>32503.02005</v>
      </c>
      <c r="Q94" s="87">
        <f t="shared" si="29"/>
        <v>46061.69579</v>
      </c>
      <c r="R94" s="87">
        <f t="shared" si="29"/>
        <v>36714.95214</v>
      </c>
      <c r="S94" s="87">
        <f t="shared" si="29"/>
        <v>33742.21881</v>
      </c>
      <c r="T94" s="87">
        <f t="shared" si="29"/>
        <v>34494.43583</v>
      </c>
      <c r="U94" s="87">
        <f t="shared" si="29"/>
        <v>33944.36997</v>
      </c>
      <c r="V94" s="87">
        <f t="shared" si="29"/>
        <v>19896.17466</v>
      </c>
      <c r="W94" s="87">
        <f t="shared" si="29"/>
        <v>0</v>
      </c>
      <c r="X94" s="87">
        <f t="shared" si="29"/>
        <v>0</v>
      </c>
      <c r="Y94" s="87">
        <f t="shared" si="29"/>
        <v>0</v>
      </c>
      <c r="Z94" s="87">
        <f t="shared" si="29"/>
        <v>0</v>
      </c>
      <c r="AA94" s="87">
        <f t="shared" si="29"/>
        <v>0</v>
      </c>
      <c r="AB94" s="87">
        <f t="shared" si="29"/>
        <v>0</v>
      </c>
      <c r="AC94" s="87">
        <f t="shared" si="29"/>
        <v>0</v>
      </c>
      <c r="AD94" s="87">
        <f t="shared" si="29"/>
        <v>0</v>
      </c>
      <c r="AE94" s="87">
        <f t="shared" si="29"/>
        <v>0</v>
      </c>
      <c r="AF94" s="87">
        <f t="shared" si="29"/>
        <v>0</v>
      </c>
      <c r="AG94" s="87">
        <f t="shared" si="29"/>
        <v>0</v>
      </c>
      <c r="AH94" s="90" t="str">
        <f t="shared" si="29"/>
        <v>#DIV/0!</v>
      </c>
      <c r="AI94" s="24"/>
      <c r="AJ94" s="24"/>
      <c r="AK94" s="24"/>
      <c r="AL94" s="24"/>
      <c r="AM94" s="24"/>
      <c r="AN94" s="24"/>
      <c r="AO94" s="24"/>
      <c r="AP94" s="24"/>
      <c r="AQ94" s="24"/>
      <c r="AR94" s="24"/>
      <c r="AS94" s="24"/>
      <c r="AT94" s="24"/>
      <c r="AU94" s="24"/>
      <c r="AV94" s="24"/>
      <c r="AW94" s="24"/>
      <c r="AX94" s="24"/>
      <c r="AY94" s="24"/>
      <c r="AZ94" s="24"/>
      <c r="BA94" s="24"/>
      <c r="BB94" s="24"/>
    </row>
    <row r="95" ht="12.75" customHeight="1">
      <c r="A95" s="9"/>
      <c r="B95" s="92"/>
      <c r="C95" s="51" t="s">
        <v>48</v>
      </c>
      <c r="D95" s="87">
        <f t="shared" ref="D95:AH95" si="30">SUM(D10,D22,D47,D59,D35,D71,D83)</f>
        <v>15585.82014</v>
      </c>
      <c r="E95" s="87">
        <f t="shared" si="30"/>
        <v>15570.39576</v>
      </c>
      <c r="F95" s="87">
        <f t="shared" si="30"/>
        <v>45016.35562</v>
      </c>
      <c r="G95" s="87">
        <f t="shared" si="30"/>
        <v>45239.98717</v>
      </c>
      <c r="H95" s="87">
        <f t="shared" si="30"/>
        <v>45760.57118</v>
      </c>
      <c r="I95" s="87">
        <f t="shared" si="30"/>
        <v>45987.33522</v>
      </c>
      <c r="J95" s="87">
        <f t="shared" si="30"/>
        <v>46593.04797</v>
      </c>
      <c r="K95" s="87">
        <f t="shared" si="30"/>
        <v>47597.30817</v>
      </c>
      <c r="L95" s="87">
        <f t="shared" si="30"/>
        <v>48455.3488</v>
      </c>
      <c r="M95" s="87">
        <f t="shared" si="30"/>
        <v>46192.64077</v>
      </c>
      <c r="N95" s="87">
        <f t="shared" si="30"/>
        <v>46560.64336</v>
      </c>
      <c r="O95" s="87">
        <f t="shared" si="30"/>
        <v>46890.44533</v>
      </c>
      <c r="P95" s="87">
        <f t="shared" si="30"/>
        <v>47749.23339</v>
      </c>
      <c r="Q95" s="87">
        <f t="shared" si="30"/>
        <v>37417.32686</v>
      </c>
      <c r="R95" s="87">
        <f t="shared" si="30"/>
        <v>37558.08896</v>
      </c>
      <c r="S95" s="87">
        <f t="shared" si="30"/>
        <v>37743.13801</v>
      </c>
      <c r="T95" s="87">
        <f t="shared" si="30"/>
        <v>37642.82319</v>
      </c>
      <c r="U95" s="87">
        <f t="shared" si="30"/>
        <v>37269.64824</v>
      </c>
      <c r="V95" s="87">
        <f t="shared" si="30"/>
        <v>40769.8255</v>
      </c>
      <c r="W95" s="87">
        <f t="shared" si="30"/>
        <v>0</v>
      </c>
      <c r="X95" s="87">
        <f t="shared" si="30"/>
        <v>0</v>
      </c>
      <c r="Y95" s="87">
        <f t="shared" si="30"/>
        <v>0</v>
      </c>
      <c r="Z95" s="87">
        <f t="shared" si="30"/>
        <v>0</v>
      </c>
      <c r="AA95" s="87">
        <f t="shared" si="30"/>
        <v>0</v>
      </c>
      <c r="AB95" s="87">
        <f t="shared" si="30"/>
        <v>0</v>
      </c>
      <c r="AC95" s="87">
        <f t="shared" si="30"/>
        <v>0</v>
      </c>
      <c r="AD95" s="87">
        <f t="shared" si="30"/>
        <v>0</v>
      </c>
      <c r="AE95" s="87">
        <f t="shared" si="30"/>
        <v>0</v>
      </c>
      <c r="AF95" s="87">
        <f t="shared" si="30"/>
        <v>0</v>
      </c>
      <c r="AG95" s="87">
        <f t="shared" si="30"/>
        <v>0</v>
      </c>
      <c r="AH95" s="90">
        <f t="shared" si="30"/>
        <v>0</v>
      </c>
      <c r="AI95" s="24"/>
      <c r="AJ95" s="24"/>
      <c r="AK95" s="24"/>
      <c r="AL95" s="24"/>
      <c r="AM95" s="24"/>
      <c r="AN95" s="24"/>
      <c r="AO95" s="24"/>
      <c r="AP95" s="24"/>
      <c r="AQ95" s="24"/>
      <c r="AR95" s="24"/>
      <c r="AS95" s="24"/>
      <c r="AT95" s="24"/>
      <c r="AU95" s="24"/>
      <c r="AV95" s="24"/>
      <c r="AW95" s="24"/>
      <c r="AX95" s="24"/>
      <c r="AY95" s="24"/>
      <c r="AZ95" s="24"/>
      <c r="BA95" s="24"/>
      <c r="BB95" s="24"/>
    </row>
    <row r="96" ht="12.75" customHeight="1">
      <c r="A96" s="9"/>
      <c r="B96" s="161" t="s">
        <v>72</v>
      </c>
      <c r="C96" s="162" t="s">
        <v>47</v>
      </c>
      <c r="D96" s="167">
        <f t="shared" ref="D96:AH96" si="31">SUM(D11,D23,D48,D60,D36,D72,D84)</f>
        <v>20899.91219</v>
      </c>
      <c r="E96" s="167">
        <f t="shared" si="31"/>
        <v>21002.95427</v>
      </c>
      <c r="F96" s="167">
        <f t="shared" si="31"/>
        <v>30684.83245</v>
      </c>
      <c r="G96" s="167">
        <f t="shared" si="31"/>
        <v>30867.70656</v>
      </c>
      <c r="H96" s="167">
        <f t="shared" si="31"/>
        <v>31151.47971</v>
      </c>
      <c r="I96" s="167">
        <f t="shared" si="31"/>
        <v>31505.00402</v>
      </c>
      <c r="J96" s="167">
        <f t="shared" si="31"/>
        <v>31954.25629</v>
      </c>
      <c r="K96" s="167">
        <f t="shared" si="31"/>
        <v>32601.26794</v>
      </c>
      <c r="L96" s="167">
        <f t="shared" si="31"/>
        <v>33239.56462</v>
      </c>
      <c r="M96" s="167">
        <f t="shared" si="31"/>
        <v>31787.37353</v>
      </c>
      <c r="N96" s="167">
        <f t="shared" si="31"/>
        <v>32221.04823</v>
      </c>
      <c r="O96" s="167">
        <f t="shared" si="31"/>
        <v>32442.57395</v>
      </c>
      <c r="P96" s="167">
        <f t="shared" si="31"/>
        <v>31059.44922</v>
      </c>
      <c r="Q96" s="167">
        <f t="shared" si="31"/>
        <v>29235.19329</v>
      </c>
      <c r="R96" s="167">
        <f t="shared" si="31"/>
        <v>29287.2193</v>
      </c>
      <c r="S96" s="167">
        <f t="shared" si="31"/>
        <v>29405.28471</v>
      </c>
      <c r="T96" s="167">
        <f t="shared" si="31"/>
        <v>29342.96687</v>
      </c>
      <c r="U96" s="167">
        <f t="shared" si="31"/>
        <v>29045.53084</v>
      </c>
      <c r="V96" s="167">
        <f t="shared" si="31"/>
        <v>29061.60629</v>
      </c>
      <c r="W96" s="167">
        <f t="shared" si="31"/>
        <v>0</v>
      </c>
      <c r="X96" s="167">
        <f t="shared" si="31"/>
        <v>0</v>
      </c>
      <c r="Y96" s="167">
        <f t="shared" si="31"/>
        <v>0</v>
      </c>
      <c r="Z96" s="167">
        <f t="shared" si="31"/>
        <v>0</v>
      </c>
      <c r="AA96" s="167">
        <f t="shared" si="31"/>
        <v>0</v>
      </c>
      <c r="AB96" s="167">
        <f t="shared" si="31"/>
        <v>0</v>
      </c>
      <c r="AC96" s="167">
        <f t="shared" si="31"/>
        <v>0</v>
      </c>
      <c r="AD96" s="167">
        <f t="shared" si="31"/>
        <v>0</v>
      </c>
      <c r="AE96" s="167">
        <f t="shared" si="31"/>
        <v>0</v>
      </c>
      <c r="AF96" s="167">
        <f t="shared" si="31"/>
        <v>0</v>
      </c>
      <c r="AG96" s="167">
        <f t="shared" si="31"/>
        <v>0</v>
      </c>
      <c r="AH96" s="174">
        <f t="shared" si="31"/>
        <v>0</v>
      </c>
      <c r="AI96" s="24"/>
      <c r="AJ96" s="24"/>
      <c r="AK96" s="24"/>
      <c r="AL96" s="24"/>
      <c r="AM96" s="24"/>
      <c r="AN96" s="24"/>
      <c r="AO96" s="24"/>
      <c r="AP96" s="24"/>
      <c r="AQ96" s="24"/>
      <c r="AR96" s="24"/>
      <c r="AS96" s="24"/>
      <c r="AT96" s="24"/>
      <c r="AU96" s="24"/>
      <c r="AV96" s="24"/>
      <c r="AW96" s="24"/>
      <c r="AX96" s="24"/>
      <c r="AY96" s="24"/>
      <c r="AZ96" s="24"/>
      <c r="BA96" s="24"/>
      <c r="BB96" s="24"/>
    </row>
    <row r="97" ht="12.75" customHeight="1">
      <c r="A97" s="9"/>
      <c r="B97" s="86"/>
      <c r="C97" s="51" t="s">
        <v>49</v>
      </c>
      <c r="D97" s="87">
        <f t="shared" ref="D97:AH97" si="32">SUM(D12,D24,D49,D61,D37,D73,D85)</f>
        <v>2904.421039</v>
      </c>
      <c r="E97" s="87">
        <f t="shared" si="32"/>
        <v>2857.43465</v>
      </c>
      <c r="F97" s="87">
        <f t="shared" si="32"/>
        <v>5348.409647</v>
      </c>
      <c r="G97" s="87">
        <f t="shared" si="32"/>
        <v>5354.3197</v>
      </c>
      <c r="H97" s="87">
        <f t="shared" si="32"/>
        <v>5408.763686</v>
      </c>
      <c r="I97" s="87">
        <f t="shared" si="32"/>
        <v>5523.645662</v>
      </c>
      <c r="J97" s="87">
        <f t="shared" si="32"/>
        <v>5623.598329</v>
      </c>
      <c r="K97" s="87">
        <f t="shared" si="32"/>
        <v>5796.722347</v>
      </c>
      <c r="L97" s="87">
        <f t="shared" si="32"/>
        <v>5911.175461</v>
      </c>
      <c r="M97" s="87">
        <f t="shared" si="32"/>
        <v>5508.265673</v>
      </c>
      <c r="N97" s="87">
        <f t="shared" si="32"/>
        <v>5512.264439</v>
      </c>
      <c r="O97" s="87">
        <f t="shared" si="32"/>
        <v>5546.427875</v>
      </c>
      <c r="P97" s="87">
        <f t="shared" si="32"/>
        <v>5637.695132</v>
      </c>
      <c r="Q97" s="87">
        <f t="shared" si="32"/>
        <v>5651.833582</v>
      </c>
      <c r="R97" s="87">
        <f t="shared" si="32"/>
        <v>5631.033534</v>
      </c>
      <c r="S97" s="87">
        <f t="shared" si="32"/>
        <v>5608.825438</v>
      </c>
      <c r="T97" s="87">
        <f t="shared" si="32"/>
        <v>5583.396216</v>
      </c>
      <c r="U97" s="87">
        <f t="shared" si="32"/>
        <v>5521.294958</v>
      </c>
      <c r="V97" s="87">
        <f t="shared" si="32"/>
        <v>5469.826641</v>
      </c>
      <c r="W97" s="87">
        <f t="shared" si="32"/>
        <v>0</v>
      </c>
      <c r="X97" s="87">
        <f t="shared" si="32"/>
        <v>0</v>
      </c>
      <c r="Y97" s="87">
        <f t="shared" si="32"/>
        <v>0</v>
      </c>
      <c r="Z97" s="87">
        <f t="shared" si="32"/>
        <v>0</v>
      </c>
      <c r="AA97" s="87">
        <f t="shared" si="32"/>
        <v>0</v>
      </c>
      <c r="AB97" s="87">
        <f t="shared" si="32"/>
        <v>0</v>
      </c>
      <c r="AC97" s="87">
        <f t="shared" si="32"/>
        <v>0</v>
      </c>
      <c r="AD97" s="87">
        <f t="shared" si="32"/>
        <v>0</v>
      </c>
      <c r="AE97" s="87">
        <f t="shared" si="32"/>
        <v>0</v>
      </c>
      <c r="AF97" s="87">
        <f t="shared" si="32"/>
        <v>0</v>
      </c>
      <c r="AG97" s="87">
        <f t="shared" si="32"/>
        <v>0</v>
      </c>
      <c r="AH97" s="90">
        <f t="shared" si="32"/>
        <v>0</v>
      </c>
      <c r="AI97" s="24"/>
      <c r="AJ97" s="24"/>
      <c r="AK97" s="24"/>
      <c r="AL97" s="24"/>
      <c r="AM97" s="24"/>
      <c r="AN97" s="24"/>
      <c r="AO97" s="24"/>
      <c r="AP97" s="24"/>
      <c r="AQ97" s="24"/>
      <c r="AR97" s="24"/>
      <c r="AS97" s="24"/>
      <c r="AT97" s="24"/>
      <c r="AU97" s="24"/>
      <c r="AV97" s="24"/>
      <c r="AW97" s="24"/>
      <c r="AX97" s="24"/>
      <c r="AY97" s="24"/>
      <c r="AZ97" s="24"/>
      <c r="BA97" s="24"/>
      <c r="BB97" s="24"/>
    </row>
    <row r="98" ht="12.75" customHeight="1">
      <c r="A98" s="9"/>
      <c r="B98" s="191"/>
      <c r="C98" s="58" t="s">
        <v>48</v>
      </c>
      <c r="D98" s="193">
        <f t="shared" ref="D98:AH98" si="33">SUM(D13,D25,D50,D62,D38,D74,D86)</f>
        <v>20088.91219</v>
      </c>
      <c r="E98" s="193">
        <f t="shared" si="33"/>
        <v>20200.53389</v>
      </c>
      <c r="F98" s="193">
        <f t="shared" si="33"/>
        <v>27403.4275</v>
      </c>
      <c r="G98" s="193">
        <f t="shared" si="33"/>
        <v>27566.63896</v>
      </c>
      <c r="H98" s="193">
        <f t="shared" si="33"/>
        <v>27810.50362</v>
      </c>
      <c r="I98" s="193">
        <f t="shared" si="33"/>
        <v>28138.38094</v>
      </c>
      <c r="J98" s="193">
        <f t="shared" si="33"/>
        <v>28527.16903</v>
      </c>
      <c r="K98" s="193">
        <f t="shared" si="33"/>
        <v>29062.5434</v>
      </c>
      <c r="L98" s="193">
        <f t="shared" si="33"/>
        <v>29612.89026</v>
      </c>
      <c r="M98" s="193">
        <f t="shared" si="33"/>
        <v>28635.26734</v>
      </c>
      <c r="N98" s="193">
        <f t="shared" si="33"/>
        <v>29019.80889</v>
      </c>
      <c r="O98" s="193">
        <f t="shared" si="33"/>
        <v>29235.85301</v>
      </c>
      <c r="P98" s="193">
        <f t="shared" si="33"/>
        <v>27795.36669</v>
      </c>
      <c r="Q98" s="193">
        <f t="shared" si="33"/>
        <v>25973.28134</v>
      </c>
      <c r="R98" s="193">
        <f t="shared" si="33"/>
        <v>26016.41039</v>
      </c>
      <c r="S98" s="193">
        <f t="shared" si="33"/>
        <v>26154.95758</v>
      </c>
      <c r="T98" s="193">
        <f t="shared" si="33"/>
        <v>26097.68307</v>
      </c>
      <c r="U98" s="193">
        <f t="shared" si="33"/>
        <v>25835.8675</v>
      </c>
      <c r="V98" s="193">
        <f t="shared" si="33"/>
        <v>25874.36208</v>
      </c>
      <c r="W98" s="193">
        <f t="shared" si="33"/>
        <v>0</v>
      </c>
      <c r="X98" s="193">
        <f t="shared" si="33"/>
        <v>0</v>
      </c>
      <c r="Y98" s="193">
        <f t="shared" si="33"/>
        <v>0</v>
      </c>
      <c r="Z98" s="193">
        <f t="shared" si="33"/>
        <v>0</v>
      </c>
      <c r="AA98" s="193">
        <f t="shared" si="33"/>
        <v>0</v>
      </c>
      <c r="AB98" s="193">
        <f t="shared" si="33"/>
        <v>0</v>
      </c>
      <c r="AC98" s="193">
        <f t="shared" si="33"/>
        <v>0</v>
      </c>
      <c r="AD98" s="193">
        <f t="shared" si="33"/>
        <v>0</v>
      </c>
      <c r="AE98" s="193">
        <f t="shared" si="33"/>
        <v>0</v>
      </c>
      <c r="AF98" s="193">
        <f t="shared" si="33"/>
        <v>0</v>
      </c>
      <c r="AG98" s="193">
        <f t="shared" si="33"/>
        <v>0</v>
      </c>
      <c r="AH98" s="200">
        <f t="shared" si="33"/>
        <v>0</v>
      </c>
      <c r="AI98" s="24"/>
      <c r="AJ98" s="24"/>
      <c r="AK98" s="24"/>
      <c r="AL98" s="24"/>
      <c r="AM98" s="24"/>
      <c r="AN98" s="24"/>
      <c r="AO98" s="24"/>
      <c r="AP98" s="24"/>
      <c r="AQ98" s="24"/>
      <c r="AR98" s="24"/>
      <c r="AS98" s="24"/>
      <c r="AT98" s="24"/>
      <c r="AU98" s="24"/>
      <c r="AV98" s="24"/>
      <c r="AW98" s="24"/>
      <c r="AX98" s="24"/>
      <c r="AY98" s="24"/>
      <c r="AZ98" s="24"/>
      <c r="BA98" s="24"/>
      <c r="BB98" s="24"/>
    </row>
    <row r="99" ht="12.75" customHeight="1">
      <c r="A99" s="9"/>
      <c r="B99" s="201" t="s">
        <v>109</v>
      </c>
      <c r="C99" s="202" t="s">
        <v>47</v>
      </c>
      <c r="D99" s="203">
        <f t="shared" ref="D99:AH99" si="34">SUM(D14,D26,D51,D63,D39,D75,D87)</f>
        <v>233418.5512</v>
      </c>
      <c r="E99" s="203">
        <f t="shared" si="34"/>
        <v>254979.3606</v>
      </c>
      <c r="F99" s="203">
        <f t="shared" si="34"/>
        <v>258009.7356</v>
      </c>
      <c r="G99" s="203">
        <f t="shared" si="34"/>
        <v>247518.9353</v>
      </c>
      <c r="H99" s="203">
        <f t="shared" si="34"/>
        <v>251041.4081</v>
      </c>
      <c r="I99" s="203">
        <f t="shared" si="34"/>
        <v>253285.547</v>
      </c>
      <c r="J99" s="203">
        <f t="shared" si="34"/>
        <v>271040.7979</v>
      </c>
      <c r="K99" s="203">
        <f t="shared" si="34"/>
        <v>274694.5068</v>
      </c>
      <c r="L99" s="203">
        <f t="shared" si="34"/>
        <v>274533.0337</v>
      </c>
      <c r="M99" s="203">
        <f t="shared" si="34"/>
        <v>258375.5989</v>
      </c>
      <c r="N99" s="203">
        <f t="shared" si="34"/>
        <v>277312.2774</v>
      </c>
      <c r="O99" s="203">
        <f t="shared" si="34"/>
        <v>279066.963</v>
      </c>
      <c r="P99" s="203">
        <f t="shared" si="34"/>
        <v>272743.6712</v>
      </c>
      <c r="Q99" s="203">
        <f t="shared" si="34"/>
        <v>273499.1122</v>
      </c>
      <c r="R99" s="203">
        <f t="shared" si="34"/>
        <v>288146.3897</v>
      </c>
      <c r="S99" s="203">
        <f t="shared" si="34"/>
        <v>291009.283</v>
      </c>
      <c r="T99" s="203">
        <f t="shared" si="34"/>
        <v>267200.2829</v>
      </c>
      <c r="U99" s="203">
        <f t="shared" si="34"/>
        <v>291913.7847</v>
      </c>
      <c r="V99" s="203">
        <f t="shared" si="34"/>
        <v>307824.2644</v>
      </c>
      <c r="W99" s="203">
        <f t="shared" si="34"/>
        <v>0</v>
      </c>
      <c r="X99" s="203">
        <f t="shared" si="34"/>
        <v>0</v>
      </c>
      <c r="Y99" s="203">
        <f t="shared" si="34"/>
        <v>0</v>
      </c>
      <c r="Z99" s="203">
        <f t="shared" si="34"/>
        <v>0</v>
      </c>
      <c r="AA99" s="203">
        <f t="shared" si="34"/>
        <v>0</v>
      </c>
      <c r="AB99" s="203">
        <f t="shared" si="34"/>
        <v>0</v>
      </c>
      <c r="AC99" s="203">
        <f t="shared" si="34"/>
        <v>0</v>
      </c>
      <c r="AD99" s="203">
        <f t="shared" si="34"/>
        <v>0</v>
      </c>
      <c r="AE99" s="203">
        <f t="shared" si="34"/>
        <v>0</v>
      </c>
      <c r="AF99" s="203">
        <f t="shared" si="34"/>
        <v>0</v>
      </c>
      <c r="AG99" s="203">
        <f t="shared" si="34"/>
        <v>0</v>
      </c>
      <c r="AH99" s="204">
        <f t="shared" si="34"/>
        <v>0</v>
      </c>
      <c r="AI99" s="24"/>
      <c r="AJ99" s="24"/>
      <c r="AK99" s="24"/>
      <c r="AL99" s="24"/>
      <c r="AM99" s="24"/>
      <c r="AN99" s="24"/>
      <c r="AO99" s="24"/>
      <c r="AP99" s="24"/>
      <c r="AQ99" s="24"/>
      <c r="AR99" s="24"/>
      <c r="AS99" s="24"/>
      <c r="AT99" s="24"/>
      <c r="AU99" s="24"/>
      <c r="AV99" s="24"/>
      <c r="AW99" s="24"/>
      <c r="AX99" s="24"/>
      <c r="AY99" s="24"/>
      <c r="AZ99" s="24"/>
      <c r="BA99" s="24"/>
      <c r="BB99" s="24"/>
    </row>
    <row r="100" ht="12.75" customHeight="1">
      <c r="A100" s="9"/>
      <c r="B100" s="86"/>
      <c r="C100" s="51" t="s">
        <v>49</v>
      </c>
      <c r="D100" s="87">
        <f t="shared" ref="D100:AH100" si="35">SUM(D15,D27,D52,D64,D40,D76,D88)</f>
        <v>171318.384</v>
      </c>
      <c r="E100" s="87">
        <f t="shared" si="35"/>
        <v>170439.6874</v>
      </c>
      <c r="F100" s="87">
        <f t="shared" si="35"/>
        <v>164330.0585</v>
      </c>
      <c r="G100" s="87">
        <f t="shared" si="35"/>
        <v>164133.0187</v>
      </c>
      <c r="H100" s="87">
        <f t="shared" si="35"/>
        <v>169060.7358</v>
      </c>
      <c r="I100" s="87">
        <f t="shared" si="35"/>
        <v>159416.4135</v>
      </c>
      <c r="J100" s="87">
        <f t="shared" si="35"/>
        <v>160290.4192</v>
      </c>
      <c r="K100" s="87">
        <f t="shared" si="35"/>
        <v>162340.7797</v>
      </c>
      <c r="L100" s="87">
        <f t="shared" si="35"/>
        <v>159505.3138</v>
      </c>
      <c r="M100" s="87">
        <f t="shared" si="35"/>
        <v>79352.82575</v>
      </c>
      <c r="N100" s="87">
        <f t="shared" si="35"/>
        <v>82789.53122</v>
      </c>
      <c r="O100" s="87">
        <f t="shared" si="35"/>
        <v>80199.6843</v>
      </c>
      <c r="P100" s="87">
        <f t="shared" si="35"/>
        <v>81710.25444</v>
      </c>
      <c r="Q100" s="87">
        <f t="shared" si="35"/>
        <v>87208.75296</v>
      </c>
      <c r="R100" s="87">
        <f t="shared" si="35"/>
        <v>91203.78335</v>
      </c>
      <c r="S100" s="87">
        <f t="shared" si="35"/>
        <v>92158.84525</v>
      </c>
      <c r="T100" s="87">
        <f t="shared" si="35"/>
        <v>85159.80151</v>
      </c>
      <c r="U100" s="87">
        <f t="shared" si="35"/>
        <v>88584.37768</v>
      </c>
      <c r="V100" s="87">
        <f t="shared" si="35"/>
        <v>85319.66926</v>
      </c>
      <c r="W100" s="87">
        <f t="shared" si="35"/>
        <v>0</v>
      </c>
      <c r="X100" s="87">
        <f t="shared" si="35"/>
        <v>0</v>
      </c>
      <c r="Y100" s="87">
        <f t="shared" si="35"/>
        <v>0</v>
      </c>
      <c r="Z100" s="87">
        <f t="shared" si="35"/>
        <v>0</v>
      </c>
      <c r="AA100" s="87">
        <f t="shared" si="35"/>
        <v>0</v>
      </c>
      <c r="AB100" s="87">
        <f t="shared" si="35"/>
        <v>0</v>
      </c>
      <c r="AC100" s="87">
        <f t="shared" si="35"/>
        <v>0</v>
      </c>
      <c r="AD100" s="87">
        <f t="shared" si="35"/>
        <v>0</v>
      </c>
      <c r="AE100" s="87">
        <f t="shared" si="35"/>
        <v>0</v>
      </c>
      <c r="AF100" s="87">
        <f t="shared" si="35"/>
        <v>0</v>
      </c>
      <c r="AG100" s="87">
        <f t="shared" si="35"/>
        <v>0</v>
      </c>
      <c r="AH100" s="90">
        <f t="shared" si="35"/>
        <v>0</v>
      </c>
      <c r="AI100" s="24"/>
      <c r="AJ100" s="24"/>
      <c r="AK100" s="24"/>
      <c r="AL100" s="24"/>
      <c r="AM100" s="24"/>
      <c r="AN100" s="24"/>
      <c r="AO100" s="24"/>
      <c r="AP100" s="24"/>
      <c r="AQ100" s="24"/>
      <c r="AR100" s="24"/>
      <c r="AS100" s="24"/>
      <c r="AT100" s="24"/>
      <c r="AU100" s="24"/>
      <c r="AV100" s="24"/>
      <c r="AW100" s="24"/>
      <c r="AX100" s="24"/>
      <c r="AY100" s="24"/>
      <c r="AZ100" s="24"/>
      <c r="BA100" s="24"/>
      <c r="BB100" s="24"/>
    </row>
    <row r="101" ht="12.75" customHeight="1">
      <c r="A101" s="18"/>
      <c r="B101" s="214"/>
      <c r="C101" s="215" t="s">
        <v>48</v>
      </c>
      <c r="D101" s="216">
        <f t="shared" ref="D101:AH101" si="36">SUM(D16,D28,D53,D65,D41,D77,D89)</f>
        <v>193720.7462</v>
      </c>
      <c r="E101" s="216">
        <f t="shared" si="36"/>
        <v>216268.3735</v>
      </c>
      <c r="F101" s="216">
        <f t="shared" si="36"/>
        <v>219266.7328</v>
      </c>
      <c r="G101" s="216">
        <f t="shared" si="36"/>
        <v>207388.5237</v>
      </c>
      <c r="H101" s="216">
        <f t="shared" si="36"/>
        <v>210720.4845</v>
      </c>
      <c r="I101" s="216">
        <f t="shared" si="36"/>
        <v>206512.1109</v>
      </c>
      <c r="J101" s="216">
        <f t="shared" si="36"/>
        <v>223133.4349</v>
      </c>
      <c r="K101" s="216">
        <f t="shared" si="36"/>
        <v>225283.8316</v>
      </c>
      <c r="L101" s="216">
        <f t="shared" si="36"/>
        <v>228875.0188</v>
      </c>
      <c r="M101" s="216">
        <f t="shared" si="36"/>
        <v>287183.2249</v>
      </c>
      <c r="N101" s="216">
        <f t="shared" si="36"/>
        <v>305326.6102</v>
      </c>
      <c r="O101" s="216">
        <f t="shared" si="36"/>
        <v>302694.8043</v>
      </c>
      <c r="P101" s="216">
        <f t="shared" si="36"/>
        <v>297235.9883</v>
      </c>
      <c r="Q101" s="216">
        <f t="shared" si="36"/>
        <v>299635.8955</v>
      </c>
      <c r="R101" s="216">
        <f t="shared" si="36"/>
        <v>303641.955</v>
      </c>
      <c r="S101" s="216">
        <f t="shared" si="36"/>
        <v>302500.4569</v>
      </c>
      <c r="T101" s="216">
        <f t="shared" si="36"/>
        <v>274421.7668</v>
      </c>
      <c r="U101" s="216">
        <f t="shared" si="36"/>
        <v>297028.0411</v>
      </c>
      <c r="V101" s="216">
        <f t="shared" si="36"/>
        <v>307232.9</v>
      </c>
      <c r="W101" s="216">
        <f t="shared" si="36"/>
        <v>0</v>
      </c>
      <c r="X101" s="216">
        <f t="shared" si="36"/>
        <v>0</v>
      </c>
      <c r="Y101" s="216">
        <f t="shared" si="36"/>
        <v>0</v>
      </c>
      <c r="Z101" s="216">
        <f t="shared" si="36"/>
        <v>0</v>
      </c>
      <c r="AA101" s="216">
        <f t="shared" si="36"/>
        <v>0</v>
      </c>
      <c r="AB101" s="216">
        <f t="shared" si="36"/>
        <v>0</v>
      </c>
      <c r="AC101" s="216">
        <f t="shared" si="36"/>
        <v>0</v>
      </c>
      <c r="AD101" s="216">
        <f t="shared" si="36"/>
        <v>0</v>
      </c>
      <c r="AE101" s="216">
        <f t="shared" si="36"/>
        <v>0</v>
      </c>
      <c r="AF101" s="216">
        <f t="shared" si="36"/>
        <v>0</v>
      </c>
      <c r="AG101" s="216">
        <f t="shared" si="36"/>
        <v>0</v>
      </c>
      <c r="AH101" s="217">
        <f t="shared" si="36"/>
        <v>0</v>
      </c>
      <c r="AI101" s="24"/>
      <c r="AJ101" s="24"/>
      <c r="AK101" s="24"/>
      <c r="AL101" s="24"/>
      <c r="AM101" s="24"/>
      <c r="AN101" s="24"/>
      <c r="AO101" s="24"/>
      <c r="AP101" s="24"/>
      <c r="AQ101" s="24"/>
      <c r="AR101" s="24"/>
      <c r="AS101" s="24"/>
      <c r="AT101" s="24"/>
      <c r="AU101" s="24"/>
      <c r="AV101" s="24"/>
      <c r="AW101" s="24"/>
      <c r="AX101" s="24"/>
      <c r="AY101" s="24"/>
      <c r="AZ101" s="24"/>
      <c r="BA101" s="24"/>
      <c r="BB101" s="24"/>
    </row>
    <row r="102" ht="12.75" customHeight="1">
      <c r="A102" s="24"/>
      <c r="B102" s="24"/>
      <c r="C102" s="49"/>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row>
    <row r="103" ht="12.75" customHeight="1">
      <c r="A103" s="24"/>
      <c r="B103" s="24"/>
      <c r="C103" s="49"/>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row>
    <row r="104" ht="12.75" customHeight="1">
      <c r="A104" s="24"/>
      <c r="B104" s="24"/>
      <c r="C104" s="49"/>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row>
    <row r="105" ht="12.75" customHeight="1">
      <c r="A105" s="24"/>
      <c r="B105" s="24"/>
      <c r="C105" s="49"/>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row>
    <row r="106" ht="12.75" customHeight="1">
      <c r="A106" s="24"/>
      <c r="B106" s="24"/>
      <c r="C106" s="49"/>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row>
    <row r="107" ht="12.75" customHeight="1">
      <c r="A107" s="24"/>
      <c r="B107" s="24"/>
      <c r="C107" s="49"/>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row>
    <row r="108" ht="12.75" customHeight="1">
      <c r="A108" s="24"/>
      <c r="B108" s="24"/>
      <c r="C108" s="49"/>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row>
    <row r="109" ht="12.75" customHeight="1">
      <c r="A109" s="24"/>
      <c r="B109" s="24"/>
      <c r="C109" s="49"/>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row>
    <row r="110" ht="12.75" customHeight="1">
      <c r="A110" s="24"/>
      <c r="B110" s="24"/>
      <c r="C110" s="49"/>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row>
    <row r="111" ht="12.75" customHeight="1">
      <c r="A111" s="24"/>
      <c r="B111" s="24"/>
      <c r="C111" s="49"/>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row>
    <row r="112" ht="12.75" customHeight="1">
      <c r="A112" s="24"/>
      <c r="B112" s="24"/>
      <c r="C112" s="49"/>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row>
    <row r="113" ht="12.75" customHeight="1">
      <c r="A113" s="24"/>
      <c r="B113" s="24"/>
      <c r="C113" s="49"/>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row>
    <row r="114" ht="12.75" customHeight="1">
      <c r="A114" s="24"/>
      <c r="B114" s="24"/>
      <c r="C114" s="49"/>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row>
    <row r="115" ht="12.75" customHeight="1">
      <c r="A115" s="24"/>
      <c r="B115" s="24"/>
      <c r="C115" s="49"/>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row>
    <row r="116" ht="12.75" customHeight="1">
      <c r="A116" s="24"/>
      <c r="B116" s="24"/>
      <c r="C116" s="49"/>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row>
    <row r="117" ht="12.75" customHeight="1">
      <c r="A117" s="24"/>
      <c r="B117" s="24"/>
      <c r="C117" s="49"/>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row>
    <row r="118" ht="12.75" customHeight="1">
      <c r="A118" s="24"/>
      <c r="B118" s="24"/>
      <c r="C118" s="49"/>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row>
    <row r="119" ht="12.75" customHeight="1">
      <c r="A119" s="24"/>
      <c r="B119" s="24"/>
      <c r="C119" s="49"/>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row>
    <row r="120" ht="12.75" customHeight="1">
      <c r="A120" s="24"/>
      <c r="B120" s="24"/>
      <c r="C120" s="49"/>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row>
    <row r="121" ht="12.75" customHeight="1">
      <c r="A121" s="24"/>
      <c r="B121" s="24"/>
      <c r="C121" s="49"/>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row>
    <row r="122" ht="12.75" customHeight="1">
      <c r="A122" s="24"/>
      <c r="B122" s="24"/>
      <c r="C122" s="49"/>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row>
    <row r="123" ht="12.75" customHeight="1">
      <c r="A123" s="24"/>
      <c r="B123" s="24"/>
      <c r="C123" s="49"/>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row>
    <row r="124" ht="12.75" customHeight="1">
      <c r="A124" s="24"/>
      <c r="B124" s="24"/>
      <c r="C124" s="49"/>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row>
    <row r="125" ht="12.75" customHeight="1">
      <c r="A125" s="24"/>
      <c r="B125" s="24"/>
      <c r="C125" s="49"/>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row>
    <row r="126" ht="12.75" customHeight="1">
      <c r="A126" s="24"/>
      <c r="B126" s="24"/>
      <c r="C126" s="49"/>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row>
    <row r="127" ht="12.75" customHeight="1">
      <c r="A127" s="24"/>
      <c r="B127" s="24"/>
      <c r="C127" s="49"/>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row>
    <row r="128" ht="12.75" customHeight="1">
      <c r="A128" s="24"/>
      <c r="B128" s="24"/>
      <c r="C128" s="49"/>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row>
    <row r="129" ht="12.75" customHeight="1">
      <c r="A129" s="24"/>
      <c r="B129" s="24"/>
      <c r="C129" s="49"/>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row>
    <row r="130" ht="12.75" customHeight="1">
      <c r="A130" s="24"/>
      <c r="B130" s="24"/>
      <c r="C130" s="49"/>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row>
    <row r="131" ht="12.75" customHeight="1">
      <c r="A131" s="24"/>
      <c r="B131" s="24"/>
      <c r="C131" s="49"/>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row>
    <row r="132" ht="12.75" customHeight="1">
      <c r="A132" s="24"/>
      <c r="B132" s="24"/>
      <c r="C132" s="49"/>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row>
    <row r="133" ht="12.75" customHeight="1">
      <c r="A133" s="24"/>
      <c r="B133" s="24"/>
      <c r="C133" s="49"/>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row>
    <row r="134" ht="12.75" customHeight="1">
      <c r="A134" s="24"/>
      <c r="B134" s="24"/>
      <c r="C134" s="49"/>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row>
    <row r="135" ht="12.75" customHeight="1">
      <c r="A135" s="24"/>
      <c r="B135" s="24"/>
      <c r="C135" s="49"/>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row>
    <row r="136" ht="12.75" customHeight="1">
      <c r="A136" s="24"/>
      <c r="B136" s="24"/>
      <c r="C136" s="49"/>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row>
    <row r="137" ht="12.75" customHeight="1">
      <c r="A137" s="24"/>
      <c r="B137" s="24"/>
      <c r="C137" s="49"/>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row>
    <row r="138" ht="12.75" customHeight="1">
      <c r="A138" s="24"/>
      <c r="B138" s="24"/>
      <c r="C138" s="49"/>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row>
    <row r="139" ht="12.75" customHeight="1">
      <c r="A139" s="24"/>
      <c r="B139" s="24"/>
      <c r="C139" s="49"/>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row>
    <row r="140" ht="12.75" customHeight="1">
      <c r="A140" s="24"/>
      <c r="B140" s="24"/>
      <c r="C140" s="49"/>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row>
    <row r="141" ht="12.75" customHeight="1">
      <c r="A141" s="24"/>
      <c r="B141" s="24"/>
      <c r="C141" s="49"/>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row>
    <row r="142" ht="12.75" customHeight="1">
      <c r="A142" s="24"/>
      <c r="B142" s="24"/>
      <c r="C142" s="49"/>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row>
    <row r="143" ht="12.75" customHeight="1">
      <c r="A143" s="24"/>
      <c r="B143" s="24"/>
      <c r="C143" s="49"/>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row>
    <row r="144" ht="12.75" customHeight="1">
      <c r="A144" s="24"/>
      <c r="B144" s="24"/>
      <c r="C144" s="49"/>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row>
    <row r="145" ht="12.75" customHeight="1">
      <c r="A145" s="24"/>
      <c r="B145" s="24"/>
      <c r="C145" s="49"/>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row>
    <row r="146" ht="12.75" customHeight="1">
      <c r="A146" s="24"/>
      <c r="B146" s="24"/>
      <c r="C146" s="49"/>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row>
    <row r="147" ht="12.75" customHeight="1">
      <c r="A147" s="24"/>
      <c r="B147" s="24"/>
      <c r="C147" s="49"/>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row>
    <row r="148" ht="12.75" customHeight="1">
      <c r="A148" s="24"/>
      <c r="B148" s="24"/>
      <c r="C148" s="49"/>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row>
    <row r="149" ht="12.75" customHeight="1">
      <c r="A149" s="24"/>
      <c r="B149" s="24"/>
      <c r="C149" s="49"/>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row>
    <row r="150" ht="12.75" customHeight="1">
      <c r="A150" s="24"/>
      <c r="B150" s="24"/>
      <c r="C150" s="49"/>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row>
    <row r="151" ht="12.75" customHeight="1">
      <c r="A151" s="24"/>
      <c r="B151" s="24"/>
      <c r="C151" s="49"/>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row>
    <row r="152" ht="12.75" customHeight="1">
      <c r="A152" s="24"/>
      <c r="B152" s="24"/>
      <c r="C152" s="49"/>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row>
    <row r="153" ht="12.75" customHeight="1">
      <c r="A153" s="24"/>
      <c r="B153" s="24"/>
      <c r="C153" s="49"/>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row>
    <row r="154" ht="12.75" customHeight="1">
      <c r="A154" s="24"/>
      <c r="B154" s="24"/>
      <c r="C154" s="49"/>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row>
    <row r="155" ht="12.75" customHeight="1">
      <c r="A155" s="24"/>
      <c r="B155" s="24"/>
      <c r="C155" s="49"/>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row>
    <row r="156" ht="12.75" customHeight="1">
      <c r="A156" s="24"/>
      <c r="B156" s="24"/>
      <c r="C156" s="49"/>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row>
    <row r="157" ht="12.75" customHeight="1">
      <c r="A157" s="24"/>
      <c r="B157" s="24"/>
      <c r="C157" s="49"/>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row>
    <row r="158" ht="12.75" customHeight="1">
      <c r="A158" s="24"/>
      <c r="B158" s="24"/>
      <c r="C158" s="49"/>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row>
    <row r="159" ht="12.75" customHeight="1">
      <c r="A159" s="24"/>
      <c r="B159" s="24"/>
      <c r="C159" s="49"/>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row>
    <row r="160" ht="12.75" customHeight="1">
      <c r="A160" s="24"/>
      <c r="B160" s="24"/>
      <c r="C160" s="49"/>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
      <c r="AZ160" s="24"/>
      <c r="BA160" s="24"/>
      <c r="BB160" s="24"/>
    </row>
    <row r="161" ht="12.75" customHeight="1">
      <c r="A161" s="24"/>
      <c r="B161" s="24"/>
      <c r="C161" s="49"/>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row>
    <row r="162" ht="12.75" customHeight="1">
      <c r="A162" s="24"/>
      <c r="B162" s="24"/>
      <c r="C162" s="49"/>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c r="AW162" s="24"/>
      <c r="AX162" s="24"/>
      <c r="AY162" s="24"/>
      <c r="AZ162" s="24"/>
      <c r="BA162" s="24"/>
      <c r="BB162" s="24"/>
    </row>
    <row r="163" ht="12.75" customHeight="1">
      <c r="A163" s="24"/>
      <c r="B163" s="24"/>
      <c r="C163" s="49"/>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row>
    <row r="164" ht="12.75" customHeight="1">
      <c r="A164" s="24"/>
      <c r="B164" s="24"/>
      <c r="C164" s="49"/>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row>
    <row r="165" ht="12.75" customHeight="1">
      <c r="A165" s="24"/>
      <c r="B165" s="24"/>
      <c r="C165" s="49"/>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row>
    <row r="166" ht="12.75" customHeight="1">
      <c r="A166" s="24"/>
      <c r="B166" s="24"/>
      <c r="C166" s="49"/>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row>
    <row r="167" ht="12.75" customHeight="1">
      <c r="A167" s="24"/>
      <c r="B167" s="24"/>
      <c r="C167" s="49"/>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row>
    <row r="168" ht="12.75" customHeight="1">
      <c r="A168" s="24"/>
      <c r="B168" s="24"/>
      <c r="C168" s="49"/>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row>
    <row r="169" ht="12.75" customHeight="1">
      <c r="A169" s="24"/>
      <c r="B169" s="24"/>
      <c r="C169" s="49"/>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row>
    <row r="170" ht="12.75" customHeight="1">
      <c r="A170" s="24"/>
      <c r="B170" s="24"/>
      <c r="C170" s="49"/>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row>
    <row r="171" ht="12.75" customHeight="1">
      <c r="A171" s="24"/>
      <c r="B171" s="24"/>
      <c r="C171" s="49"/>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row>
    <row r="172" ht="12.75" customHeight="1">
      <c r="A172" s="24"/>
      <c r="B172" s="24"/>
      <c r="C172" s="49"/>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row>
    <row r="173" ht="12.75" customHeight="1">
      <c r="A173" s="24"/>
      <c r="B173" s="24"/>
      <c r="C173" s="49"/>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row>
    <row r="174" ht="12.75" customHeight="1">
      <c r="A174" s="24"/>
      <c r="B174" s="24"/>
      <c r="C174" s="49"/>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row>
    <row r="175" ht="12.75" customHeight="1">
      <c r="A175" s="24"/>
      <c r="B175" s="24"/>
      <c r="C175" s="49"/>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row>
    <row r="176" ht="12.75" customHeight="1">
      <c r="A176" s="24"/>
      <c r="B176" s="24"/>
      <c r="C176" s="49"/>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row>
    <row r="177" ht="12.75" customHeight="1">
      <c r="A177" s="24"/>
      <c r="B177" s="24"/>
      <c r="C177" s="49"/>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row>
    <row r="178" ht="12.75" customHeight="1">
      <c r="A178" s="24"/>
      <c r="B178" s="24"/>
      <c r="C178" s="49"/>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row>
    <row r="179" ht="12.75" customHeight="1">
      <c r="A179" s="24"/>
      <c r="B179" s="24"/>
      <c r="C179" s="49"/>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
      <c r="AZ179" s="24"/>
      <c r="BA179" s="24"/>
      <c r="BB179" s="24"/>
    </row>
    <row r="180" ht="12.75" customHeight="1">
      <c r="A180" s="24"/>
      <c r="B180" s="24"/>
      <c r="C180" s="49"/>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row>
    <row r="181" ht="12.75" customHeight="1">
      <c r="A181" s="24"/>
      <c r="B181" s="24"/>
      <c r="C181" s="49"/>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row>
    <row r="182" ht="12.75" customHeight="1">
      <c r="A182" s="24"/>
      <c r="B182" s="24"/>
      <c r="C182" s="49"/>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row>
    <row r="183" ht="12.75" customHeight="1">
      <c r="A183" s="24"/>
      <c r="B183" s="24"/>
      <c r="C183" s="49"/>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row>
    <row r="184" ht="12.75" customHeight="1">
      <c r="A184" s="24"/>
      <c r="B184" s="24"/>
      <c r="C184" s="49"/>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row>
    <row r="185" ht="12.75" customHeight="1">
      <c r="A185" s="24"/>
      <c r="B185" s="24"/>
      <c r="C185" s="49"/>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row>
    <row r="186" ht="12.75" customHeight="1">
      <c r="A186" s="24"/>
      <c r="B186" s="24"/>
      <c r="C186" s="49"/>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row>
    <row r="187" ht="12.75" customHeight="1">
      <c r="A187" s="24"/>
      <c r="B187" s="24"/>
      <c r="C187" s="49"/>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row>
    <row r="188" ht="12.75" customHeight="1">
      <c r="A188" s="24"/>
      <c r="B188" s="24"/>
      <c r="C188" s="49"/>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row>
    <row r="189" ht="12.75" customHeight="1">
      <c r="A189" s="24"/>
      <c r="B189" s="24"/>
      <c r="C189" s="49"/>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row>
    <row r="190" ht="12.75" customHeight="1">
      <c r="A190" s="24"/>
      <c r="B190" s="24"/>
      <c r="C190" s="49"/>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row>
    <row r="191" ht="12.75" customHeight="1">
      <c r="A191" s="24"/>
      <c r="B191" s="24"/>
      <c r="C191" s="49"/>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row>
    <row r="192" ht="12.75" customHeight="1">
      <c r="A192" s="24"/>
      <c r="B192" s="24"/>
      <c r="C192" s="49"/>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row>
    <row r="193" ht="12.75" customHeight="1">
      <c r="A193" s="24"/>
      <c r="B193" s="24"/>
      <c r="C193" s="49"/>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row>
    <row r="194" ht="12.75" customHeight="1">
      <c r="A194" s="24"/>
      <c r="B194" s="24"/>
      <c r="C194" s="49"/>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row>
    <row r="195" ht="12.75" customHeight="1">
      <c r="A195" s="24"/>
      <c r="B195" s="24"/>
      <c r="C195" s="49"/>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row>
    <row r="196" ht="12.75" customHeight="1">
      <c r="A196" s="24"/>
      <c r="B196" s="24"/>
      <c r="C196" s="49"/>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row>
    <row r="197" ht="12.75" customHeight="1">
      <c r="A197" s="24"/>
      <c r="B197" s="24"/>
      <c r="C197" s="49"/>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row>
    <row r="198" ht="12.75" customHeight="1">
      <c r="A198" s="24"/>
      <c r="B198" s="24"/>
      <c r="C198" s="49"/>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row>
    <row r="199" ht="12.75" customHeight="1">
      <c r="A199" s="24"/>
      <c r="B199" s="24"/>
      <c r="C199" s="49"/>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row>
    <row r="200" ht="12.75" customHeight="1">
      <c r="A200" s="24"/>
      <c r="B200" s="24"/>
      <c r="C200" s="49"/>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row>
    <row r="201" ht="12.75" customHeight="1">
      <c r="A201" s="24"/>
      <c r="B201" s="24"/>
      <c r="C201" s="49"/>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row>
    <row r="202" ht="12.75" customHeight="1">
      <c r="A202" s="24"/>
      <c r="B202" s="24"/>
      <c r="C202" s="49"/>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row>
    <row r="203" ht="12.75" customHeight="1">
      <c r="A203" s="24"/>
      <c r="B203" s="24"/>
      <c r="C203" s="49"/>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row>
    <row r="204" ht="12.75" customHeight="1">
      <c r="A204" s="24"/>
      <c r="B204" s="24"/>
      <c r="C204" s="49"/>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row>
    <row r="205" ht="12.75" customHeight="1">
      <c r="A205" s="24"/>
      <c r="B205" s="24"/>
      <c r="C205" s="49"/>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row>
    <row r="206" ht="12.75" customHeight="1">
      <c r="A206" s="24"/>
      <c r="B206" s="24"/>
      <c r="C206" s="49"/>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row>
    <row r="207" ht="12.75" customHeight="1">
      <c r="A207" s="24"/>
      <c r="B207" s="24"/>
      <c r="C207" s="49"/>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row>
    <row r="208" ht="12.75" customHeight="1">
      <c r="A208" s="24"/>
      <c r="B208" s="24"/>
      <c r="C208" s="49"/>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row>
    <row r="209" ht="12.75" customHeight="1">
      <c r="A209" s="24"/>
      <c r="B209" s="24"/>
      <c r="C209" s="49"/>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row>
    <row r="210" ht="12.75" customHeight="1">
      <c r="A210" s="24"/>
      <c r="B210" s="24"/>
      <c r="C210" s="49"/>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row>
    <row r="211" ht="12.75" customHeight="1">
      <c r="A211" s="24"/>
      <c r="B211" s="24"/>
      <c r="C211" s="49"/>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row>
    <row r="212" ht="12.75" customHeight="1">
      <c r="A212" s="24"/>
      <c r="B212" s="24"/>
      <c r="C212" s="49"/>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row>
    <row r="213" ht="12.75" customHeight="1">
      <c r="A213" s="24"/>
      <c r="B213" s="24"/>
      <c r="C213" s="49"/>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row>
    <row r="214" ht="12.75" customHeight="1">
      <c r="A214" s="24"/>
      <c r="B214" s="24"/>
      <c r="C214" s="49"/>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row>
    <row r="215" ht="12.75" customHeight="1">
      <c r="A215" s="24"/>
      <c r="B215" s="24"/>
      <c r="C215" s="49"/>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row>
    <row r="216" ht="12.75" customHeight="1">
      <c r="A216" s="24"/>
      <c r="B216" s="24"/>
      <c r="C216" s="49"/>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row>
    <row r="217" ht="12.75" customHeight="1">
      <c r="A217" s="24"/>
      <c r="B217" s="24"/>
      <c r="C217" s="49"/>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row>
    <row r="218" ht="12.75" customHeight="1">
      <c r="A218" s="24"/>
      <c r="B218" s="24"/>
      <c r="C218" s="49"/>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row>
    <row r="219" ht="12.75" customHeight="1">
      <c r="A219" s="24"/>
      <c r="B219" s="24"/>
      <c r="C219" s="49"/>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row>
    <row r="220" ht="12.75" customHeight="1">
      <c r="A220" s="24"/>
      <c r="B220" s="24"/>
      <c r="C220" s="49"/>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row>
    <row r="221" ht="12.75" customHeight="1">
      <c r="A221" s="24"/>
      <c r="B221" s="24"/>
      <c r="C221" s="49"/>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row>
    <row r="222" ht="12.75" customHeight="1">
      <c r="A222" s="24"/>
      <c r="B222" s="24"/>
      <c r="C222" s="49"/>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row>
    <row r="223" ht="12.75" customHeight="1">
      <c r="A223" s="24"/>
      <c r="B223" s="24"/>
      <c r="C223" s="49"/>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row>
    <row r="224" ht="12.75" customHeight="1">
      <c r="A224" s="24"/>
      <c r="B224" s="24"/>
      <c r="C224" s="49"/>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row>
    <row r="225" ht="12.75" customHeight="1">
      <c r="A225" s="24"/>
      <c r="B225" s="24"/>
      <c r="C225" s="49"/>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row>
    <row r="226" ht="12.75" customHeight="1">
      <c r="A226" s="24"/>
      <c r="B226" s="24"/>
      <c r="C226" s="49"/>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row>
    <row r="227" ht="12.75" customHeight="1">
      <c r="A227" s="24"/>
      <c r="B227" s="24"/>
      <c r="C227" s="49"/>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row>
    <row r="228" ht="12.75" customHeight="1">
      <c r="A228" s="24"/>
      <c r="B228" s="24"/>
      <c r="C228" s="49"/>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row>
    <row r="229" ht="12.75" customHeight="1">
      <c r="A229" s="24"/>
      <c r="B229" s="24"/>
      <c r="C229" s="49"/>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row>
    <row r="230" ht="12.75" customHeight="1">
      <c r="A230" s="24"/>
      <c r="B230" s="24"/>
      <c r="C230" s="49"/>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row>
    <row r="231" ht="12.75" customHeight="1">
      <c r="A231" s="24"/>
      <c r="B231" s="24"/>
      <c r="C231" s="49"/>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row>
    <row r="232" ht="12.75" customHeight="1">
      <c r="A232" s="24"/>
      <c r="B232" s="24"/>
      <c r="C232" s="49"/>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row>
    <row r="233" ht="12.75" customHeight="1">
      <c r="A233" s="24"/>
      <c r="B233" s="24"/>
      <c r="C233" s="49"/>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row>
    <row r="234" ht="12.75" customHeight="1">
      <c r="A234" s="24"/>
      <c r="B234" s="24"/>
      <c r="C234" s="49"/>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row>
    <row r="235" ht="12.75" customHeight="1">
      <c r="A235" s="24"/>
      <c r="B235" s="24"/>
      <c r="C235" s="49"/>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row>
    <row r="236" ht="12.75" customHeight="1">
      <c r="A236" s="24"/>
      <c r="B236" s="24"/>
      <c r="C236" s="49"/>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row>
    <row r="237" ht="12.75" customHeight="1">
      <c r="A237" s="24"/>
      <c r="B237" s="24"/>
      <c r="C237" s="49"/>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row>
    <row r="238" ht="12.75" customHeight="1">
      <c r="A238" s="24"/>
      <c r="B238" s="24"/>
      <c r="C238" s="49"/>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row>
    <row r="239" ht="12.75" customHeight="1">
      <c r="A239" s="24"/>
      <c r="B239" s="24"/>
      <c r="C239" s="49"/>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row>
    <row r="240" ht="12.75" customHeight="1">
      <c r="A240" s="24"/>
      <c r="B240" s="24"/>
      <c r="C240" s="49"/>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row>
    <row r="241" ht="12.75" customHeight="1">
      <c r="A241" s="24"/>
      <c r="B241" s="24"/>
      <c r="C241" s="49"/>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row>
    <row r="242" ht="12.75" customHeight="1">
      <c r="A242" s="24"/>
      <c r="B242" s="24"/>
      <c r="C242" s="49"/>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row>
    <row r="243" ht="12.75" customHeight="1">
      <c r="A243" s="24"/>
      <c r="B243" s="24"/>
      <c r="C243" s="49"/>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row>
    <row r="244" ht="12.75" customHeight="1">
      <c r="A244" s="24"/>
      <c r="B244" s="24"/>
      <c r="C244" s="49"/>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row>
    <row r="245" ht="12.75" customHeight="1">
      <c r="A245" s="24"/>
      <c r="B245" s="24"/>
      <c r="C245" s="49"/>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row>
    <row r="246" ht="12.75" customHeight="1">
      <c r="A246" s="24"/>
      <c r="B246" s="24"/>
      <c r="C246" s="49"/>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row>
    <row r="247" ht="12.75" customHeight="1">
      <c r="A247" s="24"/>
      <c r="B247" s="24"/>
      <c r="C247" s="49"/>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row>
    <row r="248" ht="12.75" customHeight="1">
      <c r="A248" s="24"/>
      <c r="B248" s="24"/>
      <c r="C248" s="49"/>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row>
    <row r="249" ht="12.75" customHeight="1">
      <c r="A249" s="24"/>
      <c r="B249" s="24"/>
      <c r="C249" s="49"/>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row>
    <row r="250" ht="12.75" customHeight="1">
      <c r="A250" s="24"/>
      <c r="B250" s="24"/>
      <c r="C250" s="49"/>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row>
    <row r="251" ht="12.75" customHeight="1">
      <c r="A251" s="24"/>
      <c r="B251" s="24"/>
      <c r="C251" s="49"/>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row>
    <row r="252" ht="12.75" customHeight="1">
      <c r="A252" s="24"/>
      <c r="B252" s="24"/>
      <c r="C252" s="49"/>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row>
    <row r="253" ht="12.75" customHeight="1">
      <c r="A253" s="24"/>
      <c r="B253" s="24"/>
      <c r="C253" s="49"/>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row>
    <row r="254" ht="12.75" customHeight="1">
      <c r="A254" s="24"/>
      <c r="B254" s="24"/>
      <c r="C254" s="49"/>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row>
    <row r="255" ht="12.75" customHeight="1">
      <c r="A255" s="24"/>
      <c r="B255" s="24"/>
      <c r="C255" s="49"/>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row>
    <row r="256" ht="12.75" customHeight="1">
      <c r="A256" s="24"/>
      <c r="B256" s="24"/>
      <c r="C256" s="49"/>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row>
    <row r="257" ht="12.75" customHeight="1">
      <c r="A257" s="24"/>
      <c r="B257" s="24"/>
      <c r="C257" s="49"/>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row>
    <row r="258" ht="12.75" customHeight="1">
      <c r="A258" s="24"/>
      <c r="B258" s="24"/>
      <c r="C258" s="49"/>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row>
    <row r="259" ht="12.75" customHeight="1">
      <c r="A259" s="24"/>
      <c r="B259" s="24"/>
      <c r="C259" s="49"/>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row>
    <row r="260" ht="12.75" customHeight="1">
      <c r="A260" s="24"/>
      <c r="B260" s="24"/>
      <c r="C260" s="49"/>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row>
    <row r="261" ht="12.75" customHeight="1">
      <c r="A261" s="24"/>
      <c r="B261" s="24"/>
      <c r="C261" s="49"/>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row>
    <row r="262" ht="12.75" customHeight="1">
      <c r="A262" s="24"/>
      <c r="B262" s="24"/>
      <c r="C262" s="49"/>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row>
    <row r="263" ht="12.75" customHeight="1">
      <c r="A263" s="24"/>
      <c r="B263" s="24"/>
      <c r="C263" s="49"/>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row>
    <row r="264" ht="12.75" customHeight="1">
      <c r="A264" s="24"/>
      <c r="B264" s="24"/>
      <c r="C264" s="49"/>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row>
    <row r="265" ht="12.75" customHeight="1">
      <c r="A265" s="24"/>
      <c r="B265" s="24"/>
      <c r="C265" s="49"/>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row>
    <row r="266" ht="12.75" customHeight="1">
      <c r="A266" s="24"/>
      <c r="B266" s="24"/>
      <c r="C266" s="49"/>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row>
    <row r="267" ht="12.75" customHeight="1">
      <c r="A267" s="24"/>
      <c r="B267" s="24"/>
      <c r="C267" s="49"/>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row>
    <row r="268" ht="12.75" customHeight="1">
      <c r="A268" s="24"/>
      <c r="B268" s="24"/>
      <c r="C268" s="49"/>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row>
    <row r="269" ht="12.75" customHeight="1">
      <c r="A269" s="24"/>
      <c r="B269" s="24"/>
      <c r="C269" s="49"/>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row>
    <row r="270" ht="12.75" customHeight="1">
      <c r="A270" s="24"/>
      <c r="B270" s="24"/>
      <c r="C270" s="49"/>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row>
    <row r="271" ht="12.75" customHeight="1">
      <c r="A271" s="24"/>
      <c r="B271" s="24"/>
      <c r="C271" s="49"/>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row>
    <row r="272" ht="12.75" customHeight="1">
      <c r="A272" s="24"/>
      <c r="B272" s="24"/>
      <c r="C272" s="49"/>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row>
    <row r="273" ht="12.75" customHeight="1">
      <c r="A273" s="24"/>
      <c r="B273" s="24"/>
      <c r="C273" s="49"/>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row>
    <row r="274" ht="12.75" customHeight="1">
      <c r="A274" s="24"/>
      <c r="B274" s="24"/>
      <c r="C274" s="49"/>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row>
    <row r="275" ht="12.75" customHeight="1">
      <c r="A275" s="24"/>
      <c r="B275" s="24"/>
      <c r="C275" s="49"/>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row>
    <row r="276" ht="12.75" customHeight="1">
      <c r="A276" s="24"/>
      <c r="B276" s="24"/>
      <c r="C276" s="49"/>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row>
    <row r="277" ht="12.75" customHeight="1">
      <c r="A277" s="24"/>
      <c r="B277" s="24"/>
      <c r="C277" s="49"/>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row>
    <row r="278" ht="12.75" customHeight="1">
      <c r="A278" s="24"/>
      <c r="B278" s="24"/>
      <c r="C278" s="49"/>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row>
    <row r="279" ht="12.75" customHeight="1">
      <c r="A279" s="24"/>
      <c r="B279" s="24"/>
      <c r="C279" s="49"/>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row>
    <row r="280" ht="12.75" customHeight="1">
      <c r="A280" s="24"/>
      <c r="B280" s="24"/>
      <c r="C280" s="49"/>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row>
    <row r="281" ht="12.75" customHeight="1">
      <c r="A281" s="24"/>
      <c r="B281" s="24"/>
      <c r="C281" s="49"/>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row>
    <row r="282" ht="12.75" customHeight="1">
      <c r="A282" s="24"/>
      <c r="B282" s="24"/>
      <c r="C282" s="49"/>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row>
    <row r="283" ht="12.75" customHeight="1">
      <c r="A283" s="24"/>
      <c r="B283" s="24"/>
      <c r="C283" s="49"/>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row>
    <row r="284" ht="12.75" customHeight="1">
      <c r="A284" s="24"/>
      <c r="B284" s="24"/>
      <c r="C284" s="49"/>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row>
    <row r="285" ht="12.75" customHeight="1">
      <c r="A285" s="24"/>
      <c r="B285" s="24"/>
      <c r="C285" s="49"/>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row>
    <row r="286" ht="12.75" customHeight="1">
      <c r="A286" s="24"/>
      <c r="B286" s="24"/>
      <c r="C286" s="49"/>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row>
    <row r="287" ht="12.75" customHeight="1">
      <c r="A287" s="24"/>
      <c r="B287" s="24"/>
      <c r="C287" s="49"/>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row>
    <row r="288" ht="12.75" customHeight="1">
      <c r="A288" s="24"/>
      <c r="B288" s="24"/>
      <c r="C288" s="49"/>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row>
    <row r="289" ht="12.75" customHeight="1">
      <c r="A289" s="24"/>
      <c r="B289" s="24"/>
      <c r="C289" s="49"/>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row>
    <row r="290" ht="12.75" customHeight="1">
      <c r="A290" s="24"/>
      <c r="B290" s="24"/>
      <c r="C290" s="49"/>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row>
    <row r="291" ht="12.75" customHeight="1">
      <c r="A291" s="24"/>
      <c r="B291" s="24"/>
      <c r="C291" s="49"/>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row>
    <row r="292" ht="12.75" customHeight="1">
      <c r="A292" s="24"/>
      <c r="B292" s="24"/>
      <c r="C292" s="49"/>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row>
    <row r="293" ht="12.75" customHeight="1">
      <c r="A293" s="24"/>
      <c r="B293" s="24"/>
      <c r="C293" s="49"/>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row>
    <row r="294" ht="12.75" customHeight="1">
      <c r="A294" s="24"/>
      <c r="B294" s="24"/>
      <c r="C294" s="49"/>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row>
    <row r="295" ht="12.75" customHeight="1">
      <c r="A295" s="24"/>
      <c r="B295" s="24"/>
      <c r="C295" s="49"/>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row>
    <row r="296" ht="12.75" customHeight="1">
      <c r="A296" s="24"/>
      <c r="B296" s="24"/>
      <c r="C296" s="49"/>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row>
    <row r="297" ht="12.75" customHeight="1">
      <c r="A297" s="24"/>
      <c r="B297" s="24"/>
      <c r="C297" s="49"/>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row>
    <row r="298" ht="12.75" customHeight="1">
      <c r="A298" s="24"/>
      <c r="B298" s="24"/>
      <c r="C298" s="49"/>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row>
    <row r="299" ht="12.75" customHeight="1">
      <c r="A299" s="24"/>
      <c r="B299" s="24"/>
      <c r="C299" s="49"/>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row>
    <row r="300" ht="12.75" customHeight="1">
      <c r="A300" s="24"/>
      <c r="B300" s="24"/>
      <c r="C300" s="49"/>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row>
    <row r="301" ht="12.75" customHeight="1">
      <c r="A301" s="24"/>
      <c r="B301" s="24"/>
      <c r="C301" s="49"/>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row>
    <row r="302" ht="12.75" customHeight="1">
      <c r="A302" s="24"/>
      <c r="B302" s="24"/>
      <c r="C302" s="49"/>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row>
    <row r="303" ht="12.75" customHeight="1">
      <c r="A303" s="24"/>
      <c r="B303" s="24"/>
      <c r="C303" s="49"/>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row>
    <row r="304" ht="12.75" customHeight="1">
      <c r="A304" s="24"/>
      <c r="B304" s="24"/>
      <c r="C304" s="49"/>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row>
    <row r="305" ht="12.75" customHeight="1">
      <c r="A305" s="24"/>
      <c r="B305" s="24"/>
      <c r="C305" s="49"/>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c r="BB305" s="24"/>
    </row>
    <row r="306" ht="12.75" customHeight="1">
      <c r="A306" s="24"/>
      <c r="B306" s="24"/>
      <c r="C306" s="49"/>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row>
    <row r="307" ht="12.75" customHeight="1">
      <c r="A307" s="24"/>
      <c r="B307" s="24"/>
      <c r="C307" s="49"/>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row>
    <row r="308" ht="12.75" customHeight="1">
      <c r="A308" s="24"/>
      <c r="B308" s="24"/>
      <c r="C308" s="49"/>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row>
    <row r="309" ht="12.75" customHeight="1">
      <c r="A309" s="24"/>
      <c r="B309" s="24"/>
      <c r="C309" s="49"/>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c r="AO309" s="24"/>
      <c r="AP309" s="24"/>
      <c r="AQ309" s="24"/>
      <c r="AR309" s="24"/>
      <c r="AS309" s="24"/>
      <c r="AT309" s="24"/>
      <c r="AU309" s="24"/>
      <c r="AV309" s="24"/>
      <c r="AW309" s="24"/>
      <c r="AX309" s="24"/>
      <c r="AY309" s="24"/>
      <c r="AZ309" s="24"/>
      <c r="BA309" s="24"/>
      <c r="BB309" s="24"/>
    </row>
    <row r="310" ht="12.75" customHeight="1">
      <c r="A310" s="24"/>
      <c r="B310" s="24"/>
      <c r="C310" s="49"/>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c r="BB310" s="24"/>
    </row>
    <row r="311" ht="12.75" customHeight="1">
      <c r="A311" s="24"/>
      <c r="B311" s="24"/>
      <c r="C311" s="49"/>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row>
    <row r="312" ht="12.75" customHeight="1">
      <c r="A312" s="24"/>
      <c r="B312" s="24"/>
      <c r="C312" s="49"/>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c r="BB312" s="24"/>
    </row>
    <row r="313" ht="12.75" customHeight="1">
      <c r="A313" s="24"/>
      <c r="B313" s="24"/>
      <c r="C313" s="49"/>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row>
    <row r="314" ht="12.75" customHeight="1">
      <c r="A314" s="24"/>
      <c r="B314" s="24"/>
      <c r="C314" s="49"/>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row>
    <row r="315" ht="12.75" customHeight="1">
      <c r="A315" s="24"/>
      <c r="B315" s="24"/>
      <c r="C315" s="49"/>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c r="BB315" s="24"/>
    </row>
    <row r="316" ht="12.75" customHeight="1">
      <c r="A316" s="24"/>
      <c r="B316" s="24"/>
      <c r="C316" s="49"/>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c r="AY316" s="24"/>
      <c r="AZ316" s="24"/>
      <c r="BA316" s="24"/>
      <c r="BB316" s="24"/>
    </row>
    <row r="317" ht="12.75" customHeight="1">
      <c r="A317" s="24"/>
      <c r="B317" s="24"/>
      <c r="C317" s="49"/>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c r="BB317" s="24"/>
    </row>
    <row r="318" ht="12.75" customHeight="1">
      <c r="A318" s="24"/>
      <c r="B318" s="24"/>
      <c r="C318" s="49"/>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c r="AY318" s="24"/>
      <c r="AZ318" s="24"/>
      <c r="BA318" s="24"/>
      <c r="BB318" s="24"/>
    </row>
    <row r="319" ht="12.75" customHeight="1">
      <c r="A319" s="24"/>
      <c r="B319" s="24"/>
      <c r="C319" s="49"/>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row>
    <row r="320" ht="12.75" customHeight="1">
      <c r="A320" s="24"/>
      <c r="B320" s="24"/>
      <c r="C320" s="49"/>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row>
    <row r="321" ht="12.75" customHeight="1">
      <c r="A321" s="24"/>
      <c r="B321" s="24"/>
      <c r="C321" s="49"/>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c r="BB321" s="24"/>
    </row>
    <row r="322" ht="12.75" customHeight="1">
      <c r="A322" s="24"/>
      <c r="B322" s="24"/>
      <c r="C322" s="49"/>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c r="BB322" s="24"/>
    </row>
    <row r="323" ht="12.75" customHeight="1">
      <c r="A323" s="24"/>
      <c r="B323" s="24"/>
      <c r="C323" s="49"/>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row>
    <row r="324" ht="12.75" customHeight="1">
      <c r="A324" s="24"/>
      <c r="B324" s="24"/>
      <c r="C324" s="49"/>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row>
    <row r="325" ht="12.75" customHeight="1">
      <c r="A325" s="24"/>
      <c r="B325" s="24"/>
      <c r="C325" s="49"/>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c r="BB325" s="24"/>
    </row>
    <row r="326" ht="12.75" customHeight="1">
      <c r="A326" s="24"/>
      <c r="B326" s="24"/>
      <c r="C326" s="49"/>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row>
    <row r="327" ht="12.75" customHeight="1">
      <c r="A327" s="24"/>
      <c r="B327" s="24"/>
      <c r="C327" s="49"/>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row>
    <row r="328" ht="12.75" customHeight="1">
      <c r="A328" s="24"/>
      <c r="B328" s="24"/>
      <c r="C328" s="49"/>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row>
    <row r="329" ht="12.75" customHeight="1">
      <c r="A329" s="24"/>
      <c r="B329" s="24"/>
      <c r="C329" s="49"/>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row>
    <row r="330" ht="12.75" customHeight="1">
      <c r="A330" s="24"/>
      <c r="B330" s="24"/>
      <c r="C330" s="49"/>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row>
    <row r="331" ht="12.75" customHeight="1">
      <c r="A331" s="24"/>
      <c r="B331" s="24"/>
      <c r="C331" s="49"/>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row>
    <row r="332" ht="12.75" customHeight="1">
      <c r="A332" s="24"/>
      <c r="B332" s="24"/>
      <c r="C332" s="49"/>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c r="BB332" s="24"/>
    </row>
    <row r="333" ht="12.75" customHeight="1">
      <c r="A333" s="24"/>
      <c r="B333" s="24"/>
      <c r="C333" s="49"/>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row>
    <row r="334" ht="12.75" customHeight="1">
      <c r="A334" s="24"/>
      <c r="B334" s="24"/>
      <c r="C334" s="49"/>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row>
    <row r="335" ht="12.75" customHeight="1">
      <c r="A335" s="24"/>
      <c r="B335" s="24"/>
      <c r="C335" s="49"/>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c r="BB335" s="24"/>
    </row>
    <row r="336" ht="12.75" customHeight="1">
      <c r="A336" s="24"/>
      <c r="B336" s="24"/>
      <c r="C336" s="49"/>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row>
    <row r="337" ht="12.75" customHeight="1">
      <c r="A337" s="24"/>
      <c r="B337" s="24"/>
      <c r="C337" s="49"/>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row>
    <row r="338" ht="12.75" customHeight="1">
      <c r="A338" s="24"/>
      <c r="B338" s="24"/>
      <c r="C338" s="49"/>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c r="BB338" s="24"/>
    </row>
    <row r="339" ht="12.75" customHeight="1">
      <c r="A339" s="24"/>
      <c r="B339" s="24"/>
      <c r="C339" s="49"/>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row>
    <row r="340" ht="12.75" customHeight="1">
      <c r="A340" s="24"/>
      <c r="B340" s="24"/>
      <c r="C340" s="49"/>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row>
    <row r="341" ht="12.75" customHeight="1">
      <c r="A341" s="24"/>
      <c r="B341" s="24"/>
      <c r="C341" s="49"/>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row>
    <row r="342" ht="12.75" customHeight="1">
      <c r="A342" s="24"/>
      <c r="B342" s="24"/>
      <c r="C342" s="49"/>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row>
    <row r="343" ht="12.75" customHeight="1">
      <c r="A343" s="24"/>
      <c r="B343" s="24"/>
      <c r="C343" s="49"/>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row>
    <row r="344" ht="12.75" customHeight="1">
      <c r="A344" s="24"/>
      <c r="B344" s="24"/>
      <c r="C344" s="49"/>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row>
    <row r="345" ht="12.75" customHeight="1">
      <c r="A345" s="24"/>
      <c r="B345" s="24"/>
      <c r="C345" s="49"/>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row>
    <row r="346" ht="12.75" customHeight="1">
      <c r="A346" s="24"/>
      <c r="B346" s="24"/>
      <c r="C346" s="49"/>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c r="BB346" s="24"/>
    </row>
    <row r="347" ht="12.75" customHeight="1">
      <c r="A347" s="24"/>
      <c r="B347" s="24"/>
      <c r="C347" s="49"/>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row>
    <row r="348" ht="12.75" customHeight="1">
      <c r="A348" s="24"/>
      <c r="B348" s="24"/>
      <c r="C348" s="49"/>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row>
    <row r="349" ht="12.75" customHeight="1">
      <c r="A349" s="24"/>
      <c r="B349" s="24"/>
      <c r="C349" s="49"/>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row>
    <row r="350" ht="12.75" customHeight="1">
      <c r="A350" s="24"/>
      <c r="B350" s="24"/>
      <c r="C350" s="49"/>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row>
    <row r="351" ht="12.75" customHeight="1">
      <c r="A351" s="24"/>
      <c r="B351" s="24"/>
      <c r="C351" s="49"/>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row>
    <row r="352" ht="12.75" customHeight="1">
      <c r="A352" s="24"/>
      <c r="B352" s="24"/>
      <c r="C352" s="49"/>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row>
    <row r="353" ht="12.75" customHeight="1">
      <c r="A353" s="24"/>
      <c r="B353" s="24"/>
      <c r="C353" s="49"/>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c r="BB353" s="24"/>
    </row>
    <row r="354" ht="12.75" customHeight="1">
      <c r="A354" s="24"/>
      <c r="B354" s="24"/>
      <c r="C354" s="49"/>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row>
    <row r="355" ht="12.75" customHeight="1">
      <c r="A355" s="24"/>
      <c r="B355" s="24"/>
      <c r="C355" s="49"/>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row>
    <row r="356" ht="12.75" customHeight="1">
      <c r="A356" s="24"/>
      <c r="B356" s="24"/>
      <c r="C356" s="49"/>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row>
    <row r="357" ht="12.75" customHeight="1">
      <c r="A357" s="24"/>
      <c r="B357" s="24"/>
      <c r="C357" s="49"/>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row>
    <row r="358" ht="12.75" customHeight="1">
      <c r="A358" s="24"/>
      <c r="B358" s="24"/>
      <c r="C358" s="49"/>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row>
    <row r="359" ht="12.75" customHeight="1">
      <c r="A359" s="24"/>
      <c r="B359" s="24"/>
      <c r="C359" s="49"/>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row>
    <row r="360" ht="12.75" customHeight="1">
      <c r="A360" s="24"/>
      <c r="B360" s="24"/>
      <c r="C360" s="49"/>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row>
    <row r="361" ht="12.75" customHeight="1">
      <c r="A361" s="24"/>
      <c r="B361" s="24"/>
      <c r="C361" s="49"/>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row>
    <row r="362" ht="12.75" customHeight="1">
      <c r="A362" s="24"/>
      <c r="B362" s="24"/>
      <c r="C362" s="49"/>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c r="BB362" s="24"/>
    </row>
    <row r="363" ht="12.75" customHeight="1">
      <c r="A363" s="24"/>
      <c r="B363" s="24"/>
      <c r="C363" s="49"/>
      <c r="D363" s="24"/>
      <c r="E363" s="24"/>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c r="AW363" s="24"/>
      <c r="AX363" s="24"/>
      <c r="AY363" s="24"/>
      <c r="AZ363" s="24"/>
      <c r="BA363" s="24"/>
      <c r="BB363" s="24"/>
    </row>
    <row r="364" ht="12.75" customHeight="1">
      <c r="A364" s="24"/>
      <c r="B364" s="24"/>
      <c r="C364" s="49"/>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row>
    <row r="365" ht="12.75" customHeight="1">
      <c r="A365" s="24"/>
      <c r="B365" s="24"/>
      <c r="C365" s="49"/>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24"/>
      <c r="AY365" s="24"/>
      <c r="AZ365" s="24"/>
      <c r="BA365" s="24"/>
      <c r="BB365" s="24"/>
    </row>
    <row r="366" ht="12.75" customHeight="1">
      <c r="A366" s="24"/>
      <c r="B366" s="24"/>
      <c r="C366" s="49"/>
      <c r="D366" s="24"/>
      <c r="E366" s="24"/>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c r="AY366" s="24"/>
      <c r="AZ366" s="24"/>
      <c r="BA366" s="24"/>
      <c r="BB366" s="24"/>
    </row>
    <row r="367" ht="12.75" customHeight="1">
      <c r="A367" s="24"/>
      <c r="B367" s="24"/>
      <c r="C367" s="49"/>
      <c r="D367" s="24"/>
      <c r="E367" s="24"/>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c r="AW367" s="24"/>
      <c r="AX367" s="24"/>
      <c r="AY367" s="24"/>
      <c r="AZ367" s="24"/>
      <c r="BA367" s="24"/>
      <c r="BB367" s="24"/>
    </row>
    <row r="368" ht="12.75" customHeight="1">
      <c r="A368" s="24"/>
      <c r="B368" s="24"/>
      <c r="C368" s="49"/>
      <c r="D368" s="24"/>
      <c r="E368" s="24"/>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c r="BB368" s="24"/>
    </row>
    <row r="369" ht="12.75" customHeight="1">
      <c r="A369" s="24"/>
      <c r="B369" s="24"/>
      <c r="C369" s="49"/>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c r="AP369" s="24"/>
      <c r="AQ369" s="24"/>
      <c r="AR369" s="24"/>
      <c r="AS369" s="24"/>
      <c r="AT369" s="24"/>
      <c r="AU369" s="24"/>
      <c r="AV369" s="24"/>
      <c r="AW369" s="24"/>
      <c r="AX369" s="24"/>
      <c r="AY369" s="24"/>
      <c r="AZ369" s="24"/>
      <c r="BA369" s="24"/>
      <c r="BB369" s="24"/>
    </row>
    <row r="370" ht="12.75" customHeight="1">
      <c r="A370" s="24"/>
      <c r="B370" s="24"/>
      <c r="C370" s="49"/>
      <c r="D370" s="24"/>
      <c r="E370" s="24"/>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c r="AY370" s="24"/>
      <c r="AZ370" s="24"/>
      <c r="BA370" s="24"/>
      <c r="BB370" s="24"/>
    </row>
    <row r="371" ht="12.75" customHeight="1">
      <c r="A371" s="24"/>
      <c r="B371" s="24"/>
      <c r="C371" s="49"/>
      <c r="D371" s="24"/>
      <c r="E371" s="24"/>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c r="AS371" s="24"/>
      <c r="AT371" s="24"/>
      <c r="AU371" s="24"/>
      <c r="AV371" s="24"/>
      <c r="AW371" s="24"/>
      <c r="AX371" s="24"/>
      <c r="AY371" s="24"/>
      <c r="AZ371" s="24"/>
      <c r="BA371" s="24"/>
      <c r="BB371" s="24"/>
    </row>
    <row r="372" ht="12.75" customHeight="1">
      <c r="A372" s="24"/>
      <c r="B372" s="24"/>
      <c r="C372" s="49"/>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c r="AY372" s="24"/>
      <c r="AZ372" s="24"/>
      <c r="BA372" s="24"/>
      <c r="BB372" s="24"/>
    </row>
    <row r="373" ht="12.75" customHeight="1">
      <c r="A373" s="24"/>
      <c r="B373" s="24"/>
      <c r="C373" s="49"/>
      <c r="D373" s="24"/>
      <c r="E373" s="24"/>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c r="AP373" s="24"/>
      <c r="AQ373" s="24"/>
      <c r="AR373" s="24"/>
      <c r="AS373" s="24"/>
      <c r="AT373" s="24"/>
      <c r="AU373" s="24"/>
      <c r="AV373" s="24"/>
      <c r="AW373" s="24"/>
      <c r="AX373" s="24"/>
      <c r="AY373" s="24"/>
      <c r="AZ373" s="24"/>
      <c r="BA373" s="24"/>
      <c r="BB373" s="24"/>
    </row>
    <row r="374" ht="12.75" customHeight="1">
      <c r="A374" s="24"/>
      <c r="B374" s="24"/>
      <c r="C374" s="49"/>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c r="AY374" s="24"/>
      <c r="AZ374" s="24"/>
      <c r="BA374" s="24"/>
      <c r="BB374" s="24"/>
    </row>
    <row r="375" ht="12.75" customHeight="1">
      <c r="A375" s="24"/>
      <c r="B375" s="24"/>
      <c r="C375" s="49"/>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c r="BB375" s="24"/>
    </row>
    <row r="376" ht="12.75" customHeight="1">
      <c r="A376" s="24"/>
      <c r="B376" s="24"/>
      <c r="C376" s="49"/>
      <c r="D376" s="24"/>
      <c r="E376" s="24"/>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c r="AY376" s="24"/>
      <c r="AZ376" s="24"/>
      <c r="BA376" s="24"/>
      <c r="BB376" s="24"/>
    </row>
    <row r="377" ht="12.75" customHeight="1">
      <c r="A377" s="24"/>
      <c r="B377" s="24"/>
      <c r="C377" s="49"/>
      <c r="D377" s="24"/>
      <c r="E377" s="24"/>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s="24"/>
      <c r="AS377" s="24"/>
      <c r="AT377" s="24"/>
      <c r="AU377" s="24"/>
      <c r="AV377" s="24"/>
      <c r="AW377" s="24"/>
      <c r="AX377" s="24"/>
      <c r="AY377" s="24"/>
      <c r="AZ377" s="24"/>
      <c r="BA377" s="24"/>
      <c r="BB377" s="24"/>
    </row>
    <row r="378" ht="12.75" customHeight="1">
      <c r="A378" s="24"/>
      <c r="B378" s="24"/>
      <c r="C378" s="49"/>
      <c r="D378" s="24"/>
      <c r="E378" s="24"/>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c r="AY378" s="24"/>
      <c r="AZ378" s="24"/>
      <c r="BA378" s="24"/>
      <c r="BB378" s="24"/>
    </row>
    <row r="379" ht="12.75" customHeight="1">
      <c r="A379" s="24"/>
      <c r="B379" s="24"/>
      <c r="C379" s="49"/>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c r="AW379" s="24"/>
      <c r="AX379" s="24"/>
      <c r="AY379" s="24"/>
      <c r="AZ379" s="24"/>
      <c r="BA379" s="24"/>
      <c r="BB379" s="24"/>
    </row>
    <row r="380" ht="12.75" customHeight="1">
      <c r="A380" s="24"/>
      <c r="B380" s="24"/>
      <c r="C380" s="49"/>
      <c r="D380" s="24"/>
      <c r="E380" s="24"/>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c r="AY380" s="24"/>
      <c r="AZ380" s="24"/>
      <c r="BA380" s="24"/>
      <c r="BB380" s="24"/>
    </row>
    <row r="381" ht="12.75" customHeight="1">
      <c r="A381" s="24"/>
      <c r="B381" s="24"/>
      <c r="C381" s="49"/>
      <c r="D381" s="24"/>
      <c r="E381" s="24"/>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c r="AW381" s="24"/>
      <c r="AX381" s="24"/>
      <c r="AY381" s="24"/>
      <c r="AZ381" s="24"/>
      <c r="BA381" s="24"/>
      <c r="BB381" s="24"/>
    </row>
    <row r="382" ht="12.75" customHeight="1">
      <c r="A382" s="24"/>
      <c r="B382" s="24"/>
      <c r="C382" s="49"/>
      <c r="D382" s="24"/>
      <c r="E382" s="24"/>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c r="BB382" s="24"/>
    </row>
    <row r="383" ht="12.75" customHeight="1">
      <c r="A383" s="24"/>
      <c r="B383" s="24"/>
      <c r="C383" s="49"/>
      <c r="D383" s="24"/>
      <c r="E383" s="24"/>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24"/>
      <c r="AY383" s="24"/>
      <c r="AZ383" s="24"/>
      <c r="BA383" s="24"/>
      <c r="BB383" s="24"/>
    </row>
    <row r="384" ht="12.75" customHeight="1">
      <c r="A384" s="24"/>
      <c r="B384" s="24"/>
      <c r="C384" s="49"/>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c r="AY384" s="24"/>
      <c r="AZ384" s="24"/>
      <c r="BA384" s="24"/>
      <c r="BB384" s="24"/>
    </row>
    <row r="385" ht="12.75" customHeight="1">
      <c r="A385" s="24"/>
      <c r="B385" s="24"/>
      <c r="C385" s="49"/>
      <c r="D385" s="24"/>
      <c r="E385" s="24"/>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24"/>
      <c r="AY385" s="24"/>
      <c r="AZ385" s="24"/>
      <c r="BA385" s="24"/>
      <c r="BB385" s="24"/>
    </row>
    <row r="386" ht="12.75" customHeight="1">
      <c r="A386" s="24"/>
      <c r="B386" s="24"/>
      <c r="C386" s="49"/>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c r="AY386" s="24"/>
      <c r="AZ386" s="24"/>
      <c r="BA386" s="24"/>
      <c r="BB386" s="24"/>
    </row>
    <row r="387" ht="12.75" customHeight="1">
      <c r="A387" s="24"/>
      <c r="B387" s="24"/>
      <c r="C387" s="49"/>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24"/>
      <c r="AY387" s="24"/>
      <c r="AZ387" s="24"/>
      <c r="BA387" s="24"/>
      <c r="BB387" s="24"/>
    </row>
    <row r="388" ht="12.75" customHeight="1">
      <c r="A388" s="24"/>
      <c r="B388" s="24"/>
      <c r="C388" s="49"/>
      <c r="D388" s="24"/>
      <c r="E388" s="24"/>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c r="AY388" s="24"/>
      <c r="AZ388" s="24"/>
      <c r="BA388" s="24"/>
      <c r="BB388" s="24"/>
    </row>
    <row r="389" ht="12.75" customHeight="1">
      <c r="A389" s="24"/>
      <c r="B389" s="24"/>
      <c r="C389" s="49"/>
      <c r="D389" s="24"/>
      <c r="E389" s="24"/>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row>
    <row r="390" ht="12.75" customHeight="1">
      <c r="A390" s="24"/>
      <c r="B390" s="24"/>
      <c r="C390" s="49"/>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c r="AY390" s="24"/>
      <c r="AZ390" s="24"/>
      <c r="BA390" s="24"/>
      <c r="BB390" s="24"/>
    </row>
    <row r="391" ht="12.75" customHeight="1">
      <c r="A391" s="24"/>
      <c r="B391" s="24"/>
      <c r="C391" s="49"/>
      <c r="D391" s="24"/>
      <c r="E391" s="24"/>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c r="AW391" s="24"/>
      <c r="AX391" s="24"/>
      <c r="AY391" s="24"/>
      <c r="AZ391" s="24"/>
      <c r="BA391" s="24"/>
      <c r="BB391" s="24"/>
    </row>
    <row r="392" ht="12.75" customHeight="1">
      <c r="A392" s="24"/>
      <c r="B392" s="24"/>
      <c r="C392" s="49"/>
      <c r="D392" s="24"/>
      <c r="E392" s="24"/>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c r="AY392" s="24"/>
      <c r="AZ392" s="24"/>
      <c r="BA392" s="24"/>
      <c r="BB392" s="24"/>
    </row>
    <row r="393" ht="12.75" customHeight="1">
      <c r="A393" s="24"/>
      <c r="B393" s="24"/>
      <c r="C393" s="49"/>
      <c r="D393" s="24"/>
      <c r="E393" s="24"/>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c r="AW393" s="24"/>
      <c r="AX393" s="24"/>
      <c r="AY393" s="24"/>
      <c r="AZ393" s="24"/>
      <c r="BA393" s="24"/>
      <c r="BB393" s="24"/>
    </row>
    <row r="394" ht="12.75" customHeight="1">
      <c r="A394" s="24"/>
      <c r="B394" s="24"/>
      <c r="C394" s="49"/>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c r="AY394" s="24"/>
      <c r="AZ394" s="24"/>
      <c r="BA394" s="24"/>
      <c r="BB394" s="24"/>
    </row>
    <row r="395" ht="12.75" customHeight="1">
      <c r="A395" s="24"/>
      <c r="B395" s="24"/>
      <c r="C395" s="49"/>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24"/>
      <c r="AQ395" s="24"/>
      <c r="AR395" s="24"/>
      <c r="AS395" s="24"/>
      <c r="AT395" s="24"/>
      <c r="AU395" s="24"/>
      <c r="AV395" s="24"/>
      <c r="AW395" s="24"/>
      <c r="AX395" s="24"/>
      <c r="AY395" s="24"/>
      <c r="AZ395" s="24"/>
      <c r="BA395" s="24"/>
      <c r="BB395" s="24"/>
    </row>
    <row r="396" ht="12.75" customHeight="1">
      <c r="A396" s="24"/>
      <c r="B396" s="24"/>
      <c r="C396" s="49"/>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c r="AY396" s="24"/>
      <c r="AZ396" s="24"/>
      <c r="BA396" s="24"/>
      <c r="BB396" s="24"/>
    </row>
    <row r="397" ht="12.75" customHeight="1">
      <c r="A397" s="24"/>
      <c r="B397" s="24"/>
      <c r="C397" s="49"/>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s="24"/>
      <c r="AS397" s="24"/>
      <c r="AT397" s="24"/>
      <c r="AU397" s="24"/>
      <c r="AV397" s="24"/>
      <c r="AW397" s="24"/>
      <c r="AX397" s="24"/>
      <c r="AY397" s="24"/>
      <c r="AZ397" s="24"/>
      <c r="BA397" s="24"/>
      <c r="BB397" s="24"/>
    </row>
    <row r="398" ht="12.75" customHeight="1">
      <c r="A398" s="24"/>
      <c r="B398" s="24"/>
      <c r="C398" s="49"/>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c r="AY398" s="24"/>
      <c r="AZ398" s="24"/>
      <c r="BA398" s="24"/>
      <c r="BB398" s="24"/>
    </row>
    <row r="399" ht="12.75" customHeight="1">
      <c r="A399" s="24"/>
      <c r="B399" s="24"/>
      <c r="C399" s="49"/>
      <c r="D399" s="24"/>
      <c r="E399" s="24"/>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24"/>
      <c r="AY399" s="24"/>
      <c r="AZ399" s="24"/>
      <c r="BA399" s="24"/>
      <c r="BB399" s="24"/>
    </row>
    <row r="400" ht="12.75" customHeight="1">
      <c r="A400" s="24"/>
      <c r="B400" s="24"/>
      <c r="C400" s="49"/>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c r="AY400" s="24"/>
      <c r="AZ400" s="24"/>
      <c r="BA400" s="24"/>
      <c r="BB400" s="24"/>
    </row>
    <row r="401" ht="12.75" customHeight="1">
      <c r="A401" s="24"/>
      <c r="B401" s="24"/>
      <c r="C401" s="49"/>
      <c r="D401" s="24"/>
      <c r="E401" s="24"/>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c r="AP401" s="24"/>
      <c r="AQ401" s="24"/>
      <c r="AR401" s="24"/>
      <c r="AS401" s="24"/>
      <c r="AT401" s="24"/>
      <c r="AU401" s="24"/>
      <c r="AV401" s="24"/>
      <c r="AW401" s="24"/>
      <c r="AX401" s="24"/>
      <c r="AY401" s="24"/>
      <c r="AZ401" s="24"/>
      <c r="BA401" s="24"/>
      <c r="BB401" s="24"/>
    </row>
    <row r="402" ht="12.75" customHeight="1">
      <c r="A402" s="24"/>
      <c r="B402" s="24"/>
      <c r="C402" s="49"/>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c r="AY402" s="24"/>
      <c r="AZ402" s="24"/>
      <c r="BA402" s="24"/>
      <c r="BB402" s="24"/>
    </row>
    <row r="403" ht="12.75" customHeight="1">
      <c r="A403" s="24"/>
      <c r="B403" s="24"/>
      <c r="C403" s="49"/>
      <c r="D403" s="24"/>
      <c r="E403" s="24"/>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24"/>
      <c r="AY403" s="24"/>
      <c r="AZ403" s="24"/>
      <c r="BA403" s="24"/>
      <c r="BB403" s="24"/>
    </row>
    <row r="404" ht="12.75" customHeight="1">
      <c r="A404" s="24"/>
      <c r="B404" s="24"/>
      <c r="C404" s="49"/>
      <c r="D404" s="24"/>
      <c r="E404" s="24"/>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c r="AY404" s="24"/>
      <c r="AZ404" s="24"/>
      <c r="BA404" s="24"/>
      <c r="BB404" s="24"/>
    </row>
    <row r="405" ht="12.75" customHeight="1">
      <c r="A405" s="24"/>
      <c r="B405" s="24"/>
      <c r="C405" s="49"/>
      <c r="D405" s="24"/>
      <c r="E405" s="24"/>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s="24"/>
      <c r="AS405" s="24"/>
      <c r="AT405" s="24"/>
      <c r="AU405" s="24"/>
      <c r="AV405" s="24"/>
      <c r="AW405" s="24"/>
      <c r="AX405" s="24"/>
      <c r="AY405" s="24"/>
      <c r="AZ405" s="24"/>
      <c r="BA405" s="24"/>
      <c r="BB405" s="24"/>
    </row>
    <row r="406" ht="12.75" customHeight="1">
      <c r="A406" s="24"/>
      <c r="B406" s="24"/>
      <c r="C406" s="49"/>
      <c r="D406" s="24"/>
      <c r="E406" s="24"/>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c r="AY406" s="24"/>
      <c r="AZ406" s="24"/>
      <c r="BA406" s="24"/>
      <c r="BB406" s="24"/>
    </row>
    <row r="407" ht="12.75" customHeight="1">
      <c r="A407" s="24"/>
      <c r="B407" s="24"/>
      <c r="C407" s="49"/>
      <c r="D407" s="24"/>
      <c r="E407" s="24"/>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24"/>
      <c r="AY407" s="24"/>
      <c r="AZ407" s="24"/>
      <c r="BA407" s="24"/>
      <c r="BB407" s="24"/>
    </row>
    <row r="408" ht="12.75" customHeight="1">
      <c r="A408" s="24"/>
      <c r="B408" s="24"/>
      <c r="C408" s="49"/>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c r="AY408" s="24"/>
      <c r="AZ408" s="24"/>
      <c r="BA408" s="24"/>
      <c r="BB408" s="24"/>
    </row>
    <row r="409" ht="12.75" customHeight="1">
      <c r="A409" s="24"/>
      <c r="B409" s="24"/>
      <c r="C409" s="49"/>
      <c r="D409" s="24"/>
      <c r="E409" s="24"/>
      <c r="F409" s="24"/>
      <c r="G409" s="24"/>
      <c r="H409" s="24"/>
      <c r="I409" s="24"/>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s="24"/>
      <c r="AS409" s="24"/>
      <c r="AT409" s="24"/>
      <c r="AU409" s="24"/>
      <c r="AV409" s="24"/>
      <c r="AW409" s="24"/>
      <c r="AX409" s="24"/>
      <c r="AY409" s="24"/>
      <c r="AZ409" s="24"/>
      <c r="BA409" s="24"/>
      <c r="BB409" s="24"/>
    </row>
    <row r="410" ht="12.75" customHeight="1">
      <c r="A410" s="24"/>
      <c r="B410" s="24"/>
      <c r="C410" s="49"/>
      <c r="D410" s="24"/>
      <c r="E410" s="24"/>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c r="AY410" s="24"/>
      <c r="AZ410" s="24"/>
      <c r="BA410" s="24"/>
      <c r="BB410" s="24"/>
    </row>
    <row r="411" ht="12.75" customHeight="1">
      <c r="A411" s="24"/>
      <c r="B411" s="24"/>
      <c r="C411" s="49"/>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s="24"/>
      <c r="AS411" s="24"/>
      <c r="AT411" s="24"/>
      <c r="AU411" s="24"/>
      <c r="AV411" s="24"/>
      <c r="AW411" s="24"/>
      <c r="AX411" s="24"/>
      <c r="AY411" s="24"/>
      <c r="AZ411" s="24"/>
      <c r="BA411" s="24"/>
      <c r="BB411" s="24"/>
    </row>
    <row r="412" ht="12.75" customHeight="1">
      <c r="A412" s="24"/>
      <c r="B412" s="24"/>
      <c r="C412" s="49"/>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c r="AY412" s="24"/>
      <c r="AZ412" s="24"/>
      <c r="BA412" s="24"/>
      <c r="BB412" s="24"/>
    </row>
    <row r="413" ht="12.75" customHeight="1">
      <c r="A413" s="24"/>
      <c r="B413" s="24"/>
      <c r="C413" s="49"/>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c r="AU413" s="24"/>
      <c r="AV413" s="24"/>
      <c r="AW413" s="24"/>
      <c r="AX413" s="24"/>
      <c r="AY413" s="24"/>
      <c r="AZ413" s="24"/>
      <c r="BA413" s="24"/>
      <c r="BB413" s="24"/>
    </row>
    <row r="414" ht="12.75" customHeight="1">
      <c r="A414" s="24"/>
      <c r="B414" s="24"/>
      <c r="C414" s="49"/>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row>
    <row r="415" ht="12.75" customHeight="1">
      <c r="A415" s="24"/>
      <c r="B415" s="24"/>
      <c r="C415" s="49"/>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24"/>
      <c r="AY415" s="24"/>
      <c r="AZ415" s="24"/>
      <c r="BA415" s="24"/>
      <c r="BB415" s="24"/>
    </row>
    <row r="416" ht="12.75" customHeight="1">
      <c r="A416" s="24"/>
      <c r="B416" s="24"/>
      <c r="C416" s="49"/>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c r="AY416" s="24"/>
      <c r="AZ416" s="24"/>
      <c r="BA416" s="24"/>
      <c r="BB416" s="24"/>
    </row>
    <row r="417" ht="12.75" customHeight="1">
      <c r="A417" s="24"/>
      <c r="B417" s="24"/>
      <c r="C417" s="49"/>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row>
    <row r="418" ht="12.75" customHeight="1">
      <c r="A418" s="24"/>
      <c r="B418" s="24"/>
      <c r="C418" s="49"/>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row>
    <row r="419" ht="12.75" customHeight="1">
      <c r="A419" s="24"/>
      <c r="B419" s="24"/>
      <c r="C419" s="49"/>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c r="BB419" s="24"/>
    </row>
    <row r="420" ht="12.75" customHeight="1">
      <c r="A420" s="24"/>
      <c r="B420" s="24"/>
      <c r="C420" s="49"/>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c r="AY420" s="24"/>
      <c r="AZ420" s="24"/>
      <c r="BA420" s="24"/>
      <c r="BB420" s="24"/>
    </row>
    <row r="421" ht="12.75" customHeight="1">
      <c r="A421" s="24"/>
      <c r="B421" s="24"/>
      <c r="C421" s="49"/>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c r="BB421" s="24"/>
    </row>
    <row r="422" ht="12.75" customHeight="1">
      <c r="A422" s="24"/>
      <c r="B422" s="24"/>
      <c r="C422" s="49"/>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c r="BB422" s="24"/>
    </row>
    <row r="423" ht="12.75" customHeight="1">
      <c r="A423" s="24"/>
      <c r="B423" s="24"/>
      <c r="C423" s="49"/>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c r="BB423" s="24"/>
    </row>
    <row r="424" ht="12.75" customHeight="1">
      <c r="A424" s="24"/>
      <c r="B424" s="24"/>
      <c r="C424" s="49"/>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c r="AY424" s="24"/>
      <c r="AZ424" s="24"/>
      <c r="BA424" s="24"/>
      <c r="BB424" s="24"/>
    </row>
    <row r="425" ht="12.75" customHeight="1">
      <c r="A425" s="24"/>
      <c r="B425" s="24"/>
      <c r="C425" s="49"/>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24"/>
      <c r="AY425" s="24"/>
      <c r="AZ425" s="24"/>
      <c r="BA425" s="24"/>
      <c r="BB425" s="24"/>
    </row>
    <row r="426" ht="12.75" customHeight="1">
      <c r="A426" s="24"/>
      <c r="B426" s="24"/>
      <c r="C426" s="49"/>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c r="AY426" s="24"/>
      <c r="AZ426" s="24"/>
      <c r="BA426" s="24"/>
      <c r="BB426" s="24"/>
    </row>
    <row r="427" ht="12.75" customHeight="1">
      <c r="A427" s="24"/>
      <c r="B427" s="24"/>
      <c r="C427" s="49"/>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c r="AU427" s="24"/>
      <c r="AV427" s="24"/>
      <c r="AW427" s="24"/>
      <c r="AX427" s="24"/>
      <c r="AY427" s="24"/>
      <c r="AZ427" s="24"/>
      <c r="BA427" s="24"/>
      <c r="BB427" s="24"/>
    </row>
    <row r="428" ht="12.75" customHeight="1">
      <c r="A428" s="24"/>
      <c r="B428" s="24"/>
      <c r="C428" s="49"/>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c r="AY428" s="24"/>
      <c r="AZ428" s="24"/>
      <c r="BA428" s="24"/>
      <c r="BB428" s="24"/>
    </row>
    <row r="429" ht="12.75" customHeight="1">
      <c r="A429" s="24"/>
      <c r="B429" s="24"/>
      <c r="C429" s="49"/>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s="24"/>
      <c r="AS429" s="24"/>
      <c r="AT429" s="24"/>
      <c r="AU429" s="24"/>
      <c r="AV429" s="24"/>
      <c r="AW429" s="24"/>
      <c r="AX429" s="24"/>
      <c r="AY429" s="24"/>
      <c r="AZ429" s="24"/>
      <c r="BA429" s="24"/>
      <c r="BB429" s="24"/>
    </row>
    <row r="430" ht="12.75" customHeight="1">
      <c r="A430" s="24"/>
      <c r="B430" s="24"/>
      <c r="C430" s="49"/>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c r="AY430" s="24"/>
      <c r="AZ430" s="24"/>
      <c r="BA430" s="24"/>
      <c r="BB430" s="24"/>
    </row>
    <row r="431" ht="12.75" customHeight="1">
      <c r="A431" s="24"/>
      <c r="B431" s="24"/>
      <c r="C431" s="49"/>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c r="AU431" s="24"/>
      <c r="AV431" s="24"/>
      <c r="AW431" s="24"/>
      <c r="AX431" s="24"/>
      <c r="AY431" s="24"/>
      <c r="AZ431" s="24"/>
      <c r="BA431" s="24"/>
      <c r="BB431" s="24"/>
    </row>
    <row r="432" ht="12.75" customHeight="1">
      <c r="A432" s="24"/>
      <c r="B432" s="24"/>
      <c r="C432" s="49"/>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c r="AY432" s="24"/>
      <c r="AZ432" s="24"/>
      <c r="BA432" s="24"/>
      <c r="BB432" s="24"/>
    </row>
    <row r="433" ht="12.75" customHeight="1">
      <c r="A433" s="24"/>
      <c r="B433" s="24"/>
      <c r="C433" s="49"/>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24"/>
      <c r="AY433" s="24"/>
      <c r="AZ433" s="24"/>
      <c r="BA433" s="24"/>
      <c r="BB433" s="24"/>
    </row>
    <row r="434" ht="12.75" customHeight="1">
      <c r="A434" s="24"/>
      <c r="B434" s="24"/>
      <c r="C434" s="49"/>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c r="AY434" s="24"/>
      <c r="AZ434" s="24"/>
      <c r="BA434" s="24"/>
      <c r="BB434" s="24"/>
    </row>
    <row r="435" ht="12.75" customHeight="1">
      <c r="A435" s="24"/>
      <c r="B435" s="24"/>
      <c r="C435" s="49"/>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c r="AS435" s="24"/>
      <c r="AT435" s="24"/>
      <c r="AU435" s="24"/>
      <c r="AV435" s="24"/>
      <c r="AW435" s="24"/>
      <c r="AX435" s="24"/>
      <c r="AY435" s="24"/>
      <c r="AZ435" s="24"/>
      <c r="BA435" s="24"/>
      <c r="BB435" s="24"/>
    </row>
    <row r="436" ht="12.75" customHeight="1">
      <c r="A436" s="24"/>
      <c r="B436" s="24"/>
      <c r="C436" s="49"/>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c r="AY436" s="24"/>
      <c r="AZ436" s="24"/>
      <c r="BA436" s="24"/>
      <c r="BB436" s="24"/>
    </row>
    <row r="437" ht="12.75" customHeight="1">
      <c r="A437" s="24"/>
      <c r="B437" s="24"/>
      <c r="C437" s="49"/>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s="24"/>
      <c r="AS437" s="24"/>
      <c r="AT437" s="24"/>
      <c r="AU437" s="24"/>
      <c r="AV437" s="24"/>
      <c r="AW437" s="24"/>
      <c r="AX437" s="24"/>
      <c r="AY437" s="24"/>
      <c r="AZ437" s="24"/>
      <c r="BA437" s="24"/>
      <c r="BB437" s="24"/>
    </row>
    <row r="438" ht="12.75" customHeight="1">
      <c r="A438" s="24"/>
      <c r="B438" s="24"/>
      <c r="C438" s="49"/>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c r="AY438" s="24"/>
      <c r="AZ438" s="24"/>
      <c r="BA438" s="24"/>
      <c r="BB438" s="24"/>
    </row>
    <row r="439" ht="12.75" customHeight="1">
      <c r="A439" s="24"/>
      <c r="B439" s="24"/>
      <c r="C439" s="49"/>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row>
    <row r="440" ht="12.75" customHeight="1">
      <c r="A440" s="24"/>
      <c r="B440" s="24"/>
      <c r="C440" s="49"/>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c r="AY440" s="24"/>
      <c r="AZ440" s="24"/>
      <c r="BA440" s="24"/>
      <c r="BB440" s="24"/>
    </row>
    <row r="441" ht="12.75" customHeight="1">
      <c r="A441" s="24"/>
      <c r="B441" s="24"/>
      <c r="C441" s="49"/>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s="24"/>
      <c r="AS441" s="24"/>
      <c r="AT441" s="24"/>
      <c r="AU441" s="24"/>
      <c r="AV441" s="24"/>
      <c r="AW441" s="24"/>
      <c r="AX441" s="24"/>
      <c r="AY441" s="24"/>
      <c r="AZ441" s="24"/>
      <c r="BA441" s="24"/>
      <c r="BB441" s="24"/>
    </row>
    <row r="442" ht="12.75" customHeight="1">
      <c r="A442" s="24"/>
      <c r="B442" s="24"/>
      <c r="C442" s="49"/>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c r="AY442" s="24"/>
      <c r="AZ442" s="24"/>
      <c r="BA442" s="24"/>
      <c r="BB442" s="24"/>
    </row>
    <row r="443" ht="12.75" customHeight="1">
      <c r="A443" s="24"/>
      <c r="B443" s="24"/>
      <c r="C443" s="49"/>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s="24"/>
      <c r="AS443" s="24"/>
      <c r="AT443" s="24"/>
      <c r="AU443" s="24"/>
      <c r="AV443" s="24"/>
      <c r="AW443" s="24"/>
      <c r="AX443" s="24"/>
      <c r="AY443" s="24"/>
      <c r="AZ443" s="24"/>
      <c r="BA443" s="24"/>
      <c r="BB443" s="24"/>
    </row>
    <row r="444" ht="12.75" customHeight="1">
      <c r="A444" s="24"/>
      <c r="B444" s="24"/>
      <c r="C444" s="49"/>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c r="AY444" s="24"/>
      <c r="AZ444" s="24"/>
      <c r="BA444" s="24"/>
      <c r="BB444" s="24"/>
    </row>
    <row r="445" ht="12.75" customHeight="1">
      <c r="A445" s="24"/>
      <c r="B445" s="24"/>
      <c r="C445" s="49"/>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s="24"/>
      <c r="AS445" s="24"/>
      <c r="AT445" s="24"/>
      <c r="AU445" s="24"/>
      <c r="AV445" s="24"/>
      <c r="AW445" s="24"/>
      <c r="AX445" s="24"/>
      <c r="AY445" s="24"/>
      <c r="AZ445" s="24"/>
      <c r="BA445" s="24"/>
      <c r="BB445" s="24"/>
    </row>
    <row r="446" ht="12.75" customHeight="1">
      <c r="A446" s="24"/>
      <c r="B446" s="24"/>
      <c r="C446" s="49"/>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c r="AY446" s="24"/>
      <c r="AZ446" s="24"/>
      <c r="BA446" s="24"/>
      <c r="BB446" s="24"/>
    </row>
    <row r="447" ht="12.75" customHeight="1">
      <c r="A447" s="24"/>
      <c r="B447" s="24"/>
      <c r="C447" s="49"/>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s="24"/>
      <c r="AS447" s="24"/>
      <c r="AT447" s="24"/>
      <c r="AU447" s="24"/>
      <c r="AV447" s="24"/>
      <c r="AW447" s="24"/>
      <c r="AX447" s="24"/>
      <c r="AY447" s="24"/>
      <c r="AZ447" s="24"/>
      <c r="BA447" s="24"/>
      <c r="BB447" s="24"/>
    </row>
    <row r="448" ht="12.75" customHeight="1">
      <c r="A448" s="24"/>
      <c r="B448" s="24"/>
      <c r="C448" s="49"/>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c r="AY448" s="24"/>
      <c r="AZ448" s="24"/>
      <c r="BA448" s="24"/>
      <c r="BB448" s="24"/>
    </row>
    <row r="449" ht="12.75" customHeight="1">
      <c r="A449" s="24"/>
      <c r="B449" s="24"/>
      <c r="C449" s="49"/>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s="24"/>
      <c r="AS449" s="24"/>
      <c r="AT449" s="24"/>
      <c r="AU449" s="24"/>
      <c r="AV449" s="24"/>
      <c r="AW449" s="24"/>
      <c r="AX449" s="24"/>
      <c r="AY449" s="24"/>
      <c r="AZ449" s="24"/>
      <c r="BA449" s="24"/>
      <c r="BB449" s="24"/>
    </row>
    <row r="450" ht="12.75" customHeight="1">
      <c r="A450" s="24"/>
      <c r="B450" s="24"/>
      <c r="C450" s="49"/>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c r="AY450" s="24"/>
      <c r="AZ450" s="24"/>
      <c r="BA450" s="24"/>
      <c r="BB450" s="24"/>
    </row>
    <row r="451" ht="12.75" customHeight="1">
      <c r="A451" s="24"/>
      <c r="B451" s="24"/>
      <c r="C451" s="49"/>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s="24"/>
      <c r="AS451" s="24"/>
      <c r="AT451" s="24"/>
      <c r="AU451" s="24"/>
      <c r="AV451" s="24"/>
      <c r="AW451" s="24"/>
      <c r="AX451" s="24"/>
      <c r="AY451" s="24"/>
      <c r="AZ451" s="24"/>
      <c r="BA451" s="24"/>
      <c r="BB451" s="24"/>
    </row>
    <row r="452" ht="12.75" customHeight="1">
      <c r="A452" s="24"/>
      <c r="B452" s="24"/>
      <c r="C452" s="49"/>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c r="AY452" s="24"/>
      <c r="AZ452" s="24"/>
      <c r="BA452" s="24"/>
      <c r="BB452" s="24"/>
    </row>
    <row r="453" ht="12.75" customHeight="1">
      <c r="A453" s="24"/>
      <c r="B453" s="24"/>
      <c r="C453" s="49"/>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c r="AP453" s="24"/>
      <c r="AQ453" s="24"/>
      <c r="AR453" s="24"/>
      <c r="AS453" s="24"/>
      <c r="AT453" s="24"/>
      <c r="AU453" s="24"/>
      <c r="AV453" s="24"/>
      <c r="AW453" s="24"/>
      <c r="AX453" s="24"/>
      <c r="AY453" s="24"/>
      <c r="AZ453" s="24"/>
      <c r="BA453" s="24"/>
      <c r="BB453" s="24"/>
    </row>
    <row r="454" ht="12.75" customHeight="1">
      <c r="A454" s="24"/>
      <c r="B454" s="24"/>
      <c r="C454" s="49"/>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c r="AY454" s="24"/>
      <c r="AZ454" s="24"/>
      <c r="BA454" s="24"/>
      <c r="BB454" s="24"/>
    </row>
    <row r="455" ht="12.75" customHeight="1">
      <c r="A455" s="24"/>
      <c r="B455" s="24"/>
      <c r="C455" s="49"/>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24"/>
      <c r="AY455" s="24"/>
      <c r="AZ455" s="24"/>
      <c r="BA455" s="24"/>
      <c r="BB455" s="24"/>
    </row>
    <row r="456" ht="12.75" customHeight="1">
      <c r="A456" s="24"/>
      <c r="B456" s="24"/>
      <c r="C456" s="49"/>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c r="AY456" s="24"/>
      <c r="AZ456" s="24"/>
      <c r="BA456" s="24"/>
      <c r="BB456" s="24"/>
    </row>
    <row r="457" ht="12.75" customHeight="1">
      <c r="A457" s="24"/>
      <c r="B457" s="24"/>
      <c r="C457" s="49"/>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c r="AW457" s="24"/>
      <c r="AX457" s="24"/>
      <c r="AY457" s="24"/>
      <c r="AZ457" s="24"/>
      <c r="BA457" s="24"/>
      <c r="BB457" s="24"/>
    </row>
    <row r="458" ht="12.75" customHeight="1">
      <c r="A458" s="24"/>
      <c r="B458" s="24"/>
      <c r="C458" s="49"/>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c r="AY458" s="24"/>
      <c r="AZ458" s="24"/>
      <c r="BA458" s="24"/>
      <c r="BB458" s="24"/>
    </row>
    <row r="459" ht="12.75" customHeight="1">
      <c r="A459" s="24"/>
      <c r="B459" s="24"/>
      <c r="C459" s="49"/>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s="24"/>
      <c r="AS459" s="24"/>
      <c r="AT459" s="24"/>
      <c r="AU459" s="24"/>
      <c r="AV459" s="24"/>
      <c r="AW459" s="24"/>
      <c r="AX459" s="24"/>
      <c r="AY459" s="24"/>
      <c r="AZ459" s="24"/>
      <c r="BA459" s="24"/>
      <c r="BB459" s="24"/>
    </row>
    <row r="460" ht="12.75" customHeight="1">
      <c r="A460" s="24"/>
      <c r="B460" s="24"/>
      <c r="C460" s="49"/>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c r="AY460" s="24"/>
      <c r="AZ460" s="24"/>
      <c r="BA460" s="24"/>
      <c r="BB460" s="24"/>
    </row>
    <row r="461" ht="12.75" customHeight="1">
      <c r="A461" s="24"/>
      <c r="B461" s="24"/>
      <c r="C461" s="49"/>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24"/>
      <c r="AY461" s="24"/>
      <c r="AZ461" s="24"/>
      <c r="BA461" s="24"/>
      <c r="BB461" s="24"/>
    </row>
    <row r="462" ht="12.75" customHeight="1">
      <c r="A462" s="24"/>
      <c r="B462" s="24"/>
      <c r="C462" s="49"/>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c r="AY462" s="24"/>
      <c r="AZ462" s="24"/>
      <c r="BA462" s="24"/>
      <c r="BB462" s="24"/>
    </row>
    <row r="463" ht="12.75" customHeight="1">
      <c r="A463" s="24"/>
      <c r="B463" s="24"/>
      <c r="C463" s="49"/>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24"/>
      <c r="AY463" s="24"/>
      <c r="AZ463" s="24"/>
      <c r="BA463" s="24"/>
      <c r="BB463" s="24"/>
    </row>
    <row r="464" ht="12.75" customHeight="1">
      <c r="A464" s="24"/>
      <c r="B464" s="24"/>
      <c r="C464" s="49"/>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row>
    <row r="465" ht="12.75" customHeight="1">
      <c r="A465" s="24"/>
      <c r="B465" s="24"/>
      <c r="C465" s="49"/>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c r="AP465" s="24"/>
      <c r="AQ465" s="24"/>
      <c r="AR465" s="24"/>
      <c r="AS465" s="24"/>
      <c r="AT465" s="24"/>
      <c r="AU465" s="24"/>
      <c r="AV465" s="24"/>
      <c r="AW465" s="24"/>
      <c r="AX465" s="24"/>
      <c r="AY465" s="24"/>
      <c r="AZ465" s="24"/>
      <c r="BA465" s="24"/>
      <c r="BB465" s="24"/>
    </row>
    <row r="466" ht="12.75" customHeight="1">
      <c r="A466" s="24"/>
      <c r="B466" s="24"/>
      <c r="C466" s="49"/>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c r="AY466" s="24"/>
      <c r="AZ466" s="24"/>
      <c r="BA466" s="24"/>
      <c r="BB466" s="24"/>
    </row>
    <row r="467" ht="12.75" customHeight="1">
      <c r="A467" s="24"/>
      <c r="B467" s="24"/>
      <c r="C467" s="49"/>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s="24"/>
      <c r="AS467" s="24"/>
      <c r="AT467" s="24"/>
      <c r="AU467" s="24"/>
      <c r="AV467" s="24"/>
      <c r="AW467" s="24"/>
      <c r="AX467" s="24"/>
      <c r="AY467" s="24"/>
      <c r="AZ467" s="24"/>
      <c r="BA467" s="24"/>
      <c r="BB467" s="24"/>
    </row>
    <row r="468" ht="12.75" customHeight="1">
      <c r="A468" s="24"/>
      <c r="B468" s="24"/>
      <c r="C468" s="49"/>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c r="AY468" s="24"/>
      <c r="AZ468" s="24"/>
      <c r="BA468" s="24"/>
      <c r="BB468" s="24"/>
    </row>
    <row r="469" ht="12.75" customHeight="1">
      <c r="A469" s="24"/>
      <c r="B469" s="24"/>
      <c r="C469" s="49"/>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s="24"/>
      <c r="AS469" s="24"/>
      <c r="AT469" s="24"/>
      <c r="AU469" s="24"/>
      <c r="AV469" s="24"/>
      <c r="AW469" s="24"/>
      <c r="AX469" s="24"/>
      <c r="AY469" s="24"/>
      <c r="AZ469" s="24"/>
      <c r="BA469" s="24"/>
      <c r="BB469" s="24"/>
    </row>
    <row r="470" ht="12.75" customHeight="1">
      <c r="A470" s="24"/>
      <c r="B470" s="24"/>
      <c r="C470" s="49"/>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c r="AY470" s="24"/>
      <c r="AZ470" s="24"/>
      <c r="BA470" s="24"/>
      <c r="BB470" s="24"/>
    </row>
    <row r="471" ht="12.75" customHeight="1">
      <c r="A471" s="24"/>
      <c r="B471" s="24"/>
      <c r="C471" s="49"/>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s="24"/>
      <c r="AS471" s="24"/>
      <c r="AT471" s="24"/>
      <c r="AU471" s="24"/>
      <c r="AV471" s="24"/>
      <c r="AW471" s="24"/>
      <c r="AX471" s="24"/>
      <c r="AY471" s="24"/>
      <c r="AZ471" s="24"/>
      <c r="BA471" s="24"/>
      <c r="BB471" s="24"/>
    </row>
    <row r="472" ht="12.75" customHeight="1">
      <c r="A472" s="24"/>
      <c r="B472" s="24"/>
      <c r="C472" s="49"/>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c r="AY472" s="24"/>
      <c r="AZ472" s="24"/>
      <c r="BA472" s="24"/>
      <c r="BB472" s="24"/>
    </row>
    <row r="473" ht="12.75" customHeight="1">
      <c r="A473" s="24"/>
      <c r="B473" s="24"/>
      <c r="C473" s="49"/>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s="24"/>
      <c r="AS473" s="24"/>
      <c r="AT473" s="24"/>
      <c r="AU473" s="24"/>
      <c r="AV473" s="24"/>
      <c r="AW473" s="24"/>
      <c r="AX473" s="24"/>
      <c r="AY473" s="24"/>
      <c r="AZ473" s="24"/>
      <c r="BA473" s="24"/>
      <c r="BB473" s="24"/>
    </row>
    <row r="474" ht="12.75" customHeight="1">
      <c r="A474" s="24"/>
      <c r="B474" s="24"/>
      <c r="C474" s="49"/>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c r="BB474" s="24"/>
    </row>
    <row r="475" ht="12.75" customHeight="1">
      <c r="A475" s="24"/>
      <c r="B475" s="24"/>
      <c r="C475" s="49"/>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c r="AV475" s="24"/>
      <c r="AW475" s="24"/>
      <c r="AX475" s="24"/>
      <c r="AY475" s="24"/>
      <c r="AZ475" s="24"/>
      <c r="BA475" s="24"/>
      <c r="BB475" s="24"/>
    </row>
    <row r="476" ht="12.75" customHeight="1">
      <c r="A476" s="24"/>
      <c r="B476" s="24"/>
      <c r="C476" s="49"/>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c r="AY476" s="24"/>
      <c r="AZ476" s="24"/>
      <c r="BA476" s="24"/>
      <c r="BB476" s="24"/>
    </row>
    <row r="477" ht="12.75" customHeight="1">
      <c r="A477" s="24"/>
      <c r="B477" s="24"/>
      <c r="C477" s="49"/>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c r="AP477" s="24"/>
      <c r="AQ477" s="24"/>
      <c r="AR477" s="24"/>
      <c r="AS477" s="24"/>
      <c r="AT477" s="24"/>
      <c r="AU477" s="24"/>
      <c r="AV477" s="24"/>
      <c r="AW477" s="24"/>
      <c r="AX477" s="24"/>
      <c r="AY477" s="24"/>
      <c r="AZ477" s="24"/>
      <c r="BA477" s="24"/>
      <c r="BB477" s="24"/>
    </row>
    <row r="478" ht="12.75" customHeight="1">
      <c r="A478" s="24"/>
      <c r="B478" s="24"/>
      <c r="C478" s="49"/>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c r="AY478" s="24"/>
      <c r="AZ478" s="24"/>
      <c r="BA478" s="24"/>
      <c r="BB478" s="24"/>
    </row>
    <row r="479" ht="12.75" customHeight="1">
      <c r="A479" s="24"/>
      <c r="B479" s="24"/>
      <c r="C479" s="49"/>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s="24"/>
      <c r="AS479" s="24"/>
      <c r="AT479" s="24"/>
      <c r="AU479" s="24"/>
      <c r="AV479" s="24"/>
      <c r="AW479" s="24"/>
      <c r="AX479" s="24"/>
      <c r="AY479" s="24"/>
      <c r="AZ479" s="24"/>
      <c r="BA479" s="24"/>
      <c r="BB479" s="24"/>
    </row>
    <row r="480" ht="12.75" customHeight="1">
      <c r="A480" s="24"/>
      <c r="B480" s="24"/>
      <c r="C480" s="49"/>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c r="AY480" s="24"/>
      <c r="AZ480" s="24"/>
      <c r="BA480" s="24"/>
      <c r="BB480" s="24"/>
    </row>
    <row r="481" ht="12.75" customHeight="1">
      <c r="A481" s="24"/>
      <c r="B481" s="24"/>
      <c r="C481" s="49"/>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s="24"/>
      <c r="AS481" s="24"/>
      <c r="AT481" s="24"/>
      <c r="AU481" s="24"/>
      <c r="AV481" s="24"/>
      <c r="AW481" s="24"/>
      <c r="AX481" s="24"/>
      <c r="AY481" s="24"/>
      <c r="AZ481" s="24"/>
      <c r="BA481" s="24"/>
      <c r="BB481" s="24"/>
    </row>
    <row r="482" ht="12.75" customHeight="1">
      <c r="A482" s="24"/>
      <c r="B482" s="24"/>
      <c r="C482" s="49"/>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c r="AY482" s="24"/>
      <c r="AZ482" s="24"/>
      <c r="BA482" s="24"/>
      <c r="BB482" s="24"/>
    </row>
    <row r="483" ht="12.75" customHeight="1">
      <c r="A483" s="24"/>
      <c r="B483" s="24"/>
      <c r="C483" s="49"/>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s="24"/>
      <c r="AS483" s="24"/>
      <c r="AT483" s="24"/>
      <c r="AU483" s="24"/>
      <c r="AV483" s="24"/>
      <c r="AW483" s="24"/>
      <c r="AX483" s="24"/>
      <c r="AY483" s="24"/>
      <c r="AZ483" s="24"/>
      <c r="BA483" s="24"/>
      <c r="BB483" s="24"/>
    </row>
    <row r="484" ht="12.75" customHeight="1">
      <c r="A484" s="24"/>
      <c r="B484" s="24"/>
      <c r="C484" s="49"/>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c r="AY484" s="24"/>
      <c r="AZ484" s="24"/>
      <c r="BA484" s="24"/>
      <c r="BB484" s="24"/>
    </row>
    <row r="485" ht="12.75" customHeight="1">
      <c r="A485" s="24"/>
      <c r="B485" s="24"/>
      <c r="C485" s="49"/>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c r="AW485" s="24"/>
      <c r="AX485" s="24"/>
      <c r="AY485" s="24"/>
      <c r="AZ485" s="24"/>
      <c r="BA485" s="24"/>
      <c r="BB485" s="24"/>
    </row>
    <row r="486" ht="12.75" customHeight="1">
      <c r="A486" s="24"/>
      <c r="B486" s="24"/>
      <c r="C486" s="49"/>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c r="AY486" s="24"/>
      <c r="AZ486" s="24"/>
      <c r="BA486" s="24"/>
      <c r="BB486" s="24"/>
    </row>
    <row r="487" ht="12.75" customHeight="1">
      <c r="A487" s="24"/>
      <c r="B487" s="24"/>
      <c r="C487" s="49"/>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c r="BB487" s="24"/>
    </row>
    <row r="488" ht="12.75" customHeight="1">
      <c r="A488" s="24"/>
      <c r="B488" s="24"/>
      <c r="C488" s="49"/>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c r="AY488" s="24"/>
      <c r="AZ488" s="24"/>
      <c r="BA488" s="24"/>
      <c r="BB488" s="24"/>
    </row>
    <row r="489" ht="12.75" customHeight="1">
      <c r="A489" s="24"/>
      <c r="B489" s="24"/>
      <c r="C489" s="49"/>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row>
    <row r="490" ht="12.75" customHeight="1">
      <c r="A490" s="24"/>
      <c r="B490" s="24"/>
      <c r="C490" s="49"/>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c r="AY490" s="24"/>
      <c r="AZ490" s="24"/>
      <c r="BA490" s="24"/>
      <c r="BB490" s="24"/>
    </row>
    <row r="491" ht="12.75" customHeight="1">
      <c r="A491" s="24"/>
      <c r="B491" s="24"/>
      <c r="C491" s="49"/>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s="24"/>
      <c r="AS491" s="24"/>
      <c r="AT491" s="24"/>
      <c r="AU491" s="24"/>
      <c r="AV491" s="24"/>
      <c r="AW491" s="24"/>
      <c r="AX491" s="24"/>
      <c r="AY491" s="24"/>
      <c r="AZ491" s="24"/>
      <c r="BA491" s="24"/>
      <c r="BB491" s="24"/>
    </row>
    <row r="492" ht="12.75" customHeight="1">
      <c r="A492" s="24"/>
      <c r="B492" s="24"/>
      <c r="C492" s="49"/>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c r="AY492" s="24"/>
      <c r="AZ492" s="24"/>
      <c r="BA492" s="24"/>
      <c r="BB492" s="24"/>
    </row>
    <row r="493" ht="12.75" customHeight="1">
      <c r="A493" s="24"/>
      <c r="B493" s="24"/>
      <c r="C493" s="49"/>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24"/>
      <c r="AY493" s="24"/>
      <c r="AZ493" s="24"/>
      <c r="BA493" s="24"/>
      <c r="BB493" s="24"/>
    </row>
    <row r="494" ht="12.75" customHeight="1">
      <c r="A494" s="24"/>
      <c r="B494" s="24"/>
      <c r="C494" s="49"/>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c r="AY494" s="24"/>
      <c r="AZ494" s="24"/>
      <c r="BA494" s="24"/>
      <c r="BB494" s="24"/>
    </row>
    <row r="495" ht="12.75" customHeight="1">
      <c r="A495" s="24"/>
      <c r="B495" s="24"/>
      <c r="C495" s="49"/>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s="24"/>
      <c r="AS495" s="24"/>
      <c r="AT495" s="24"/>
      <c r="AU495" s="24"/>
      <c r="AV495" s="24"/>
      <c r="AW495" s="24"/>
      <c r="AX495" s="24"/>
      <c r="AY495" s="24"/>
      <c r="AZ495" s="24"/>
      <c r="BA495" s="24"/>
      <c r="BB495" s="24"/>
    </row>
    <row r="496" ht="12.75" customHeight="1">
      <c r="A496" s="24"/>
      <c r="B496" s="24"/>
      <c r="C496" s="49"/>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c r="AY496" s="24"/>
      <c r="AZ496" s="24"/>
      <c r="BA496" s="24"/>
      <c r="BB496" s="24"/>
    </row>
    <row r="497" ht="12.75" customHeight="1">
      <c r="A497" s="24"/>
      <c r="B497" s="24"/>
      <c r="C497" s="49"/>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s="24"/>
      <c r="AS497" s="24"/>
      <c r="AT497" s="24"/>
      <c r="AU497" s="24"/>
      <c r="AV497" s="24"/>
      <c r="AW497" s="24"/>
      <c r="AX497" s="24"/>
      <c r="AY497" s="24"/>
      <c r="AZ497" s="24"/>
      <c r="BA497" s="24"/>
      <c r="BB497" s="24"/>
    </row>
    <row r="498" ht="12.75" customHeight="1">
      <c r="A498" s="24"/>
      <c r="B498" s="24"/>
      <c r="C498" s="49"/>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c r="AY498" s="24"/>
      <c r="AZ498" s="24"/>
      <c r="BA498" s="24"/>
      <c r="BB498" s="24"/>
    </row>
    <row r="499" ht="12.75" customHeight="1">
      <c r="A499" s="24"/>
      <c r="B499" s="24"/>
      <c r="C499" s="49"/>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s="24"/>
      <c r="AS499" s="24"/>
      <c r="AT499" s="24"/>
      <c r="AU499" s="24"/>
      <c r="AV499" s="24"/>
      <c r="AW499" s="24"/>
      <c r="AX499" s="24"/>
      <c r="AY499" s="24"/>
      <c r="AZ499" s="24"/>
      <c r="BA499" s="24"/>
      <c r="BB499" s="24"/>
    </row>
    <row r="500" ht="12.75" customHeight="1">
      <c r="A500" s="24"/>
      <c r="B500" s="24"/>
      <c r="C500" s="49"/>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c r="AY500" s="24"/>
      <c r="AZ500" s="24"/>
      <c r="BA500" s="24"/>
      <c r="BB500" s="24"/>
    </row>
    <row r="501" ht="12.75" customHeight="1">
      <c r="A501" s="24"/>
      <c r="B501" s="24"/>
      <c r="C501" s="49"/>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s="24"/>
      <c r="AS501" s="24"/>
      <c r="AT501" s="24"/>
      <c r="AU501" s="24"/>
      <c r="AV501" s="24"/>
      <c r="AW501" s="24"/>
      <c r="AX501" s="24"/>
      <c r="AY501" s="24"/>
      <c r="AZ501" s="24"/>
      <c r="BA501" s="24"/>
      <c r="BB501" s="24"/>
    </row>
    <row r="502" ht="12.75" customHeight="1">
      <c r="A502" s="24"/>
      <c r="B502" s="24"/>
      <c r="C502" s="49"/>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c r="AY502" s="24"/>
      <c r="AZ502" s="24"/>
      <c r="BA502" s="24"/>
      <c r="BB502" s="24"/>
    </row>
    <row r="503" ht="12.75" customHeight="1">
      <c r="A503" s="24"/>
      <c r="B503" s="24"/>
      <c r="C503" s="49"/>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c r="AP503" s="24"/>
      <c r="AQ503" s="24"/>
      <c r="AR503" s="24"/>
      <c r="AS503" s="24"/>
      <c r="AT503" s="24"/>
      <c r="AU503" s="24"/>
      <c r="AV503" s="24"/>
      <c r="AW503" s="24"/>
      <c r="AX503" s="24"/>
      <c r="AY503" s="24"/>
      <c r="AZ503" s="24"/>
      <c r="BA503" s="24"/>
      <c r="BB503" s="24"/>
    </row>
    <row r="504" ht="12.75" customHeight="1">
      <c r="A504" s="24"/>
      <c r="B504" s="24"/>
      <c r="C504" s="49"/>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c r="AY504" s="24"/>
      <c r="AZ504" s="24"/>
      <c r="BA504" s="24"/>
      <c r="BB504" s="24"/>
    </row>
    <row r="505" ht="12.75" customHeight="1">
      <c r="A505" s="24"/>
      <c r="B505" s="24"/>
      <c r="C505" s="49"/>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24"/>
      <c r="AY505" s="24"/>
      <c r="AZ505" s="24"/>
      <c r="BA505" s="24"/>
      <c r="BB505" s="24"/>
    </row>
    <row r="506" ht="12.75" customHeight="1">
      <c r="A506" s="24"/>
      <c r="B506" s="24"/>
      <c r="C506" s="49"/>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c r="BB506" s="24"/>
    </row>
    <row r="507" ht="12.75" customHeight="1">
      <c r="A507" s="24"/>
      <c r="B507" s="24"/>
      <c r="C507" s="49"/>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24"/>
      <c r="AY507" s="24"/>
      <c r="AZ507" s="24"/>
      <c r="BA507" s="24"/>
      <c r="BB507" s="24"/>
    </row>
    <row r="508" ht="12.75" customHeight="1">
      <c r="A508" s="24"/>
      <c r="B508" s="24"/>
      <c r="C508" s="49"/>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c r="BB508" s="24"/>
    </row>
    <row r="509" ht="12.75" customHeight="1">
      <c r="A509" s="24"/>
      <c r="B509" s="24"/>
      <c r="C509" s="49"/>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c r="BB509" s="24"/>
    </row>
    <row r="510" ht="12.75" customHeight="1">
      <c r="A510" s="24"/>
      <c r="B510" s="24"/>
      <c r="C510" s="49"/>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c r="BB510" s="24"/>
    </row>
    <row r="511" ht="12.75" customHeight="1">
      <c r="A511" s="24"/>
      <c r="B511" s="24"/>
      <c r="C511" s="49"/>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c r="BB511" s="24"/>
    </row>
    <row r="512" ht="12.75" customHeight="1">
      <c r="A512" s="24"/>
      <c r="B512" s="24"/>
      <c r="C512" s="49"/>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c r="AY512" s="24"/>
      <c r="AZ512" s="24"/>
      <c r="BA512" s="24"/>
      <c r="BB512" s="24"/>
    </row>
    <row r="513" ht="12.75" customHeight="1">
      <c r="A513" s="24"/>
      <c r="B513" s="24"/>
      <c r="C513" s="49"/>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24"/>
      <c r="AY513" s="24"/>
      <c r="AZ513" s="24"/>
      <c r="BA513" s="24"/>
      <c r="BB513" s="24"/>
    </row>
    <row r="514" ht="12.75" customHeight="1">
      <c r="A514" s="24"/>
      <c r="B514" s="24"/>
      <c r="C514" s="49"/>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row>
    <row r="515" ht="12.75" customHeight="1">
      <c r="A515" s="24"/>
      <c r="B515" s="24"/>
      <c r="C515" s="49"/>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s="24"/>
      <c r="AS515" s="24"/>
      <c r="AT515" s="24"/>
      <c r="AU515" s="24"/>
      <c r="AV515" s="24"/>
      <c r="AW515" s="24"/>
      <c r="AX515" s="24"/>
      <c r="AY515" s="24"/>
      <c r="AZ515" s="24"/>
      <c r="BA515" s="24"/>
      <c r="BB515" s="24"/>
    </row>
    <row r="516" ht="12.75" customHeight="1">
      <c r="A516" s="24"/>
      <c r="B516" s="24"/>
      <c r="C516" s="49"/>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c r="AY516" s="24"/>
      <c r="AZ516" s="24"/>
      <c r="BA516" s="24"/>
      <c r="BB516" s="24"/>
    </row>
    <row r="517" ht="12.75" customHeight="1">
      <c r="A517" s="24"/>
      <c r="B517" s="24"/>
      <c r="C517" s="49"/>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24"/>
      <c r="AY517" s="24"/>
      <c r="AZ517" s="24"/>
      <c r="BA517" s="24"/>
      <c r="BB517" s="24"/>
    </row>
    <row r="518" ht="12.75" customHeight="1">
      <c r="A518" s="24"/>
      <c r="B518" s="24"/>
      <c r="C518" s="49"/>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c r="BB518" s="24"/>
    </row>
    <row r="519" ht="12.75" customHeight="1">
      <c r="A519" s="24"/>
      <c r="B519" s="24"/>
      <c r="C519" s="49"/>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24"/>
      <c r="AY519" s="24"/>
      <c r="AZ519" s="24"/>
      <c r="BA519" s="24"/>
      <c r="BB519" s="24"/>
    </row>
    <row r="520" ht="12.75" customHeight="1">
      <c r="A520" s="24"/>
      <c r="B520" s="24"/>
      <c r="C520" s="49"/>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c r="AY520" s="24"/>
      <c r="AZ520" s="24"/>
      <c r="BA520" s="24"/>
      <c r="BB520" s="24"/>
    </row>
    <row r="521" ht="12.75" customHeight="1">
      <c r="A521" s="24"/>
      <c r="B521" s="24"/>
      <c r="C521" s="49"/>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24"/>
      <c r="AW521" s="24"/>
      <c r="AX521" s="24"/>
      <c r="AY521" s="24"/>
      <c r="AZ521" s="24"/>
      <c r="BA521" s="24"/>
      <c r="BB521" s="24"/>
    </row>
    <row r="522" ht="12.75" customHeight="1">
      <c r="A522" s="24"/>
      <c r="B522" s="24"/>
      <c r="C522" s="49"/>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c r="AY522" s="24"/>
      <c r="AZ522" s="24"/>
      <c r="BA522" s="24"/>
      <c r="BB522" s="24"/>
    </row>
    <row r="523" ht="12.75" customHeight="1">
      <c r="A523" s="24"/>
      <c r="B523" s="24"/>
      <c r="C523" s="49"/>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s="24"/>
      <c r="AS523" s="24"/>
      <c r="AT523" s="24"/>
      <c r="AU523" s="24"/>
      <c r="AV523" s="24"/>
      <c r="AW523" s="24"/>
      <c r="AX523" s="24"/>
      <c r="AY523" s="24"/>
      <c r="AZ523" s="24"/>
      <c r="BA523" s="24"/>
      <c r="BB523" s="24"/>
    </row>
    <row r="524" ht="12.75" customHeight="1">
      <c r="A524" s="24"/>
      <c r="B524" s="24"/>
      <c r="C524" s="49"/>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c r="AY524" s="24"/>
      <c r="AZ524" s="24"/>
      <c r="BA524" s="24"/>
      <c r="BB524" s="24"/>
    </row>
    <row r="525" ht="12.75" customHeight="1">
      <c r="A525" s="24"/>
      <c r="B525" s="24"/>
      <c r="C525" s="49"/>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24"/>
      <c r="AY525" s="24"/>
      <c r="AZ525" s="24"/>
      <c r="BA525" s="24"/>
      <c r="BB525" s="24"/>
    </row>
    <row r="526" ht="12.75" customHeight="1">
      <c r="A526" s="24"/>
      <c r="B526" s="24"/>
      <c r="C526" s="49"/>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c r="AY526" s="24"/>
      <c r="AZ526" s="24"/>
      <c r="BA526" s="24"/>
      <c r="BB526" s="24"/>
    </row>
    <row r="527" ht="12.75" customHeight="1">
      <c r="A527" s="24"/>
      <c r="B527" s="24"/>
      <c r="C527" s="49"/>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c r="AP527" s="24"/>
      <c r="AQ527" s="24"/>
      <c r="AR527" s="24"/>
      <c r="AS527" s="24"/>
      <c r="AT527" s="24"/>
      <c r="AU527" s="24"/>
      <c r="AV527" s="24"/>
      <c r="AW527" s="24"/>
      <c r="AX527" s="24"/>
      <c r="AY527" s="24"/>
      <c r="AZ527" s="24"/>
      <c r="BA527" s="24"/>
      <c r="BB527" s="24"/>
    </row>
    <row r="528" ht="12.75" customHeight="1">
      <c r="A528" s="24"/>
      <c r="B528" s="24"/>
      <c r="C528" s="49"/>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c r="AY528" s="24"/>
      <c r="AZ528" s="24"/>
      <c r="BA528" s="24"/>
      <c r="BB528" s="24"/>
    </row>
    <row r="529" ht="12.75" customHeight="1">
      <c r="A529" s="24"/>
      <c r="B529" s="24"/>
      <c r="C529" s="49"/>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s="24"/>
      <c r="AS529" s="24"/>
      <c r="AT529" s="24"/>
      <c r="AU529" s="24"/>
      <c r="AV529" s="24"/>
      <c r="AW529" s="24"/>
      <c r="AX529" s="24"/>
      <c r="AY529" s="24"/>
      <c r="AZ529" s="24"/>
      <c r="BA529" s="24"/>
      <c r="BB529" s="24"/>
    </row>
    <row r="530" ht="12.75" customHeight="1">
      <c r="A530" s="24"/>
      <c r="B530" s="24"/>
      <c r="C530" s="49"/>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c r="AY530" s="24"/>
      <c r="AZ530" s="24"/>
      <c r="BA530" s="24"/>
      <c r="BB530" s="24"/>
    </row>
    <row r="531" ht="12.75" customHeight="1">
      <c r="A531" s="24"/>
      <c r="B531" s="24"/>
      <c r="C531" s="49"/>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s="24"/>
      <c r="AS531" s="24"/>
      <c r="AT531" s="24"/>
      <c r="AU531" s="24"/>
      <c r="AV531" s="24"/>
      <c r="AW531" s="24"/>
      <c r="AX531" s="24"/>
      <c r="AY531" s="24"/>
      <c r="AZ531" s="24"/>
      <c r="BA531" s="24"/>
      <c r="BB531" s="24"/>
    </row>
    <row r="532" ht="12.75" customHeight="1">
      <c r="A532" s="24"/>
      <c r="B532" s="24"/>
      <c r="C532" s="49"/>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c r="AY532" s="24"/>
      <c r="AZ532" s="24"/>
      <c r="BA532" s="24"/>
      <c r="BB532" s="24"/>
    </row>
    <row r="533" ht="12.75" customHeight="1">
      <c r="A533" s="24"/>
      <c r="B533" s="24"/>
      <c r="C533" s="49"/>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24"/>
      <c r="AY533" s="24"/>
      <c r="AZ533" s="24"/>
      <c r="BA533" s="24"/>
      <c r="BB533" s="24"/>
    </row>
    <row r="534" ht="12.75" customHeight="1">
      <c r="A534" s="24"/>
      <c r="B534" s="24"/>
      <c r="C534" s="49"/>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c r="AY534" s="24"/>
      <c r="AZ534" s="24"/>
      <c r="BA534" s="24"/>
      <c r="BB534" s="24"/>
    </row>
    <row r="535" ht="12.75" customHeight="1">
      <c r="A535" s="24"/>
      <c r="B535" s="24"/>
      <c r="C535" s="49"/>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24"/>
      <c r="AY535" s="24"/>
      <c r="AZ535" s="24"/>
      <c r="BA535" s="24"/>
      <c r="BB535" s="24"/>
    </row>
    <row r="536" ht="12.75" customHeight="1">
      <c r="A536" s="24"/>
      <c r="B536" s="24"/>
      <c r="C536" s="49"/>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c r="AY536" s="24"/>
      <c r="AZ536" s="24"/>
      <c r="BA536" s="24"/>
      <c r="BB536" s="24"/>
    </row>
    <row r="537" ht="12.75" customHeight="1">
      <c r="A537" s="24"/>
      <c r="B537" s="24"/>
      <c r="C537" s="49"/>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c r="AW537" s="24"/>
      <c r="AX537" s="24"/>
      <c r="AY537" s="24"/>
      <c r="AZ537" s="24"/>
      <c r="BA537" s="24"/>
      <c r="BB537" s="24"/>
    </row>
    <row r="538" ht="12.75" customHeight="1">
      <c r="A538" s="24"/>
      <c r="B538" s="24"/>
      <c r="C538" s="49"/>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c r="AY538" s="24"/>
      <c r="AZ538" s="24"/>
      <c r="BA538" s="24"/>
      <c r="BB538" s="24"/>
    </row>
    <row r="539" ht="12.75" customHeight="1">
      <c r="A539" s="24"/>
      <c r="B539" s="24"/>
      <c r="C539" s="49"/>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row>
    <row r="540" ht="12.75" customHeight="1">
      <c r="A540" s="24"/>
      <c r="B540" s="24"/>
      <c r="C540" s="49"/>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c r="AY540" s="24"/>
      <c r="AZ540" s="24"/>
      <c r="BA540" s="24"/>
      <c r="BB540" s="24"/>
    </row>
    <row r="541" ht="12.75" customHeight="1">
      <c r="A541" s="24"/>
      <c r="B541" s="24"/>
      <c r="C541" s="49"/>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s="24"/>
      <c r="AS541" s="24"/>
      <c r="AT541" s="24"/>
      <c r="AU541" s="24"/>
      <c r="AV541" s="24"/>
      <c r="AW541" s="24"/>
      <c r="AX541" s="24"/>
      <c r="AY541" s="24"/>
      <c r="AZ541" s="24"/>
      <c r="BA541" s="24"/>
      <c r="BB541" s="24"/>
    </row>
    <row r="542" ht="12.75" customHeight="1">
      <c r="A542" s="24"/>
      <c r="B542" s="24"/>
      <c r="C542" s="49"/>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c r="AY542" s="24"/>
      <c r="AZ542" s="24"/>
      <c r="BA542" s="24"/>
      <c r="BB542" s="24"/>
    </row>
    <row r="543" ht="12.75" customHeight="1">
      <c r="A543" s="24"/>
      <c r="B543" s="24"/>
      <c r="C543" s="49"/>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24"/>
      <c r="AY543" s="24"/>
      <c r="AZ543" s="24"/>
      <c r="BA543" s="24"/>
      <c r="BB543" s="24"/>
    </row>
    <row r="544" ht="12.75" customHeight="1">
      <c r="A544" s="24"/>
      <c r="B544" s="24"/>
      <c r="C544" s="49"/>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c r="AY544" s="24"/>
      <c r="AZ544" s="24"/>
      <c r="BA544" s="24"/>
      <c r="BB544" s="24"/>
    </row>
    <row r="545" ht="12.75" customHeight="1">
      <c r="A545" s="24"/>
      <c r="B545" s="24"/>
      <c r="C545" s="49"/>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c r="AS545" s="24"/>
      <c r="AT545" s="24"/>
      <c r="AU545" s="24"/>
      <c r="AV545" s="24"/>
      <c r="AW545" s="24"/>
      <c r="AX545" s="24"/>
      <c r="AY545" s="24"/>
      <c r="AZ545" s="24"/>
      <c r="BA545" s="24"/>
      <c r="BB545" s="24"/>
    </row>
    <row r="546" ht="12.75" customHeight="1">
      <c r="A546" s="24"/>
      <c r="B546" s="24"/>
      <c r="C546" s="49"/>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c r="AY546" s="24"/>
      <c r="AZ546" s="24"/>
      <c r="BA546" s="24"/>
      <c r="BB546" s="24"/>
    </row>
    <row r="547" ht="12.75" customHeight="1">
      <c r="A547" s="24"/>
      <c r="B547" s="24"/>
      <c r="C547" s="49"/>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c r="AW547" s="24"/>
      <c r="AX547" s="24"/>
      <c r="AY547" s="24"/>
      <c r="AZ547" s="24"/>
      <c r="BA547" s="24"/>
      <c r="BB547" s="24"/>
    </row>
    <row r="548" ht="12.75" customHeight="1">
      <c r="A548" s="24"/>
      <c r="B548" s="24"/>
      <c r="C548" s="49"/>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c r="AY548" s="24"/>
      <c r="AZ548" s="24"/>
      <c r="BA548" s="24"/>
      <c r="BB548" s="24"/>
    </row>
    <row r="549" ht="12.75" customHeight="1">
      <c r="A549" s="24"/>
      <c r="B549" s="24"/>
      <c r="C549" s="49"/>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c r="AW549" s="24"/>
      <c r="AX549" s="24"/>
      <c r="AY549" s="24"/>
      <c r="AZ549" s="24"/>
      <c r="BA549" s="24"/>
      <c r="BB549" s="24"/>
    </row>
    <row r="550" ht="12.75" customHeight="1">
      <c r="A550" s="24"/>
      <c r="B550" s="24"/>
      <c r="C550" s="49"/>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c r="AY550" s="24"/>
      <c r="AZ550" s="24"/>
      <c r="BA550" s="24"/>
      <c r="BB550" s="24"/>
    </row>
    <row r="551" ht="12.75" customHeight="1">
      <c r="A551" s="24"/>
      <c r="B551" s="24"/>
      <c r="C551" s="49"/>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c r="AS551" s="24"/>
      <c r="AT551" s="24"/>
      <c r="AU551" s="24"/>
      <c r="AV551" s="24"/>
      <c r="AW551" s="24"/>
      <c r="AX551" s="24"/>
      <c r="AY551" s="24"/>
      <c r="AZ551" s="24"/>
      <c r="BA551" s="24"/>
      <c r="BB551" s="24"/>
    </row>
    <row r="552" ht="12.75" customHeight="1">
      <c r="A552" s="24"/>
      <c r="B552" s="24"/>
      <c r="C552" s="49"/>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c r="AY552" s="24"/>
      <c r="AZ552" s="24"/>
      <c r="BA552" s="24"/>
      <c r="BB552" s="24"/>
    </row>
    <row r="553" ht="12.75" customHeight="1">
      <c r="A553" s="24"/>
      <c r="B553" s="24"/>
      <c r="C553" s="49"/>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24"/>
      <c r="AY553" s="24"/>
      <c r="AZ553" s="24"/>
      <c r="BA553" s="24"/>
      <c r="BB553" s="24"/>
    </row>
    <row r="554" ht="12.75" customHeight="1">
      <c r="A554" s="24"/>
      <c r="B554" s="24"/>
      <c r="C554" s="49"/>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c r="AY554" s="24"/>
      <c r="AZ554" s="24"/>
      <c r="BA554" s="24"/>
      <c r="BB554" s="24"/>
    </row>
    <row r="555" ht="12.75" customHeight="1">
      <c r="A555" s="24"/>
      <c r="B555" s="24"/>
      <c r="C555" s="49"/>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s="24"/>
      <c r="AS555" s="24"/>
      <c r="AT555" s="24"/>
      <c r="AU555" s="24"/>
      <c r="AV555" s="24"/>
      <c r="AW555" s="24"/>
      <c r="AX555" s="24"/>
      <c r="AY555" s="24"/>
      <c r="AZ555" s="24"/>
      <c r="BA555" s="24"/>
      <c r="BB555" s="24"/>
    </row>
    <row r="556" ht="12.75" customHeight="1">
      <c r="A556" s="24"/>
      <c r="B556" s="24"/>
      <c r="C556" s="49"/>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c r="AY556" s="24"/>
      <c r="AZ556" s="24"/>
      <c r="BA556" s="24"/>
      <c r="BB556" s="24"/>
    </row>
    <row r="557" ht="12.75" customHeight="1">
      <c r="A557" s="24"/>
      <c r="B557" s="24"/>
      <c r="C557" s="49"/>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24"/>
      <c r="AY557" s="24"/>
      <c r="AZ557" s="24"/>
      <c r="BA557" s="24"/>
      <c r="BB557" s="24"/>
    </row>
    <row r="558" ht="12.75" customHeight="1">
      <c r="A558" s="24"/>
      <c r="B558" s="24"/>
      <c r="C558" s="49"/>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c r="AY558" s="24"/>
      <c r="AZ558" s="24"/>
      <c r="BA558" s="24"/>
      <c r="BB558" s="24"/>
    </row>
    <row r="559" ht="12.75" customHeight="1">
      <c r="A559" s="24"/>
      <c r="B559" s="24"/>
      <c r="C559" s="49"/>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24"/>
      <c r="AY559" s="24"/>
      <c r="AZ559" s="24"/>
      <c r="BA559" s="24"/>
      <c r="BB559" s="24"/>
    </row>
    <row r="560" ht="12.75" customHeight="1">
      <c r="A560" s="24"/>
      <c r="B560" s="24"/>
      <c r="C560" s="49"/>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c r="AY560" s="24"/>
      <c r="AZ560" s="24"/>
      <c r="BA560" s="24"/>
      <c r="BB560" s="24"/>
    </row>
    <row r="561" ht="12.75" customHeight="1">
      <c r="A561" s="24"/>
      <c r="B561" s="24"/>
      <c r="C561" s="49"/>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24"/>
      <c r="AY561" s="24"/>
      <c r="AZ561" s="24"/>
      <c r="BA561" s="24"/>
      <c r="BB561" s="24"/>
    </row>
    <row r="562" ht="12.75" customHeight="1">
      <c r="A562" s="24"/>
      <c r="B562" s="24"/>
      <c r="C562" s="49"/>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c r="AY562" s="24"/>
      <c r="AZ562" s="24"/>
      <c r="BA562" s="24"/>
      <c r="BB562" s="24"/>
    </row>
    <row r="563" ht="12.75" customHeight="1">
      <c r="A563" s="24"/>
      <c r="B563" s="24"/>
      <c r="C563" s="49"/>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s="24"/>
      <c r="AS563" s="24"/>
      <c r="AT563" s="24"/>
      <c r="AU563" s="24"/>
      <c r="AV563" s="24"/>
      <c r="AW563" s="24"/>
      <c r="AX563" s="24"/>
      <c r="AY563" s="24"/>
      <c r="AZ563" s="24"/>
      <c r="BA563" s="24"/>
      <c r="BB563" s="24"/>
    </row>
    <row r="564" ht="12.75" customHeight="1">
      <c r="A564" s="24"/>
      <c r="B564" s="24"/>
      <c r="C564" s="49"/>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row>
    <row r="565" ht="12.75" customHeight="1">
      <c r="A565" s="24"/>
      <c r="B565" s="24"/>
      <c r="C565" s="49"/>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c r="AS565" s="24"/>
      <c r="AT565" s="24"/>
      <c r="AU565" s="24"/>
      <c r="AV565" s="24"/>
      <c r="AW565" s="24"/>
      <c r="AX565" s="24"/>
      <c r="AY565" s="24"/>
      <c r="AZ565" s="24"/>
      <c r="BA565" s="24"/>
      <c r="BB565" s="24"/>
    </row>
    <row r="566" ht="12.75" customHeight="1">
      <c r="A566" s="24"/>
      <c r="B566" s="24"/>
      <c r="C566" s="49"/>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c r="AY566" s="24"/>
      <c r="AZ566" s="24"/>
      <c r="BA566" s="24"/>
      <c r="BB566" s="24"/>
    </row>
    <row r="567" ht="12.75" customHeight="1">
      <c r="A567" s="24"/>
      <c r="B567" s="24"/>
      <c r="C567" s="49"/>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s="24"/>
      <c r="AS567" s="24"/>
      <c r="AT567" s="24"/>
      <c r="AU567" s="24"/>
      <c r="AV567" s="24"/>
      <c r="AW567" s="24"/>
      <c r="AX567" s="24"/>
      <c r="AY567" s="24"/>
      <c r="AZ567" s="24"/>
      <c r="BA567" s="24"/>
      <c r="BB567" s="24"/>
    </row>
    <row r="568" ht="12.75" customHeight="1">
      <c r="A568" s="24"/>
      <c r="B568" s="24"/>
      <c r="C568" s="49"/>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c r="AY568" s="24"/>
      <c r="AZ568" s="24"/>
      <c r="BA568" s="24"/>
      <c r="BB568" s="24"/>
    </row>
    <row r="569" ht="12.75" customHeight="1">
      <c r="A569" s="24"/>
      <c r="B569" s="24"/>
      <c r="C569" s="49"/>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c r="AP569" s="24"/>
      <c r="AQ569" s="24"/>
      <c r="AR569" s="24"/>
      <c r="AS569" s="24"/>
      <c r="AT569" s="24"/>
      <c r="AU569" s="24"/>
      <c r="AV569" s="24"/>
      <c r="AW569" s="24"/>
      <c r="AX569" s="24"/>
      <c r="AY569" s="24"/>
      <c r="AZ569" s="24"/>
      <c r="BA569" s="24"/>
      <c r="BB569" s="24"/>
    </row>
    <row r="570" ht="12.75" customHeight="1">
      <c r="A570" s="24"/>
      <c r="B570" s="24"/>
      <c r="C570" s="49"/>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c r="AY570" s="24"/>
      <c r="AZ570" s="24"/>
      <c r="BA570" s="24"/>
      <c r="BB570" s="24"/>
    </row>
    <row r="571" ht="12.75" customHeight="1">
      <c r="A571" s="24"/>
      <c r="B571" s="24"/>
      <c r="C571" s="49"/>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c r="AS571" s="24"/>
      <c r="AT571" s="24"/>
      <c r="AU571" s="24"/>
      <c r="AV571" s="24"/>
      <c r="AW571" s="24"/>
      <c r="AX571" s="24"/>
      <c r="AY571" s="24"/>
      <c r="AZ571" s="24"/>
      <c r="BA571" s="24"/>
      <c r="BB571" s="24"/>
    </row>
    <row r="572" ht="12.75" customHeight="1">
      <c r="A572" s="24"/>
      <c r="B572" s="24"/>
      <c r="C572" s="49"/>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c r="AY572" s="24"/>
      <c r="AZ572" s="24"/>
      <c r="BA572" s="24"/>
      <c r="BB572" s="24"/>
    </row>
    <row r="573" ht="12.75" customHeight="1">
      <c r="A573" s="24"/>
      <c r="B573" s="24"/>
      <c r="C573" s="49"/>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24"/>
      <c r="AY573" s="24"/>
      <c r="AZ573" s="24"/>
      <c r="BA573" s="24"/>
      <c r="BB573" s="24"/>
    </row>
    <row r="574" ht="12.75" customHeight="1">
      <c r="A574" s="24"/>
      <c r="B574" s="24"/>
      <c r="C574" s="49"/>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c r="AY574" s="24"/>
      <c r="AZ574" s="24"/>
      <c r="BA574" s="24"/>
      <c r="BB574" s="24"/>
    </row>
    <row r="575" ht="12.75" customHeight="1">
      <c r="A575" s="24"/>
      <c r="B575" s="24"/>
      <c r="C575" s="49"/>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c r="AP575" s="24"/>
      <c r="AQ575" s="24"/>
      <c r="AR575" s="24"/>
      <c r="AS575" s="24"/>
      <c r="AT575" s="24"/>
      <c r="AU575" s="24"/>
      <c r="AV575" s="24"/>
      <c r="AW575" s="24"/>
      <c r="AX575" s="24"/>
      <c r="AY575" s="24"/>
      <c r="AZ575" s="24"/>
      <c r="BA575" s="24"/>
      <c r="BB575" s="24"/>
    </row>
    <row r="576" ht="12.75" customHeight="1">
      <c r="A576" s="24"/>
      <c r="B576" s="24"/>
      <c r="C576" s="49"/>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c r="AY576" s="24"/>
      <c r="AZ576" s="24"/>
      <c r="BA576" s="24"/>
      <c r="BB576" s="24"/>
    </row>
    <row r="577" ht="12.75" customHeight="1">
      <c r="A577" s="24"/>
      <c r="B577" s="24"/>
      <c r="C577" s="49"/>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s="24"/>
      <c r="AS577" s="24"/>
      <c r="AT577" s="24"/>
      <c r="AU577" s="24"/>
      <c r="AV577" s="24"/>
      <c r="AW577" s="24"/>
      <c r="AX577" s="24"/>
      <c r="AY577" s="24"/>
      <c r="AZ577" s="24"/>
      <c r="BA577" s="24"/>
      <c r="BB577" s="24"/>
    </row>
    <row r="578" ht="12.75" customHeight="1">
      <c r="A578" s="24"/>
      <c r="B578" s="24"/>
      <c r="C578" s="49"/>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row>
    <row r="579" ht="12.75" customHeight="1">
      <c r="A579" s="24"/>
      <c r="B579" s="24"/>
      <c r="C579" s="49"/>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24"/>
      <c r="AY579" s="24"/>
      <c r="AZ579" s="24"/>
      <c r="BA579" s="24"/>
      <c r="BB579" s="24"/>
    </row>
    <row r="580" ht="12.75" customHeight="1">
      <c r="A580" s="24"/>
      <c r="B580" s="24"/>
      <c r="C580" s="49"/>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c r="AY580" s="24"/>
      <c r="AZ580" s="24"/>
      <c r="BA580" s="24"/>
      <c r="BB580" s="24"/>
    </row>
    <row r="581" ht="12.75" customHeight="1">
      <c r="A581" s="24"/>
      <c r="B581" s="24"/>
      <c r="C581" s="49"/>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c r="BB581" s="24"/>
    </row>
    <row r="582" ht="12.75" customHeight="1">
      <c r="A582" s="24"/>
      <c r="B582" s="24"/>
      <c r="C582" s="49"/>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c r="AY582" s="24"/>
      <c r="AZ582" s="24"/>
      <c r="BA582" s="24"/>
      <c r="BB582" s="24"/>
    </row>
    <row r="583" ht="12.75" customHeight="1">
      <c r="A583" s="24"/>
      <c r="B583" s="24"/>
      <c r="C583" s="49"/>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c r="BB583" s="24"/>
    </row>
    <row r="584" ht="12.75" customHeight="1">
      <c r="A584" s="24"/>
      <c r="B584" s="24"/>
      <c r="C584" s="49"/>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c r="AY584" s="24"/>
      <c r="AZ584" s="24"/>
      <c r="BA584" s="24"/>
      <c r="BB584" s="24"/>
    </row>
    <row r="585" ht="12.75" customHeight="1">
      <c r="A585" s="24"/>
      <c r="B585" s="24"/>
      <c r="C585" s="49"/>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24"/>
      <c r="AY585" s="24"/>
      <c r="AZ585" s="24"/>
      <c r="BA585" s="24"/>
      <c r="BB585" s="24"/>
    </row>
    <row r="586" ht="12.75" customHeight="1">
      <c r="A586" s="24"/>
      <c r="B586" s="24"/>
      <c r="C586" s="49"/>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c r="BB586" s="24"/>
    </row>
    <row r="587" ht="12.75" customHeight="1">
      <c r="A587" s="24"/>
      <c r="B587" s="24"/>
      <c r="C587" s="49"/>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row>
    <row r="588" ht="12.75" customHeight="1">
      <c r="A588" s="24"/>
      <c r="B588" s="24"/>
      <c r="C588" s="49"/>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c r="BB588" s="24"/>
    </row>
    <row r="589" ht="12.75" customHeight="1">
      <c r="A589" s="24"/>
      <c r="B589" s="24"/>
      <c r="C589" s="49"/>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row>
    <row r="590" ht="12.75" customHeight="1">
      <c r="A590" s="24"/>
      <c r="B590" s="24"/>
      <c r="C590" s="49"/>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c r="AY590" s="24"/>
      <c r="AZ590" s="24"/>
      <c r="BA590" s="24"/>
      <c r="BB590" s="24"/>
    </row>
    <row r="591" ht="12.75" customHeight="1">
      <c r="A591" s="24"/>
      <c r="B591" s="24"/>
      <c r="C591" s="49"/>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24"/>
      <c r="AY591" s="24"/>
      <c r="AZ591" s="24"/>
      <c r="BA591" s="24"/>
      <c r="BB591" s="24"/>
    </row>
    <row r="592" ht="12.75" customHeight="1">
      <c r="A592" s="24"/>
      <c r="B592" s="24"/>
      <c r="C592" s="49"/>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c r="AY592" s="24"/>
      <c r="AZ592" s="24"/>
      <c r="BA592" s="24"/>
      <c r="BB592" s="24"/>
    </row>
    <row r="593" ht="12.75" customHeight="1">
      <c r="A593" s="24"/>
      <c r="B593" s="24"/>
      <c r="C593" s="49"/>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24"/>
      <c r="AY593" s="24"/>
      <c r="AZ593" s="24"/>
      <c r="BA593" s="24"/>
      <c r="BB593" s="24"/>
    </row>
    <row r="594" ht="12.75" customHeight="1">
      <c r="A594" s="24"/>
      <c r="B594" s="24"/>
      <c r="C594" s="49"/>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c r="AY594" s="24"/>
      <c r="AZ594" s="24"/>
      <c r="BA594" s="24"/>
      <c r="BB594" s="24"/>
    </row>
    <row r="595" ht="12.75" customHeight="1">
      <c r="A595" s="24"/>
      <c r="B595" s="24"/>
      <c r="C595" s="49"/>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24"/>
      <c r="AY595" s="24"/>
      <c r="AZ595" s="24"/>
      <c r="BA595" s="24"/>
      <c r="BB595" s="24"/>
    </row>
    <row r="596" ht="12.75" customHeight="1">
      <c r="A596" s="24"/>
      <c r="B596" s="24"/>
      <c r="C596" s="49"/>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c r="AY596" s="24"/>
      <c r="AZ596" s="24"/>
      <c r="BA596" s="24"/>
      <c r="BB596" s="24"/>
    </row>
    <row r="597" ht="12.75" customHeight="1">
      <c r="A597" s="24"/>
      <c r="B597" s="24"/>
      <c r="C597" s="49"/>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24"/>
      <c r="AY597" s="24"/>
      <c r="AZ597" s="24"/>
      <c r="BA597" s="24"/>
      <c r="BB597" s="24"/>
    </row>
    <row r="598" ht="12.75" customHeight="1">
      <c r="A598" s="24"/>
      <c r="B598" s="24"/>
      <c r="C598" s="49"/>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c r="BB598" s="24"/>
    </row>
    <row r="599" ht="12.75" customHeight="1">
      <c r="A599" s="24"/>
      <c r="B599" s="24"/>
      <c r="C599" s="49"/>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c r="AS599" s="24"/>
      <c r="AT599" s="24"/>
      <c r="AU599" s="24"/>
      <c r="AV599" s="24"/>
      <c r="AW599" s="24"/>
      <c r="AX599" s="24"/>
      <c r="AY599" s="24"/>
      <c r="AZ599" s="24"/>
      <c r="BA599" s="24"/>
      <c r="BB599" s="24"/>
    </row>
    <row r="600" ht="12.75" customHeight="1">
      <c r="A600" s="24"/>
      <c r="B600" s="24"/>
      <c r="C600" s="49"/>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c r="AY600" s="24"/>
      <c r="AZ600" s="24"/>
      <c r="BA600" s="24"/>
      <c r="BB600" s="24"/>
    </row>
    <row r="601" ht="12.75" customHeight="1">
      <c r="A601" s="24"/>
      <c r="B601" s="24"/>
      <c r="C601" s="49"/>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24"/>
      <c r="AY601" s="24"/>
      <c r="AZ601" s="24"/>
      <c r="BA601" s="24"/>
      <c r="BB601" s="24"/>
    </row>
    <row r="602" ht="12.75" customHeight="1">
      <c r="A602" s="24"/>
      <c r="B602" s="24"/>
      <c r="C602" s="49"/>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row>
    <row r="603" ht="12.75" customHeight="1">
      <c r="A603" s="24"/>
      <c r="B603" s="24"/>
      <c r="C603" s="49"/>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row>
    <row r="604" ht="12.75" customHeight="1">
      <c r="A604" s="24"/>
      <c r="B604" s="24"/>
      <c r="C604" s="49"/>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row>
    <row r="605" ht="12.75" customHeight="1">
      <c r="A605" s="24"/>
      <c r="B605" s="24"/>
      <c r="C605" s="49"/>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row>
    <row r="606" ht="12.75" customHeight="1">
      <c r="A606" s="24"/>
      <c r="B606" s="24"/>
      <c r="C606" s="49"/>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row>
    <row r="607" ht="12.75" customHeight="1">
      <c r="A607" s="24"/>
      <c r="B607" s="24"/>
      <c r="C607" s="49"/>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row>
    <row r="608" ht="12.75" customHeight="1">
      <c r="A608" s="24"/>
      <c r="B608" s="24"/>
      <c r="C608" s="49"/>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row>
    <row r="609" ht="12.75" customHeight="1">
      <c r="A609" s="24"/>
      <c r="B609" s="24"/>
      <c r="C609" s="49"/>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row>
    <row r="610" ht="12.75" customHeight="1">
      <c r="A610" s="24"/>
      <c r="B610" s="24"/>
      <c r="C610" s="49"/>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row>
    <row r="611" ht="12.75" customHeight="1">
      <c r="A611" s="24"/>
      <c r="B611" s="24"/>
      <c r="C611" s="49"/>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row>
    <row r="612" ht="12.75" customHeight="1">
      <c r="A612" s="24"/>
      <c r="B612" s="24"/>
      <c r="C612" s="49"/>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row>
    <row r="613" ht="12.75" customHeight="1">
      <c r="A613" s="24"/>
      <c r="B613" s="24"/>
      <c r="C613" s="49"/>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row>
    <row r="614" ht="12.75" customHeight="1">
      <c r="A614" s="24"/>
      <c r="B614" s="24"/>
      <c r="C614" s="49"/>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row>
    <row r="615" ht="12.75" customHeight="1">
      <c r="A615" s="24"/>
      <c r="B615" s="24"/>
      <c r="C615" s="49"/>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row>
    <row r="616" ht="12.75" customHeight="1">
      <c r="A616" s="24"/>
      <c r="B616" s="24"/>
      <c r="C616" s="49"/>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row>
    <row r="617" ht="12.75" customHeight="1">
      <c r="A617" s="24"/>
      <c r="B617" s="24"/>
      <c r="C617" s="49"/>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row>
    <row r="618" ht="12.75" customHeight="1">
      <c r="A618" s="24"/>
      <c r="B618" s="24"/>
      <c r="C618" s="49"/>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row>
    <row r="619" ht="12.75" customHeight="1">
      <c r="A619" s="24"/>
      <c r="B619" s="24"/>
      <c r="C619" s="49"/>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row>
    <row r="620" ht="12.75" customHeight="1">
      <c r="A620" s="24"/>
      <c r="B620" s="24"/>
      <c r="C620" s="49"/>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row>
    <row r="621" ht="12.75" customHeight="1">
      <c r="A621" s="24"/>
      <c r="B621" s="24"/>
      <c r="C621" s="49"/>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row>
    <row r="622" ht="12.75" customHeight="1">
      <c r="A622" s="24"/>
      <c r="B622" s="24"/>
      <c r="C622" s="49"/>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row>
    <row r="623" ht="12.75" customHeight="1">
      <c r="A623" s="24"/>
      <c r="B623" s="24"/>
      <c r="C623" s="49"/>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row>
    <row r="624" ht="12.75" customHeight="1">
      <c r="A624" s="24"/>
      <c r="B624" s="24"/>
      <c r="C624" s="49"/>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row>
    <row r="625" ht="12.75" customHeight="1">
      <c r="A625" s="24"/>
      <c r="B625" s="24"/>
      <c r="C625" s="49"/>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row>
    <row r="626" ht="12.75" customHeight="1">
      <c r="A626" s="24"/>
      <c r="B626" s="24"/>
      <c r="C626" s="49"/>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row>
    <row r="627" ht="12.75" customHeight="1">
      <c r="A627" s="24"/>
      <c r="B627" s="24"/>
      <c r="C627" s="49"/>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row>
    <row r="628" ht="12.75" customHeight="1">
      <c r="A628" s="24"/>
      <c r="B628" s="24"/>
      <c r="C628" s="49"/>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row>
    <row r="629" ht="12.75" customHeight="1">
      <c r="A629" s="24"/>
      <c r="B629" s="24"/>
      <c r="C629" s="49"/>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row>
    <row r="630" ht="12.75" customHeight="1">
      <c r="A630" s="24"/>
      <c r="B630" s="24"/>
      <c r="C630" s="49"/>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row>
    <row r="631" ht="12.75" customHeight="1">
      <c r="A631" s="24"/>
      <c r="B631" s="24"/>
      <c r="C631" s="49"/>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row>
    <row r="632" ht="12.75" customHeight="1">
      <c r="A632" s="24"/>
      <c r="B632" s="24"/>
      <c r="C632" s="49"/>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row>
    <row r="633" ht="12.75" customHeight="1">
      <c r="A633" s="24"/>
      <c r="B633" s="24"/>
      <c r="C633" s="49"/>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row>
    <row r="634" ht="12.75" customHeight="1">
      <c r="A634" s="24"/>
      <c r="B634" s="24"/>
      <c r="C634" s="49"/>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row>
    <row r="635" ht="12.75" customHeight="1">
      <c r="A635" s="24"/>
      <c r="B635" s="24"/>
      <c r="C635" s="49"/>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row>
    <row r="636" ht="12.75" customHeight="1">
      <c r="A636" s="24"/>
      <c r="B636" s="24"/>
      <c r="C636" s="49"/>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row>
    <row r="637" ht="12.75" customHeight="1">
      <c r="A637" s="24"/>
      <c r="B637" s="24"/>
      <c r="C637" s="49"/>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row>
    <row r="638" ht="12.75" customHeight="1">
      <c r="A638" s="24"/>
      <c r="B638" s="24"/>
      <c r="C638" s="49"/>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row>
    <row r="639" ht="12.75" customHeight="1">
      <c r="A639" s="24"/>
      <c r="B639" s="24"/>
      <c r="C639" s="49"/>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row>
    <row r="640" ht="12.75" customHeight="1">
      <c r="A640" s="24"/>
      <c r="B640" s="24"/>
      <c r="C640" s="49"/>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row>
    <row r="641" ht="12.75" customHeight="1">
      <c r="A641" s="24"/>
      <c r="B641" s="24"/>
      <c r="C641" s="49"/>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row>
    <row r="642" ht="12.75" customHeight="1">
      <c r="A642" s="24"/>
      <c r="B642" s="24"/>
      <c r="C642" s="49"/>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row>
    <row r="643" ht="12.75" customHeight="1">
      <c r="A643" s="24"/>
      <c r="B643" s="24"/>
      <c r="C643" s="49"/>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row>
    <row r="644" ht="12.75" customHeight="1">
      <c r="A644" s="24"/>
      <c r="B644" s="24"/>
      <c r="C644" s="49"/>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row>
    <row r="645" ht="12.75" customHeight="1">
      <c r="A645" s="24"/>
      <c r="B645" s="24"/>
      <c r="C645" s="49"/>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row>
    <row r="646" ht="12.75" customHeight="1">
      <c r="A646" s="24"/>
      <c r="B646" s="24"/>
      <c r="C646" s="49"/>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row>
    <row r="647" ht="12.75" customHeight="1">
      <c r="A647" s="24"/>
      <c r="B647" s="24"/>
      <c r="C647" s="49"/>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row>
    <row r="648" ht="12.75" customHeight="1">
      <c r="A648" s="24"/>
      <c r="B648" s="24"/>
      <c r="C648" s="49"/>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row>
    <row r="649" ht="12.75" customHeight="1">
      <c r="A649" s="24"/>
      <c r="B649" s="24"/>
      <c r="C649" s="49"/>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row>
    <row r="650" ht="12.75" customHeight="1">
      <c r="A650" s="24"/>
      <c r="B650" s="24"/>
      <c r="C650" s="49"/>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row>
    <row r="651" ht="12.75" customHeight="1">
      <c r="A651" s="24"/>
      <c r="B651" s="24"/>
      <c r="C651" s="49"/>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row>
    <row r="652" ht="12.75" customHeight="1">
      <c r="A652" s="24"/>
      <c r="B652" s="24"/>
      <c r="C652" s="49"/>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row>
    <row r="653" ht="12.75" customHeight="1">
      <c r="A653" s="24"/>
      <c r="B653" s="24"/>
      <c r="C653" s="49"/>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row>
    <row r="654" ht="12.75" customHeight="1">
      <c r="A654" s="24"/>
      <c r="B654" s="24"/>
      <c r="C654" s="49"/>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row>
    <row r="655" ht="12.75" customHeight="1">
      <c r="A655" s="24"/>
      <c r="B655" s="24"/>
      <c r="C655" s="49"/>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row>
    <row r="656" ht="12.75" customHeight="1">
      <c r="A656" s="24"/>
      <c r="B656" s="24"/>
      <c r="C656" s="49"/>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row>
    <row r="657" ht="12.75" customHeight="1">
      <c r="A657" s="24"/>
      <c r="B657" s="24"/>
      <c r="C657" s="49"/>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row>
    <row r="658" ht="12.75" customHeight="1">
      <c r="A658" s="24"/>
      <c r="B658" s="24"/>
      <c r="C658" s="49"/>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row>
    <row r="659" ht="12.75" customHeight="1">
      <c r="A659" s="24"/>
      <c r="B659" s="24"/>
      <c r="C659" s="49"/>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row>
    <row r="660" ht="12.75" customHeight="1">
      <c r="A660" s="24"/>
      <c r="B660" s="24"/>
      <c r="C660" s="49"/>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row>
    <row r="661" ht="12.75" customHeight="1">
      <c r="A661" s="24"/>
      <c r="B661" s="24"/>
      <c r="C661" s="49"/>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row>
    <row r="662" ht="12.75" customHeight="1">
      <c r="A662" s="24"/>
      <c r="B662" s="24"/>
      <c r="C662" s="49"/>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row>
    <row r="663" ht="12.75" customHeight="1">
      <c r="A663" s="24"/>
      <c r="B663" s="24"/>
      <c r="C663" s="49"/>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row>
    <row r="664" ht="12.75" customHeight="1">
      <c r="A664" s="24"/>
      <c r="B664" s="24"/>
      <c r="C664" s="49"/>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row>
    <row r="665" ht="12.75" customHeight="1">
      <c r="A665" s="24"/>
      <c r="B665" s="24"/>
      <c r="C665" s="49"/>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row>
    <row r="666" ht="12.75" customHeight="1">
      <c r="A666" s="24"/>
      <c r="B666" s="24"/>
      <c r="C666" s="49"/>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row>
    <row r="667" ht="12.75" customHeight="1">
      <c r="A667" s="24"/>
      <c r="B667" s="24"/>
      <c r="C667" s="49"/>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row>
    <row r="668" ht="12.75" customHeight="1">
      <c r="A668" s="24"/>
      <c r="B668" s="24"/>
      <c r="C668" s="49"/>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row>
    <row r="669" ht="12.75" customHeight="1">
      <c r="A669" s="24"/>
      <c r="B669" s="24"/>
      <c r="C669" s="49"/>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row>
    <row r="670" ht="12.75" customHeight="1">
      <c r="A670" s="24"/>
      <c r="B670" s="24"/>
      <c r="C670" s="49"/>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row>
    <row r="671" ht="12.75" customHeight="1">
      <c r="A671" s="24"/>
      <c r="B671" s="24"/>
      <c r="C671" s="49"/>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row>
    <row r="672" ht="12.75" customHeight="1">
      <c r="A672" s="24"/>
      <c r="B672" s="24"/>
      <c r="C672" s="49"/>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row>
    <row r="673" ht="12.75" customHeight="1">
      <c r="A673" s="24"/>
      <c r="B673" s="24"/>
      <c r="C673" s="49"/>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row>
    <row r="674" ht="12.75" customHeight="1">
      <c r="A674" s="24"/>
      <c r="B674" s="24"/>
      <c r="C674" s="49"/>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row>
    <row r="675" ht="12.75" customHeight="1">
      <c r="A675" s="24"/>
      <c r="B675" s="24"/>
      <c r="C675" s="49"/>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row>
    <row r="676" ht="12.75" customHeight="1">
      <c r="A676" s="24"/>
      <c r="B676" s="24"/>
      <c r="C676" s="49"/>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row>
    <row r="677" ht="12.75" customHeight="1">
      <c r="A677" s="24"/>
      <c r="B677" s="24"/>
      <c r="C677" s="49"/>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row>
    <row r="678" ht="12.75" customHeight="1">
      <c r="A678" s="24"/>
      <c r="B678" s="24"/>
      <c r="C678" s="49"/>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row>
    <row r="679" ht="12.75" customHeight="1">
      <c r="A679" s="24"/>
      <c r="B679" s="24"/>
      <c r="C679" s="49"/>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row>
    <row r="680" ht="12.75" customHeight="1">
      <c r="A680" s="24"/>
      <c r="B680" s="24"/>
      <c r="C680" s="49"/>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row>
    <row r="681" ht="12.75" customHeight="1">
      <c r="A681" s="24"/>
      <c r="B681" s="24"/>
      <c r="C681" s="49"/>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row>
    <row r="682" ht="12.75" customHeight="1">
      <c r="A682" s="24"/>
      <c r="B682" s="24"/>
      <c r="C682" s="49"/>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row>
    <row r="683" ht="12.75" customHeight="1">
      <c r="A683" s="24"/>
      <c r="B683" s="24"/>
      <c r="C683" s="49"/>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row>
    <row r="684" ht="12.75" customHeight="1">
      <c r="A684" s="24"/>
      <c r="B684" s="24"/>
      <c r="C684" s="49"/>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row>
    <row r="685" ht="12.75" customHeight="1">
      <c r="A685" s="24"/>
      <c r="B685" s="24"/>
      <c r="C685" s="49"/>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row>
    <row r="686" ht="12.75" customHeight="1">
      <c r="A686" s="24"/>
      <c r="B686" s="24"/>
      <c r="C686" s="49"/>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row>
    <row r="687" ht="12.75" customHeight="1">
      <c r="A687" s="24"/>
      <c r="B687" s="24"/>
      <c r="C687" s="49"/>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row>
    <row r="688" ht="12.75" customHeight="1">
      <c r="A688" s="24"/>
      <c r="B688" s="24"/>
      <c r="C688" s="49"/>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row>
    <row r="689" ht="12.75" customHeight="1">
      <c r="A689" s="24"/>
      <c r="B689" s="24"/>
      <c r="C689" s="49"/>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row>
    <row r="690" ht="12.75" customHeight="1">
      <c r="A690" s="24"/>
      <c r="B690" s="24"/>
      <c r="C690" s="49"/>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row>
    <row r="691" ht="12.75" customHeight="1">
      <c r="A691" s="24"/>
      <c r="B691" s="24"/>
      <c r="C691" s="49"/>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row>
    <row r="692" ht="12.75" customHeight="1">
      <c r="A692" s="24"/>
      <c r="B692" s="24"/>
      <c r="C692" s="49"/>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row>
    <row r="693" ht="12.75" customHeight="1">
      <c r="A693" s="24"/>
      <c r="B693" s="24"/>
      <c r="C693" s="49"/>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row>
    <row r="694" ht="12.75" customHeight="1">
      <c r="A694" s="24"/>
      <c r="B694" s="24"/>
      <c r="C694" s="49"/>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row>
    <row r="695" ht="12.75" customHeight="1">
      <c r="A695" s="24"/>
      <c r="B695" s="24"/>
      <c r="C695" s="49"/>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row>
    <row r="696" ht="12.75" customHeight="1">
      <c r="A696" s="24"/>
      <c r="B696" s="24"/>
      <c r="C696" s="49"/>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row>
    <row r="697" ht="12.75" customHeight="1">
      <c r="A697" s="24"/>
      <c r="B697" s="24"/>
      <c r="C697" s="49"/>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row>
    <row r="698" ht="12.75" customHeight="1">
      <c r="A698" s="24"/>
      <c r="B698" s="24"/>
      <c r="C698" s="49"/>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row>
    <row r="699" ht="12.75" customHeight="1">
      <c r="A699" s="24"/>
      <c r="B699" s="24"/>
      <c r="C699" s="49"/>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row>
    <row r="700" ht="12.75" customHeight="1">
      <c r="A700" s="24"/>
      <c r="B700" s="24"/>
      <c r="C700" s="49"/>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row>
    <row r="701" ht="12.75" customHeight="1">
      <c r="A701" s="24"/>
      <c r="B701" s="24"/>
      <c r="C701" s="49"/>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row>
    <row r="702" ht="12.75" customHeight="1">
      <c r="A702" s="24"/>
      <c r="B702" s="24"/>
      <c r="C702" s="49"/>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row>
    <row r="703" ht="12.75" customHeight="1">
      <c r="A703" s="24"/>
      <c r="B703" s="24"/>
      <c r="C703" s="49"/>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row>
    <row r="704" ht="12.75" customHeight="1">
      <c r="A704" s="24"/>
      <c r="B704" s="24"/>
      <c r="C704" s="49"/>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row>
    <row r="705" ht="12.75" customHeight="1">
      <c r="A705" s="24"/>
      <c r="B705" s="24"/>
      <c r="C705" s="49"/>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row>
    <row r="706" ht="12.75" customHeight="1">
      <c r="A706" s="24"/>
      <c r="B706" s="24"/>
      <c r="C706" s="49"/>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row>
    <row r="707" ht="12.75" customHeight="1">
      <c r="A707" s="24"/>
      <c r="B707" s="24"/>
      <c r="C707" s="49"/>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row>
    <row r="708" ht="12.75" customHeight="1">
      <c r="A708" s="24"/>
      <c r="B708" s="24"/>
      <c r="C708" s="49"/>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row>
    <row r="709" ht="12.75" customHeight="1">
      <c r="A709" s="24"/>
      <c r="B709" s="24"/>
      <c r="C709" s="49"/>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row>
    <row r="710" ht="12.75" customHeight="1">
      <c r="A710" s="24"/>
      <c r="B710" s="24"/>
      <c r="C710" s="49"/>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row>
    <row r="711" ht="12.75" customHeight="1">
      <c r="A711" s="24"/>
      <c r="B711" s="24"/>
      <c r="C711" s="49"/>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row>
    <row r="712" ht="12.75" customHeight="1">
      <c r="A712" s="24"/>
      <c r="B712" s="24"/>
      <c r="C712" s="49"/>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row>
    <row r="713" ht="12.75" customHeight="1">
      <c r="A713" s="24"/>
      <c r="B713" s="24"/>
      <c r="C713" s="49"/>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row>
    <row r="714" ht="12.75" customHeight="1">
      <c r="A714" s="24"/>
      <c r="B714" s="24"/>
      <c r="C714" s="49"/>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row>
    <row r="715" ht="12.75" customHeight="1">
      <c r="A715" s="24"/>
      <c r="B715" s="24"/>
      <c r="C715" s="49"/>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row>
    <row r="716" ht="12.75" customHeight="1">
      <c r="A716" s="24"/>
      <c r="B716" s="24"/>
      <c r="C716" s="49"/>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row>
    <row r="717" ht="12.75" customHeight="1">
      <c r="A717" s="24"/>
      <c r="B717" s="24"/>
      <c r="C717" s="49"/>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row>
    <row r="718" ht="12.75" customHeight="1">
      <c r="A718" s="24"/>
      <c r="B718" s="24"/>
      <c r="C718" s="49"/>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row>
    <row r="719" ht="12.75" customHeight="1">
      <c r="A719" s="24"/>
      <c r="B719" s="24"/>
      <c r="C719" s="49"/>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row>
    <row r="720" ht="12.75" customHeight="1">
      <c r="A720" s="24"/>
      <c r="B720" s="24"/>
      <c r="C720" s="49"/>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row>
    <row r="721" ht="12.75" customHeight="1">
      <c r="A721" s="24"/>
      <c r="B721" s="24"/>
      <c r="C721" s="49"/>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row>
    <row r="722" ht="12.75" customHeight="1">
      <c r="A722" s="24"/>
      <c r="B722" s="24"/>
      <c r="C722" s="49"/>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row>
    <row r="723" ht="12.75" customHeight="1">
      <c r="A723" s="24"/>
      <c r="B723" s="24"/>
      <c r="C723" s="49"/>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row>
    <row r="724" ht="12.75" customHeight="1">
      <c r="A724" s="24"/>
      <c r="B724" s="24"/>
      <c r="C724" s="49"/>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row>
    <row r="725" ht="12.75" customHeight="1">
      <c r="A725" s="24"/>
      <c r="B725" s="24"/>
      <c r="C725" s="49"/>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row>
    <row r="726" ht="12.75" customHeight="1">
      <c r="A726" s="24"/>
      <c r="B726" s="24"/>
      <c r="C726" s="49"/>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row>
    <row r="727" ht="12.75" customHeight="1">
      <c r="A727" s="24"/>
      <c r="B727" s="24"/>
      <c r="C727" s="49"/>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row>
    <row r="728" ht="12.75" customHeight="1">
      <c r="A728" s="24"/>
      <c r="B728" s="24"/>
      <c r="C728" s="49"/>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row>
    <row r="729" ht="12.75" customHeight="1">
      <c r="A729" s="24"/>
      <c r="B729" s="24"/>
      <c r="C729" s="49"/>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row>
    <row r="730" ht="12.75" customHeight="1">
      <c r="A730" s="24"/>
      <c r="B730" s="24"/>
      <c r="C730" s="49"/>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row>
    <row r="731" ht="12.75" customHeight="1">
      <c r="A731" s="24"/>
      <c r="B731" s="24"/>
      <c r="C731" s="49"/>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row>
    <row r="732" ht="12.75" customHeight="1">
      <c r="A732" s="24"/>
      <c r="B732" s="24"/>
      <c r="C732" s="49"/>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row>
    <row r="733" ht="12.75" customHeight="1">
      <c r="A733" s="24"/>
      <c r="B733" s="24"/>
      <c r="C733" s="49"/>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row>
    <row r="734" ht="12.75" customHeight="1">
      <c r="A734" s="24"/>
      <c r="B734" s="24"/>
      <c r="C734" s="49"/>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row>
    <row r="735" ht="12.75" customHeight="1">
      <c r="A735" s="24"/>
      <c r="B735" s="24"/>
      <c r="C735" s="49"/>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row>
    <row r="736" ht="12.75" customHeight="1">
      <c r="A736" s="24"/>
      <c r="B736" s="24"/>
      <c r="C736" s="49"/>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row>
    <row r="737" ht="12.75" customHeight="1">
      <c r="A737" s="24"/>
      <c r="B737" s="24"/>
      <c r="C737" s="49"/>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row>
    <row r="738" ht="12.75" customHeight="1">
      <c r="A738" s="24"/>
      <c r="B738" s="24"/>
      <c r="C738" s="49"/>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row>
    <row r="739" ht="12.75" customHeight="1">
      <c r="A739" s="24"/>
      <c r="B739" s="24"/>
      <c r="C739" s="49"/>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row>
    <row r="740" ht="12.75" customHeight="1">
      <c r="A740" s="24"/>
      <c r="B740" s="24"/>
      <c r="C740" s="49"/>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row>
    <row r="741" ht="12.75" customHeight="1">
      <c r="A741" s="24"/>
      <c r="B741" s="24"/>
      <c r="C741" s="49"/>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row>
    <row r="742" ht="12.75" customHeight="1">
      <c r="A742" s="24"/>
      <c r="B742" s="24"/>
      <c r="C742" s="49"/>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row>
    <row r="743" ht="12.75" customHeight="1">
      <c r="A743" s="24"/>
      <c r="B743" s="24"/>
      <c r="C743" s="49"/>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row>
    <row r="744" ht="12.75" customHeight="1">
      <c r="A744" s="24"/>
      <c r="B744" s="24"/>
      <c r="C744" s="49"/>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row>
    <row r="745" ht="12.75" customHeight="1">
      <c r="A745" s="24"/>
      <c r="B745" s="24"/>
      <c r="C745" s="49"/>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row>
    <row r="746" ht="12.75" customHeight="1">
      <c r="A746" s="24"/>
      <c r="B746" s="24"/>
      <c r="C746" s="49"/>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row>
    <row r="747" ht="12.75" customHeight="1">
      <c r="A747" s="24"/>
      <c r="B747" s="24"/>
      <c r="C747" s="49"/>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row>
    <row r="748" ht="12.75" customHeight="1">
      <c r="A748" s="24"/>
      <c r="B748" s="24"/>
      <c r="C748" s="49"/>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row>
    <row r="749" ht="12.75" customHeight="1">
      <c r="A749" s="24"/>
      <c r="B749" s="24"/>
      <c r="C749" s="49"/>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row>
    <row r="750" ht="12.75" customHeight="1">
      <c r="A750" s="24"/>
      <c r="B750" s="24"/>
      <c r="C750" s="49"/>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row>
    <row r="751" ht="12.75" customHeight="1">
      <c r="A751" s="24"/>
      <c r="B751" s="24"/>
      <c r="C751" s="49"/>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row>
    <row r="752" ht="12.75" customHeight="1">
      <c r="A752" s="24"/>
      <c r="B752" s="24"/>
      <c r="C752" s="49"/>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row>
    <row r="753" ht="12.75" customHeight="1">
      <c r="A753" s="24"/>
      <c r="B753" s="24"/>
      <c r="C753" s="49"/>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row>
    <row r="754" ht="12.75" customHeight="1">
      <c r="A754" s="24"/>
      <c r="B754" s="24"/>
      <c r="C754" s="49"/>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row>
    <row r="755" ht="12.75" customHeight="1">
      <c r="A755" s="24"/>
      <c r="B755" s="24"/>
      <c r="C755" s="49"/>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row>
    <row r="756" ht="12.75" customHeight="1">
      <c r="A756" s="24"/>
      <c r="B756" s="24"/>
      <c r="C756" s="49"/>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row>
    <row r="757" ht="12.75" customHeight="1">
      <c r="A757" s="24"/>
      <c r="B757" s="24"/>
      <c r="C757" s="49"/>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row>
    <row r="758" ht="12.75" customHeight="1">
      <c r="A758" s="24"/>
      <c r="B758" s="24"/>
      <c r="C758" s="49"/>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row>
    <row r="759" ht="12.75" customHeight="1">
      <c r="A759" s="24"/>
      <c r="B759" s="24"/>
      <c r="C759" s="49"/>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row>
    <row r="760" ht="12.75" customHeight="1">
      <c r="A760" s="24"/>
      <c r="B760" s="24"/>
      <c r="C760" s="49"/>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row>
    <row r="761" ht="12.75" customHeight="1">
      <c r="A761" s="24"/>
      <c r="B761" s="24"/>
      <c r="C761" s="49"/>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row>
    <row r="762" ht="12.75" customHeight="1">
      <c r="A762" s="24"/>
      <c r="B762" s="24"/>
      <c r="C762" s="49"/>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row>
    <row r="763" ht="12.75" customHeight="1">
      <c r="A763" s="24"/>
      <c r="B763" s="24"/>
      <c r="C763" s="49"/>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row>
    <row r="764" ht="12.75" customHeight="1">
      <c r="A764" s="24"/>
      <c r="B764" s="24"/>
      <c r="C764" s="49"/>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row>
    <row r="765" ht="12.75" customHeight="1">
      <c r="A765" s="24"/>
      <c r="B765" s="24"/>
      <c r="C765" s="49"/>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row>
    <row r="766" ht="12.75" customHeight="1">
      <c r="A766" s="24"/>
      <c r="B766" s="24"/>
      <c r="C766" s="49"/>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row>
    <row r="767" ht="12.75" customHeight="1">
      <c r="A767" s="24"/>
      <c r="B767" s="24"/>
      <c r="C767" s="49"/>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row>
    <row r="768" ht="12.75" customHeight="1">
      <c r="A768" s="24"/>
      <c r="B768" s="24"/>
      <c r="C768" s="49"/>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row>
    <row r="769" ht="12.75" customHeight="1">
      <c r="A769" s="24"/>
      <c r="B769" s="24"/>
      <c r="C769" s="49"/>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row>
    <row r="770" ht="12.75" customHeight="1">
      <c r="A770" s="24"/>
      <c r="B770" s="24"/>
      <c r="C770" s="49"/>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row>
    <row r="771" ht="12.75" customHeight="1">
      <c r="A771" s="24"/>
      <c r="B771" s="24"/>
      <c r="C771" s="49"/>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row>
    <row r="772" ht="12.75" customHeight="1">
      <c r="A772" s="24"/>
      <c r="B772" s="24"/>
      <c r="C772" s="49"/>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row>
    <row r="773" ht="12.75" customHeight="1">
      <c r="A773" s="24"/>
      <c r="B773" s="24"/>
      <c r="C773" s="49"/>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row>
    <row r="774" ht="12.75" customHeight="1">
      <c r="A774" s="24"/>
      <c r="B774" s="24"/>
      <c r="C774" s="49"/>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row>
    <row r="775" ht="12.75" customHeight="1">
      <c r="A775" s="24"/>
      <c r="B775" s="24"/>
      <c r="C775" s="49"/>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row>
    <row r="776" ht="12.75" customHeight="1">
      <c r="A776" s="24"/>
      <c r="B776" s="24"/>
      <c r="C776" s="49"/>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row>
    <row r="777" ht="12.75" customHeight="1">
      <c r="A777" s="24"/>
      <c r="B777" s="24"/>
      <c r="C777" s="49"/>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row>
    <row r="778" ht="12.75" customHeight="1">
      <c r="A778" s="24"/>
      <c r="B778" s="24"/>
      <c r="C778" s="49"/>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row>
    <row r="779" ht="12.75" customHeight="1">
      <c r="A779" s="24"/>
      <c r="B779" s="24"/>
      <c r="C779" s="49"/>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row>
    <row r="780" ht="12.75" customHeight="1">
      <c r="A780" s="24"/>
      <c r="B780" s="24"/>
      <c r="C780" s="49"/>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row>
    <row r="781" ht="12.75" customHeight="1">
      <c r="A781" s="24"/>
      <c r="B781" s="24"/>
      <c r="C781" s="49"/>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row>
    <row r="782" ht="12.75" customHeight="1">
      <c r="A782" s="24"/>
      <c r="B782" s="24"/>
      <c r="C782" s="49"/>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row>
    <row r="783" ht="12.75" customHeight="1">
      <c r="A783" s="24"/>
      <c r="B783" s="24"/>
      <c r="C783" s="49"/>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row>
    <row r="784" ht="12.75" customHeight="1">
      <c r="A784" s="24"/>
      <c r="B784" s="24"/>
      <c r="C784" s="49"/>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row>
    <row r="785" ht="12.75" customHeight="1">
      <c r="A785" s="24"/>
      <c r="B785" s="24"/>
      <c r="C785" s="49"/>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row>
    <row r="786" ht="12.75" customHeight="1">
      <c r="A786" s="24"/>
      <c r="B786" s="24"/>
      <c r="C786" s="49"/>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row>
    <row r="787" ht="12.75" customHeight="1">
      <c r="A787" s="24"/>
      <c r="B787" s="24"/>
      <c r="C787" s="49"/>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row>
    <row r="788" ht="12.75" customHeight="1">
      <c r="A788" s="24"/>
      <c r="B788" s="24"/>
      <c r="C788" s="49"/>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row>
    <row r="789" ht="12.75" customHeight="1">
      <c r="A789" s="24"/>
      <c r="B789" s="24"/>
      <c r="C789" s="49"/>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row>
    <row r="790" ht="12.75" customHeight="1">
      <c r="A790" s="24"/>
      <c r="B790" s="24"/>
      <c r="C790" s="49"/>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row>
    <row r="791" ht="12.75" customHeight="1">
      <c r="A791" s="24"/>
      <c r="B791" s="24"/>
      <c r="C791" s="49"/>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row>
    <row r="792" ht="12.75" customHeight="1">
      <c r="A792" s="24"/>
      <c r="B792" s="24"/>
      <c r="C792" s="49"/>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row>
    <row r="793" ht="12.75" customHeight="1">
      <c r="A793" s="24"/>
      <c r="B793" s="24"/>
      <c r="C793" s="49"/>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row>
    <row r="794" ht="12.75" customHeight="1">
      <c r="A794" s="24"/>
      <c r="B794" s="24"/>
      <c r="C794" s="49"/>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row>
    <row r="795" ht="12.75" customHeight="1">
      <c r="A795" s="24"/>
      <c r="B795" s="24"/>
      <c r="C795" s="49"/>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row>
    <row r="796" ht="12.75" customHeight="1">
      <c r="A796" s="24"/>
      <c r="B796" s="24"/>
      <c r="C796" s="49"/>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row>
    <row r="797" ht="12.75" customHeight="1">
      <c r="A797" s="24"/>
      <c r="B797" s="24"/>
      <c r="C797" s="49"/>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row>
    <row r="798" ht="12.75" customHeight="1">
      <c r="A798" s="24"/>
      <c r="B798" s="24"/>
      <c r="C798" s="49"/>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row>
    <row r="799" ht="12.75" customHeight="1">
      <c r="A799" s="24"/>
      <c r="B799" s="24"/>
      <c r="C799" s="49"/>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row>
    <row r="800" ht="12.75" customHeight="1">
      <c r="A800" s="24"/>
      <c r="B800" s="24"/>
      <c r="C800" s="49"/>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row>
    <row r="801" ht="12.75" customHeight="1">
      <c r="A801" s="24"/>
      <c r="B801" s="24"/>
      <c r="C801" s="49"/>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row>
    <row r="802" ht="12.75" customHeight="1">
      <c r="A802" s="24"/>
      <c r="B802" s="24"/>
      <c r="C802" s="49"/>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row>
    <row r="803" ht="12.75" customHeight="1">
      <c r="A803" s="24"/>
      <c r="B803" s="24"/>
      <c r="C803" s="49"/>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row>
    <row r="804" ht="12.75" customHeight="1">
      <c r="A804" s="24"/>
      <c r="B804" s="24"/>
      <c r="C804" s="49"/>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row>
    <row r="805" ht="12.75" customHeight="1">
      <c r="A805" s="24"/>
      <c r="B805" s="24"/>
      <c r="C805" s="49"/>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row>
    <row r="806" ht="12.75" customHeight="1">
      <c r="A806" s="24"/>
      <c r="B806" s="24"/>
      <c r="C806" s="49"/>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row>
    <row r="807" ht="12.75" customHeight="1">
      <c r="A807" s="24"/>
      <c r="B807" s="24"/>
      <c r="C807" s="49"/>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row>
    <row r="808" ht="12.75" customHeight="1">
      <c r="A808" s="24"/>
      <c r="B808" s="24"/>
      <c r="C808" s="49"/>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row>
    <row r="809" ht="12.75" customHeight="1">
      <c r="A809" s="24"/>
      <c r="B809" s="24"/>
      <c r="C809" s="49"/>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row>
    <row r="810" ht="12.75" customHeight="1">
      <c r="A810" s="24"/>
      <c r="B810" s="24"/>
      <c r="C810" s="49"/>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row>
    <row r="811" ht="12.75" customHeight="1">
      <c r="A811" s="24"/>
      <c r="B811" s="24"/>
      <c r="C811" s="49"/>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row>
    <row r="812" ht="12.75" customHeight="1">
      <c r="A812" s="24"/>
      <c r="B812" s="24"/>
      <c r="C812" s="49"/>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row>
    <row r="813" ht="12.75" customHeight="1">
      <c r="A813" s="24"/>
      <c r="B813" s="24"/>
      <c r="C813" s="49"/>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row>
    <row r="814" ht="12.75" customHeight="1">
      <c r="A814" s="24"/>
      <c r="B814" s="24"/>
      <c r="C814" s="49"/>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row>
    <row r="815" ht="12.75" customHeight="1">
      <c r="A815" s="24"/>
      <c r="B815" s="24"/>
      <c r="C815" s="49"/>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row>
    <row r="816" ht="12.75" customHeight="1">
      <c r="A816" s="24"/>
      <c r="B816" s="24"/>
      <c r="C816" s="49"/>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row>
    <row r="817" ht="12.75" customHeight="1">
      <c r="A817" s="24"/>
      <c r="B817" s="24"/>
      <c r="C817" s="49"/>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row>
    <row r="818" ht="12.75" customHeight="1">
      <c r="A818" s="24"/>
      <c r="B818" s="24"/>
      <c r="C818" s="49"/>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row>
    <row r="819" ht="12.75" customHeight="1">
      <c r="A819" s="24"/>
      <c r="B819" s="24"/>
      <c r="C819" s="49"/>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row>
    <row r="820" ht="12.75" customHeight="1">
      <c r="A820" s="24"/>
      <c r="B820" s="24"/>
      <c r="C820" s="49"/>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row>
    <row r="821" ht="12.75" customHeight="1">
      <c r="A821" s="24"/>
      <c r="B821" s="24"/>
      <c r="C821" s="49"/>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row>
    <row r="822" ht="12.75" customHeight="1">
      <c r="A822" s="24"/>
      <c r="B822" s="24"/>
      <c r="C822" s="49"/>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row>
    <row r="823" ht="12.75" customHeight="1">
      <c r="A823" s="24"/>
      <c r="B823" s="24"/>
      <c r="C823" s="49"/>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row>
    <row r="824" ht="12.75" customHeight="1">
      <c r="A824" s="24"/>
      <c r="B824" s="24"/>
      <c r="C824" s="49"/>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row>
    <row r="825" ht="12.75" customHeight="1">
      <c r="A825" s="24"/>
      <c r="B825" s="24"/>
      <c r="C825" s="49"/>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row>
    <row r="826" ht="12.75" customHeight="1">
      <c r="A826" s="24"/>
      <c r="B826" s="24"/>
      <c r="C826" s="49"/>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row>
    <row r="827" ht="12.75" customHeight="1">
      <c r="A827" s="24"/>
      <c r="B827" s="24"/>
      <c r="C827" s="49"/>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row>
    <row r="828" ht="12.75" customHeight="1">
      <c r="A828" s="24"/>
      <c r="B828" s="24"/>
      <c r="C828" s="49"/>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row>
    <row r="829" ht="12.75" customHeight="1">
      <c r="A829" s="24"/>
      <c r="B829" s="24"/>
      <c r="C829" s="49"/>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row>
    <row r="830" ht="12.75" customHeight="1">
      <c r="A830" s="24"/>
      <c r="B830" s="24"/>
      <c r="C830" s="49"/>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row>
    <row r="831" ht="12.75" customHeight="1">
      <c r="A831" s="24"/>
      <c r="B831" s="24"/>
      <c r="C831" s="49"/>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row>
    <row r="832" ht="12.75" customHeight="1">
      <c r="A832" s="24"/>
      <c r="B832" s="24"/>
      <c r="C832" s="49"/>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row>
    <row r="833" ht="12.75" customHeight="1">
      <c r="A833" s="24"/>
      <c r="B833" s="24"/>
      <c r="C833" s="49"/>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row>
    <row r="834" ht="12.75" customHeight="1">
      <c r="A834" s="24"/>
      <c r="B834" s="24"/>
      <c r="C834" s="49"/>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row>
    <row r="835" ht="12.75" customHeight="1">
      <c r="A835" s="24"/>
      <c r="B835" s="24"/>
      <c r="C835" s="49"/>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row>
    <row r="836" ht="12.75" customHeight="1">
      <c r="A836" s="24"/>
      <c r="B836" s="24"/>
      <c r="C836" s="49"/>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row>
    <row r="837" ht="12.75" customHeight="1">
      <c r="A837" s="24"/>
      <c r="B837" s="24"/>
      <c r="C837" s="49"/>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row>
    <row r="838" ht="12.75" customHeight="1">
      <c r="A838" s="24"/>
      <c r="B838" s="24"/>
      <c r="C838" s="49"/>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row>
    <row r="839" ht="12.75" customHeight="1">
      <c r="A839" s="24"/>
      <c r="B839" s="24"/>
      <c r="C839" s="49"/>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row>
    <row r="840" ht="12.75" customHeight="1">
      <c r="A840" s="24"/>
      <c r="B840" s="24"/>
      <c r="C840" s="49"/>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row>
    <row r="841" ht="12.75" customHeight="1">
      <c r="A841" s="24"/>
      <c r="B841" s="24"/>
      <c r="C841" s="49"/>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row>
    <row r="842" ht="12.75" customHeight="1">
      <c r="A842" s="24"/>
      <c r="B842" s="24"/>
      <c r="C842" s="49"/>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row>
    <row r="843" ht="12.75" customHeight="1">
      <c r="A843" s="24"/>
      <c r="B843" s="24"/>
      <c r="C843" s="49"/>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row>
    <row r="844" ht="12.75" customHeight="1">
      <c r="A844" s="24"/>
      <c r="B844" s="24"/>
      <c r="C844" s="49"/>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row>
    <row r="845" ht="12.75" customHeight="1">
      <c r="A845" s="24"/>
      <c r="B845" s="24"/>
      <c r="C845" s="49"/>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row>
    <row r="846" ht="12.75" customHeight="1">
      <c r="A846" s="24"/>
      <c r="B846" s="24"/>
      <c r="C846" s="49"/>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row>
    <row r="847" ht="12.75" customHeight="1">
      <c r="A847" s="24"/>
      <c r="B847" s="24"/>
      <c r="C847" s="49"/>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row>
    <row r="848" ht="12.75" customHeight="1">
      <c r="A848" s="24"/>
      <c r="B848" s="24"/>
      <c r="C848" s="49"/>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row>
    <row r="849" ht="12.75" customHeight="1">
      <c r="A849" s="24"/>
      <c r="B849" s="24"/>
      <c r="C849" s="49"/>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row>
    <row r="850" ht="12.75" customHeight="1">
      <c r="A850" s="24"/>
      <c r="B850" s="24"/>
      <c r="C850" s="49"/>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row>
    <row r="851" ht="12.75" customHeight="1">
      <c r="A851" s="24"/>
      <c r="B851" s="24"/>
      <c r="C851" s="49"/>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row>
    <row r="852" ht="12.75" customHeight="1">
      <c r="A852" s="24"/>
      <c r="B852" s="24"/>
      <c r="C852" s="49"/>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row>
    <row r="853" ht="12.75" customHeight="1">
      <c r="A853" s="24"/>
      <c r="B853" s="24"/>
      <c r="C853" s="49"/>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row>
    <row r="854" ht="12.75" customHeight="1">
      <c r="A854" s="24"/>
      <c r="B854" s="24"/>
      <c r="C854" s="49"/>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row>
    <row r="855" ht="12.75" customHeight="1">
      <c r="A855" s="24"/>
      <c r="B855" s="24"/>
      <c r="C855" s="49"/>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row>
    <row r="856" ht="12.75" customHeight="1">
      <c r="A856" s="24"/>
      <c r="B856" s="24"/>
      <c r="C856" s="49"/>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row>
    <row r="857" ht="12.75" customHeight="1">
      <c r="A857" s="24"/>
      <c r="B857" s="24"/>
      <c r="C857" s="49"/>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row>
    <row r="858" ht="12.75" customHeight="1">
      <c r="A858" s="24"/>
      <c r="B858" s="24"/>
      <c r="C858" s="49"/>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row>
    <row r="859" ht="12.75" customHeight="1">
      <c r="A859" s="24"/>
      <c r="B859" s="24"/>
      <c r="C859" s="49"/>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row>
    <row r="860" ht="12.75" customHeight="1">
      <c r="A860" s="24"/>
      <c r="B860" s="24"/>
      <c r="C860" s="49"/>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row>
    <row r="861" ht="12.75" customHeight="1">
      <c r="A861" s="24"/>
      <c r="B861" s="24"/>
      <c r="C861" s="49"/>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row>
    <row r="862" ht="12.75" customHeight="1">
      <c r="A862" s="24"/>
      <c r="B862" s="24"/>
      <c r="C862" s="49"/>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row>
    <row r="863" ht="12.75" customHeight="1">
      <c r="A863" s="24"/>
      <c r="B863" s="24"/>
      <c r="C863" s="49"/>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row>
    <row r="864" ht="12.75" customHeight="1">
      <c r="A864" s="24"/>
      <c r="B864" s="24"/>
      <c r="C864" s="49"/>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row>
    <row r="865" ht="12.75" customHeight="1">
      <c r="A865" s="24"/>
      <c r="B865" s="24"/>
      <c r="C865" s="49"/>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row>
    <row r="866" ht="12.75" customHeight="1">
      <c r="A866" s="24"/>
      <c r="B866" s="24"/>
      <c r="C866" s="49"/>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row>
    <row r="867" ht="12.75" customHeight="1">
      <c r="A867" s="24"/>
      <c r="B867" s="24"/>
      <c r="C867" s="49"/>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row>
    <row r="868" ht="12.75" customHeight="1">
      <c r="A868" s="24"/>
      <c r="B868" s="24"/>
      <c r="C868" s="49"/>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row>
    <row r="869" ht="12.75" customHeight="1">
      <c r="A869" s="24"/>
      <c r="B869" s="24"/>
      <c r="C869" s="49"/>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row>
    <row r="870" ht="12.75" customHeight="1">
      <c r="A870" s="24"/>
      <c r="B870" s="24"/>
      <c r="C870" s="49"/>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row>
    <row r="871" ht="12.75" customHeight="1">
      <c r="A871" s="24"/>
      <c r="B871" s="24"/>
      <c r="C871" s="49"/>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row>
    <row r="872" ht="12.75" customHeight="1">
      <c r="A872" s="24"/>
      <c r="B872" s="24"/>
      <c r="C872" s="49"/>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row>
    <row r="873" ht="12.75" customHeight="1">
      <c r="A873" s="24"/>
      <c r="B873" s="24"/>
      <c r="C873" s="49"/>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row>
    <row r="874" ht="12.75" customHeight="1">
      <c r="A874" s="24"/>
      <c r="B874" s="24"/>
      <c r="C874" s="49"/>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row>
    <row r="875" ht="12.75" customHeight="1">
      <c r="A875" s="24"/>
      <c r="B875" s="24"/>
      <c r="C875" s="49"/>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row>
    <row r="876" ht="12.75" customHeight="1">
      <c r="A876" s="24"/>
      <c r="B876" s="24"/>
      <c r="C876" s="49"/>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row>
    <row r="877" ht="12.75" customHeight="1">
      <c r="A877" s="24"/>
      <c r="B877" s="24"/>
      <c r="C877" s="49"/>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row>
    <row r="878" ht="12.75" customHeight="1">
      <c r="A878" s="24"/>
      <c r="B878" s="24"/>
      <c r="C878" s="49"/>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row>
    <row r="879" ht="12.75" customHeight="1">
      <c r="A879" s="24"/>
      <c r="B879" s="24"/>
      <c r="C879" s="49"/>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row>
    <row r="880" ht="12.75" customHeight="1">
      <c r="A880" s="24"/>
      <c r="B880" s="24"/>
      <c r="C880" s="49"/>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row>
    <row r="881" ht="12.75" customHeight="1">
      <c r="A881" s="24"/>
      <c r="B881" s="24"/>
      <c r="C881" s="49"/>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row>
    <row r="882" ht="12.75" customHeight="1">
      <c r="A882" s="24"/>
      <c r="B882" s="24"/>
      <c r="C882" s="49"/>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row>
    <row r="883" ht="12.75" customHeight="1">
      <c r="A883" s="24"/>
      <c r="B883" s="24"/>
      <c r="C883" s="49"/>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row>
    <row r="884" ht="12.75" customHeight="1">
      <c r="A884" s="24"/>
      <c r="B884" s="24"/>
      <c r="C884" s="49"/>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row>
    <row r="885" ht="12.75" customHeight="1">
      <c r="A885" s="24"/>
      <c r="B885" s="24"/>
      <c r="C885" s="49"/>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row>
    <row r="886" ht="12.75" customHeight="1">
      <c r="A886" s="24"/>
      <c r="B886" s="24"/>
      <c r="C886" s="49"/>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row>
    <row r="887" ht="12.75" customHeight="1">
      <c r="A887" s="24"/>
      <c r="B887" s="24"/>
      <c r="C887" s="49"/>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row>
    <row r="888" ht="12.75" customHeight="1">
      <c r="A888" s="24"/>
      <c r="B888" s="24"/>
      <c r="C888" s="49"/>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row>
    <row r="889" ht="12.75" customHeight="1">
      <c r="A889" s="24"/>
      <c r="B889" s="24"/>
      <c r="C889" s="49"/>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row>
    <row r="890" ht="12.75" customHeight="1">
      <c r="A890" s="24"/>
      <c r="B890" s="24"/>
      <c r="C890" s="49"/>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row>
    <row r="891" ht="12.75" customHeight="1">
      <c r="A891" s="24"/>
      <c r="B891" s="24"/>
      <c r="C891" s="49"/>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row>
    <row r="892" ht="12.75" customHeight="1">
      <c r="A892" s="24"/>
      <c r="B892" s="24"/>
      <c r="C892" s="49"/>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row>
    <row r="893" ht="12.75" customHeight="1">
      <c r="A893" s="24"/>
      <c r="B893" s="24"/>
      <c r="C893" s="49"/>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row>
    <row r="894" ht="12.75" customHeight="1">
      <c r="A894" s="24"/>
      <c r="B894" s="24"/>
      <c r="C894" s="49"/>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row>
    <row r="895" ht="12.75" customHeight="1">
      <c r="A895" s="24"/>
      <c r="B895" s="24"/>
      <c r="C895" s="49"/>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row>
    <row r="896" ht="12.75" customHeight="1">
      <c r="A896" s="24"/>
      <c r="B896" s="24"/>
      <c r="C896" s="49"/>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row>
    <row r="897" ht="12.75" customHeight="1">
      <c r="A897" s="24"/>
      <c r="B897" s="24"/>
      <c r="C897" s="49"/>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row>
    <row r="898" ht="12.75" customHeight="1">
      <c r="A898" s="24"/>
      <c r="B898" s="24"/>
      <c r="C898" s="49"/>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row>
    <row r="899" ht="12.75" customHeight="1">
      <c r="A899" s="24"/>
      <c r="B899" s="24"/>
      <c r="C899" s="49"/>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row>
    <row r="900" ht="12.75" customHeight="1">
      <c r="A900" s="24"/>
      <c r="B900" s="24"/>
      <c r="C900" s="49"/>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row>
    <row r="901" ht="12.75" customHeight="1">
      <c r="A901" s="24"/>
      <c r="B901" s="24"/>
      <c r="C901" s="49"/>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row>
    <row r="902" ht="12.75" customHeight="1">
      <c r="A902" s="24"/>
      <c r="B902" s="24"/>
      <c r="C902" s="49"/>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row>
    <row r="903" ht="12.75" customHeight="1">
      <c r="A903" s="24"/>
      <c r="B903" s="24"/>
      <c r="C903" s="49"/>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row>
    <row r="904" ht="12.75" customHeight="1">
      <c r="A904" s="24"/>
      <c r="B904" s="24"/>
      <c r="C904" s="49"/>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row>
    <row r="905" ht="12.75" customHeight="1">
      <c r="A905" s="24"/>
      <c r="B905" s="24"/>
      <c r="C905" s="49"/>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row>
    <row r="906" ht="12.75" customHeight="1">
      <c r="A906" s="24"/>
      <c r="B906" s="24"/>
      <c r="C906" s="49"/>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row>
    <row r="907" ht="12.75" customHeight="1">
      <c r="A907" s="24"/>
      <c r="B907" s="24"/>
      <c r="C907" s="49"/>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row>
    <row r="908" ht="12.75" customHeight="1">
      <c r="A908" s="24"/>
      <c r="B908" s="24"/>
      <c r="C908" s="49"/>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row>
    <row r="909" ht="12.75" customHeight="1">
      <c r="A909" s="24"/>
      <c r="B909" s="24"/>
      <c r="C909" s="49"/>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row>
    <row r="910" ht="12.75" customHeight="1">
      <c r="A910" s="24"/>
      <c r="B910" s="24"/>
      <c r="C910" s="49"/>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row>
    <row r="911" ht="12.75" customHeight="1">
      <c r="A911" s="24"/>
      <c r="B911" s="24"/>
      <c r="C911" s="49"/>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row>
    <row r="912" ht="12.75" customHeight="1">
      <c r="A912" s="24"/>
      <c r="B912" s="24"/>
      <c r="C912" s="49"/>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row>
    <row r="913" ht="12.75" customHeight="1">
      <c r="A913" s="24"/>
      <c r="B913" s="24"/>
      <c r="C913" s="49"/>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row>
    <row r="914" ht="12.75" customHeight="1">
      <c r="A914" s="24"/>
      <c r="B914" s="24"/>
      <c r="C914" s="49"/>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row>
    <row r="915" ht="12.75" customHeight="1">
      <c r="A915" s="24"/>
      <c r="B915" s="24"/>
      <c r="C915" s="49"/>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row>
    <row r="916" ht="12.75" customHeight="1">
      <c r="A916" s="24"/>
      <c r="B916" s="24"/>
      <c r="C916" s="49"/>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row>
    <row r="917" ht="12.75" customHeight="1">
      <c r="A917" s="24"/>
      <c r="B917" s="24"/>
      <c r="C917" s="49"/>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row>
    <row r="918" ht="12.75" customHeight="1">
      <c r="A918" s="24"/>
      <c r="B918" s="24"/>
      <c r="C918" s="49"/>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row>
    <row r="919" ht="12.75" customHeight="1">
      <c r="A919" s="24"/>
      <c r="B919" s="24"/>
      <c r="C919" s="49"/>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row>
    <row r="920" ht="12.75" customHeight="1">
      <c r="A920" s="24"/>
      <c r="B920" s="24"/>
      <c r="C920" s="49"/>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row>
    <row r="921" ht="12.75" customHeight="1">
      <c r="A921" s="24"/>
      <c r="B921" s="24"/>
      <c r="C921" s="49"/>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row>
    <row r="922" ht="12.75" customHeight="1">
      <c r="A922" s="24"/>
      <c r="B922" s="24"/>
      <c r="C922" s="49"/>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row>
    <row r="923" ht="12.75" customHeight="1">
      <c r="A923" s="24"/>
      <c r="B923" s="24"/>
      <c r="C923" s="49"/>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row>
    <row r="924" ht="12.75" customHeight="1">
      <c r="A924" s="24"/>
      <c r="B924" s="24"/>
      <c r="C924" s="49"/>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row>
    <row r="925" ht="12.75" customHeight="1">
      <c r="A925" s="24"/>
      <c r="B925" s="24"/>
      <c r="C925" s="49"/>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row>
    <row r="926" ht="12.75" customHeight="1">
      <c r="A926" s="24"/>
      <c r="B926" s="24"/>
      <c r="C926" s="49"/>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row>
    <row r="927" ht="12.75" customHeight="1">
      <c r="A927" s="24"/>
      <c r="B927" s="24"/>
      <c r="C927" s="49"/>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row>
    <row r="928" ht="12.75" customHeight="1">
      <c r="A928" s="24"/>
      <c r="B928" s="24"/>
      <c r="C928" s="49"/>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row>
    <row r="929" ht="12.75" customHeight="1">
      <c r="A929" s="24"/>
      <c r="B929" s="24"/>
      <c r="C929" s="49"/>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row>
    <row r="930" ht="12.75" customHeight="1">
      <c r="A930" s="24"/>
      <c r="B930" s="24"/>
      <c r="C930" s="49"/>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row>
    <row r="931" ht="12.75" customHeight="1">
      <c r="A931" s="24"/>
      <c r="B931" s="24"/>
      <c r="C931" s="49"/>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row>
    <row r="932" ht="12.75" customHeight="1">
      <c r="A932" s="24"/>
      <c r="B932" s="24"/>
      <c r="C932" s="49"/>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row>
    <row r="933" ht="12.75" customHeight="1">
      <c r="A933" s="24"/>
      <c r="B933" s="24"/>
      <c r="C933" s="49"/>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row>
    <row r="934" ht="12.75" customHeight="1">
      <c r="A934" s="24"/>
      <c r="B934" s="24"/>
      <c r="C934" s="49"/>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row>
    <row r="935" ht="12.75" customHeight="1">
      <c r="A935" s="24"/>
      <c r="B935" s="24"/>
      <c r="C935" s="49"/>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row>
    <row r="936" ht="12.75" customHeight="1">
      <c r="A936" s="24"/>
      <c r="B936" s="24"/>
      <c r="C936" s="49"/>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row>
    <row r="937" ht="12.75" customHeight="1">
      <c r="A937" s="24"/>
      <c r="B937" s="24"/>
      <c r="C937" s="49"/>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row>
    <row r="938" ht="12.75" customHeight="1">
      <c r="A938" s="24"/>
      <c r="B938" s="24"/>
      <c r="C938" s="49"/>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row>
    <row r="939" ht="12.75" customHeight="1">
      <c r="A939" s="24"/>
      <c r="B939" s="24"/>
      <c r="C939" s="49"/>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row>
    <row r="940" ht="12.75" customHeight="1">
      <c r="A940" s="24"/>
      <c r="B940" s="24"/>
      <c r="C940" s="49"/>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row>
    <row r="941" ht="12.75" customHeight="1">
      <c r="A941" s="24"/>
      <c r="B941" s="24"/>
      <c r="C941" s="49"/>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row>
    <row r="942" ht="12.75" customHeight="1">
      <c r="A942" s="24"/>
      <c r="B942" s="24"/>
      <c r="C942" s="49"/>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row>
    <row r="943" ht="12.75" customHeight="1">
      <c r="A943" s="24"/>
      <c r="B943" s="24"/>
      <c r="C943" s="49"/>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row>
    <row r="944" ht="12.75" customHeight="1">
      <c r="A944" s="24"/>
      <c r="B944" s="24"/>
      <c r="C944" s="49"/>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row>
    <row r="945" ht="12.75" customHeight="1">
      <c r="A945" s="24"/>
      <c r="B945" s="24"/>
      <c r="C945" s="49"/>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row>
    <row r="946" ht="12.75" customHeight="1">
      <c r="A946" s="24"/>
      <c r="B946" s="24"/>
      <c r="C946" s="49"/>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row>
    <row r="947" ht="12.75" customHeight="1">
      <c r="A947" s="24"/>
      <c r="B947" s="24"/>
      <c r="C947" s="49"/>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row>
    <row r="948" ht="12.75" customHeight="1">
      <c r="A948" s="24"/>
      <c r="B948" s="24"/>
      <c r="C948" s="49"/>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row>
    <row r="949" ht="12.75" customHeight="1">
      <c r="A949" s="24"/>
      <c r="B949" s="24"/>
      <c r="C949" s="49"/>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row>
    <row r="950" ht="12.75" customHeight="1">
      <c r="A950" s="24"/>
      <c r="B950" s="24"/>
      <c r="C950" s="49"/>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row>
    <row r="951" ht="12.75" customHeight="1">
      <c r="A951" s="24"/>
      <c r="B951" s="24"/>
      <c r="C951" s="49"/>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row>
    <row r="952" ht="12.75" customHeight="1">
      <c r="A952" s="24"/>
      <c r="B952" s="24"/>
      <c r="C952" s="49"/>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row>
    <row r="953" ht="12.75" customHeight="1">
      <c r="A953" s="24"/>
      <c r="B953" s="24"/>
      <c r="C953" s="49"/>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row>
    <row r="954" ht="12.75" customHeight="1">
      <c r="A954" s="24"/>
      <c r="B954" s="24"/>
      <c r="C954" s="49"/>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row>
    <row r="955" ht="12.75" customHeight="1">
      <c r="A955" s="24"/>
      <c r="B955" s="24"/>
      <c r="C955" s="49"/>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row>
    <row r="956" ht="12.75" customHeight="1">
      <c r="A956" s="24"/>
      <c r="B956" s="24"/>
      <c r="C956" s="49"/>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row>
    <row r="957" ht="12.75" customHeight="1">
      <c r="A957" s="24"/>
      <c r="B957" s="24"/>
      <c r="C957" s="49"/>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row>
    <row r="958" ht="12.75" customHeight="1">
      <c r="A958" s="24"/>
      <c r="B958" s="24"/>
      <c r="C958" s="49"/>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row>
    <row r="959" ht="12.75" customHeight="1">
      <c r="A959" s="24"/>
      <c r="B959" s="24"/>
      <c r="C959" s="49"/>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row>
    <row r="960" ht="12.75" customHeight="1">
      <c r="A960" s="24"/>
      <c r="B960" s="24"/>
      <c r="C960" s="49"/>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row>
    <row r="961" ht="12.75" customHeight="1">
      <c r="A961" s="24"/>
      <c r="B961" s="24"/>
      <c r="C961" s="49"/>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row>
    <row r="962" ht="12.75" customHeight="1">
      <c r="A962" s="24"/>
      <c r="B962" s="24"/>
      <c r="C962" s="49"/>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row>
    <row r="963" ht="12.75" customHeight="1">
      <c r="A963" s="24"/>
      <c r="B963" s="24"/>
      <c r="C963" s="49"/>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row>
    <row r="964" ht="12.75" customHeight="1">
      <c r="A964" s="24"/>
      <c r="B964" s="24"/>
      <c r="C964" s="49"/>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row>
    <row r="965" ht="12.75" customHeight="1">
      <c r="A965" s="24"/>
      <c r="B965" s="24"/>
      <c r="C965" s="49"/>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row>
    <row r="966" ht="12.75" customHeight="1">
      <c r="A966" s="24"/>
      <c r="B966" s="24"/>
      <c r="C966" s="49"/>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row>
    <row r="967" ht="12.75" customHeight="1">
      <c r="A967" s="24"/>
      <c r="B967" s="24"/>
      <c r="C967" s="49"/>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row>
    <row r="968" ht="12.75" customHeight="1">
      <c r="A968" s="24"/>
      <c r="B968" s="24"/>
      <c r="C968" s="49"/>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row>
    <row r="969" ht="12.75" customHeight="1">
      <c r="A969" s="24"/>
      <c r="B969" s="24"/>
      <c r="C969" s="49"/>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row>
    <row r="970" ht="12.75" customHeight="1">
      <c r="A970" s="24"/>
      <c r="B970" s="24"/>
      <c r="C970" s="49"/>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row>
    <row r="971" ht="12.75" customHeight="1">
      <c r="A971" s="24"/>
      <c r="B971" s="24"/>
      <c r="C971" s="49"/>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row>
    <row r="972" ht="12.75" customHeight="1">
      <c r="A972" s="24"/>
      <c r="B972" s="24"/>
      <c r="C972" s="49"/>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row>
    <row r="973" ht="12.75" customHeight="1">
      <c r="A973" s="24"/>
      <c r="B973" s="24"/>
      <c r="C973" s="49"/>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row>
    <row r="974" ht="12.75" customHeight="1">
      <c r="A974" s="24"/>
      <c r="B974" s="24"/>
      <c r="C974" s="49"/>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row>
    <row r="975" ht="12.75" customHeight="1">
      <c r="A975" s="24"/>
      <c r="B975" s="24"/>
      <c r="C975" s="49"/>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row>
    <row r="976" ht="12.75" customHeight="1">
      <c r="A976" s="24"/>
      <c r="B976" s="24"/>
      <c r="C976" s="49"/>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row>
    <row r="977" ht="12.75" customHeight="1">
      <c r="A977" s="24"/>
      <c r="B977" s="24"/>
      <c r="C977" s="49"/>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row>
    <row r="978" ht="12.75" customHeight="1">
      <c r="A978" s="24"/>
      <c r="B978" s="24"/>
      <c r="C978" s="49"/>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row>
    <row r="979" ht="12.75" customHeight="1">
      <c r="A979" s="24"/>
      <c r="B979" s="24"/>
      <c r="C979" s="49"/>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row>
    <row r="980" ht="12.75" customHeight="1">
      <c r="A980" s="24"/>
      <c r="B980" s="24"/>
      <c r="C980" s="49"/>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row>
    <row r="981" ht="12.75" customHeight="1">
      <c r="A981" s="24"/>
      <c r="B981" s="24"/>
      <c r="C981" s="49"/>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row>
    <row r="982" ht="12.75" customHeight="1">
      <c r="A982" s="24"/>
      <c r="B982" s="24"/>
      <c r="C982" s="49"/>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row>
    <row r="983" ht="12.75" customHeight="1">
      <c r="A983" s="24"/>
      <c r="B983" s="24"/>
      <c r="C983" s="49"/>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row>
    <row r="984" ht="12.75" customHeight="1">
      <c r="A984" s="24"/>
      <c r="B984" s="24"/>
      <c r="C984" s="49"/>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row>
    <row r="985" ht="12.75" customHeight="1">
      <c r="A985" s="24"/>
      <c r="B985" s="24"/>
      <c r="C985" s="49"/>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row>
    <row r="986" ht="12.75" customHeight="1">
      <c r="A986" s="24"/>
      <c r="B986" s="24"/>
      <c r="C986" s="49"/>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row>
    <row r="987" ht="12.75" customHeight="1">
      <c r="A987" s="24"/>
      <c r="B987" s="24"/>
      <c r="C987" s="49"/>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row>
    <row r="988" ht="12.75" customHeight="1">
      <c r="A988" s="24"/>
      <c r="B988" s="24"/>
      <c r="C988" s="49"/>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row>
    <row r="989" ht="12.75" customHeight="1">
      <c r="A989" s="24"/>
      <c r="B989" s="24"/>
      <c r="C989" s="49"/>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row>
    <row r="990" ht="12.75" customHeight="1">
      <c r="A990" s="24"/>
      <c r="B990" s="24"/>
      <c r="C990" s="49"/>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row>
    <row r="991" ht="12.75" customHeight="1">
      <c r="A991" s="24"/>
      <c r="B991" s="24"/>
      <c r="C991" s="49"/>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row>
    <row r="992" ht="12.75" customHeight="1">
      <c r="A992" s="24"/>
      <c r="B992" s="24"/>
      <c r="C992" s="49"/>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row>
    <row r="993" ht="12.75" customHeight="1">
      <c r="A993" s="24"/>
      <c r="B993" s="24"/>
      <c r="C993" s="49"/>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row>
    <row r="994" ht="12.75" customHeight="1">
      <c r="A994" s="24"/>
      <c r="B994" s="24"/>
      <c r="C994" s="49"/>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row>
    <row r="995" ht="12.75" customHeight="1">
      <c r="A995" s="24"/>
      <c r="B995" s="24"/>
      <c r="C995" s="49"/>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row>
    <row r="996" ht="12.75" customHeight="1">
      <c r="A996" s="24"/>
      <c r="B996" s="24"/>
      <c r="C996" s="49"/>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row>
    <row r="997" ht="12.75" customHeight="1">
      <c r="A997" s="24"/>
      <c r="B997" s="24"/>
      <c r="C997" s="49"/>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row>
    <row r="998" ht="12.75" customHeight="1">
      <c r="A998" s="24"/>
      <c r="B998" s="24"/>
      <c r="C998" s="49"/>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row>
    <row r="999" ht="12.75" customHeight="1">
      <c r="A999" s="24"/>
      <c r="B999" s="24"/>
      <c r="C999" s="49"/>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row>
    <row r="1000" ht="12.75" customHeight="1">
      <c r="A1000" s="24"/>
      <c r="B1000" s="24"/>
      <c r="C1000" s="49"/>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row>
  </sheetData>
  <mergeCells count="41">
    <mergeCell ref="B78:B80"/>
    <mergeCell ref="B81:B83"/>
    <mergeCell ref="A5:A16"/>
    <mergeCell ref="A30:A41"/>
    <mergeCell ref="A42:A53"/>
    <mergeCell ref="A54:A65"/>
    <mergeCell ref="A66:A77"/>
    <mergeCell ref="A78:A89"/>
    <mergeCell ref="A90:A101"/>
    <mergeCell ref="A17:A29"/>
    <mergeCell ref="B8:B10"/>
    <mergeCell ref="B11:B13"/>
    <mergeCell ref="B14:B16"/>
    <mergeCell ref="B5:B7"/>
    <mergeCell ref="B17:B19"/>
    <mergeCell ref="B20:B23"/>
    <mergeCell ref="A4:C4"/>
    <mergeCell ref="B90:B92"/>
    <mergeCell ref="B93:B95"/>
    <mergeCell ref="B96:B98"/>
    <mergeCell ref="B99:B101"/>
    <mergeCell ref="B84:B86"/>
    <mergeCell ref="B87:B89"/>
    <mergeCell ref="B63:B65"/>
    <mergeCell ref="B66:B68"/>
    <mergeCell ref="B69:B71"/>
    <mergeCell ref="B72:B74"/>
    <mergeCell ref="B75:B77"/>
    <mergeCell ref="B45:B47"/>
    <mergeCell ref="B48:B50"/>
    <mergeCell ref="B51:B53"/>
    <mergeCell ref="B54:B56"/>
    <mergeCell ref="B57:B59"/>
    <mergeCell ref="B60:B62"/>
    <mergeCell ref="B24:B26"/>
    <mergeCell ref="B30:B32"/>
    <mergeCell ref="B33:B35"/>
    <mergeCell ref="B36:B38"/>
    <mergeCell ref="B39:B41"/>
    <mergeCell ref="B27:B29"/>
    <mergeCell ref="B42:B44"/>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29.71"/>
    <col customWidth="1" min="2" max="40" width="9.43"/>
    <col customWidth="1" min="41" max="52" width="8.86"/>
  </cols>
  <sheetData>
    <row r="1" ht="12.75" customHeight="1">
      <c r="A1" s="89"/>
      <c r="B1" s="89"/>
      <c r="C1" s="89"/>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row>
    <row r="2" ht="12.75"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row>
    <row r="3" ht="12.75" customHeight="1">
      <c r="A3" s="91" t="s">
        <v>2</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2"/>
    </row>
    <row r="4" ht="12.75" customHeight="1">
      <c r="A4" s="93" t="s">
        <v>53</v>
      </c>
      <c r="B4" s="94">
        <v>1980.0</v>
      </c>
      <c r="C4" s="94">
        <v>1981.0</v>
      </c>
      <c r="D4" s="94">
        <v>1982.0</v>
      </c>
      <c r="E4" s="94">
        <v>1983.0</v>
      </c>
      <c r="F4" s="94">
        <v>1984.0</v>
      </c>
      <c r="G4" s="95">
        <v>1985.0</v>
      </c>
      <c r="H4" s="96">
        <v>1986.0</v>
      </c>
      <c r="I4" s="96">
        <v>1987.0</v>
      </c>
      <c r="J4" s="96">
        <v>1988.0</v>
      </c>
      <c r="K4" s="96">
        <v>1989.0</v>
      </c>
      <c r="L4" s="96">
        <v>1990.0</v>
      </c>
      <c r="M4" s="96">
        <v>1991.0</v>
      </c>
      <c r="N4" s="96">
        <v>1992.0</v>
      </c>
      <c r="O4" s="96">
        <v>1993.0</v>
      </c>
      <c r="P4" s="96">
        <v>1994.0</v>
      </c>
      <c r="Q4" s="96">
        <v>1995.0</v>
      </c>
      <c r="R4" s="96">
        <v>1996.0</v>
      </c>
      <c r="S4" s="96">
        <v>1997.0</v>
      </c>
      <c r="T4" s="96">
        <v>1998.0</v>
      </c>
      <c r="U4" s="96">
        <v>1999.0</v>
      </c>
      <c r="V4" s="96">
        <v>2000.0</v>
      </c>
      <c r="W4" s="96">
        <v>2001.0</v>
      </c>
      <c r="X4" s="96">
        <v>2002.0</v>
      </c>
      <c r="Y4" s="96">
        <v>2003.0</v>
      </c>
      <c r="Z4" s="96">
        <v>2004.0</v>
      </c>
      <c r="AA4" s="96">
        <v>2005.0</v>
      </c>
      <c r="AB4" s="96">
        <v>2006.0</v>
      </c>
      <c r="AC4" s="96">
        <v>2007.0</v>
      </c>
      <c r="AD4" s="97">
        <v>2008.0</v>
      </c>
      <c r="AE4" s="94">
        <v>2009.0</v>
      </c>
      <c r="AF4" s="94">
        <v>2010.0</v>
      </c>
      <c r="AG4" s="94">
        <v>2011.0</v>
      </c>
      <c r="AH4" s="94">
        <v>2012.0</v>
      </c>
      <c r="AI4" s="94">
        <v>2013.0</v>
      </c>
      <c r="AJ4" s="94">
        <v>2014.0</v>
      </c>
      <c r="AK4" s="94">
        <v>2015.0</v>
      </c>
      <c r="AL4" s="94">
        <v>2016.0</v>
      </c>
      <c r="AM4" s="94">
        <v>2017.0</v>
      </c>
      <c r="AN4" s="94">
        <v>2018.0</v>
      </c>
      <c r="AO4" s="94">
        <v>2019.0</v>
      </c>
      <c r="AP4" s="94">
        <v>2020.0</v>
      </c>
      <c r="AQ4" s="94">
        <v>2021.0</v>
      </c>
      <c r="AR4" s="94">
        <v>2022.0</v>
      </c>
      <c r="AS4" s="94">
        <v>2023.0</v>
      </c>
      <c r="AT4" s="94">
        <v>2024.0</v>
      </c>
      <c r="AU4" s="94">
        <v>2025.0</v>
      </c>
      <c r="AV4" s="94">
        <v>2026.0</v>
      </c>
      <c r="AW4" s="94">
        <v>2027.0</v>
      </c>
      <c r="AX4" s="94">
        <v>2028.0</v>
      </c>
      <c r="AY4" s="94">
        <v>2029.0</v>
      </c>
      <c r="AZ4" s="99">
        <v>2030.0</v>
      </c>
    </row>
    <row r="5" ht="12.75" customHeight="1">
      <c r="A5" s="100" t="s">
        <v>55</v>
      </c>
      <c r="B5" s="101" t="s">
        <v>56</v>
      </c>
      <c r="C5" s="101" t="s">
        <v>56</v>
      </c>
      <c r="D5" s="101" t="s">
        <v>56</v>
      </c>
      <c r="E5" s="102" t="s">
        <v>57</v>
      </c>
      <c r="F5" s="102" t="s">
        <v>57</v>
      </c>
      <c r="G5" s="103" t="s">
        <v>56</v>
      </c>
      <c r="H5" s="102" t="s">
        <v>57</v>
      </c>
      <c r="I5" s="101" t="s">
        <v>56</v>
      </c>
      <c r="J5" s="101" t="s">
        <v>56</v>
      </c>
      <c r="K5" s="104" t="s">
        <v>58</v>
      </c>
      <c r="L5" s="104" t="s">
        <v>58</v>
      </c>
      <c r="M5" s="101" t="s">
        <v>56</v>
      </c>
      <c r="N5" s="104" t="s">
        <v>58</v>
      </c>
      <c r="O5" s="101" t="s">
        <v>56</v>
      </c>
      <c r="P5" s="104" t="s">
        <v>58</v>
      </c>
      <c r="Q5" s="101" t="s">
        <v>56</v>
      </c>
      <c r="R5" s="101" t="s">
        <v>56</v>
      </c>
      <c r="S5" s="102" t="s">
        <v>57</v>
      </c>
      <c r="T5" s="102" t="s">
        <v>57</v>
      </c>
      <c r="U5" s="102" t="s">
        <v>57</v>
      </c>
      <c r="V5" s="101" t="s">
        <v>56</v>
      </c>
      <c r="W5" s="104" t="s">
        <v>58</v>
      </c>
      <c r="X5" s="104" t="s">
        <v>58</v>
      </c>
      <c r="Y5" s="104" t="s">
        <v>58</v>
      </c>
      <c r="Z5" s="104" t="s">
        <v>58</v>
      </c>
      <c r="AA5" s="101" t="s">
        <v>56</v>
      </c>
      <c r="AB5" s="101" t="s">
        <v>56</v>
      </c>
      <c r="AC5" s="101" t="s">
        <v>56</v>
      </c>
      <c r="AD5" s="105" t="s">
        <v>56</v>
      </c>
      <c r="AE5" s="101" t="s">
        <v>4</v>
      </c>
      <c r="AF5" s="101" t="s">
        <v>4</v>
      </c>
      <c r="AG5" s="101" t="s">
        <v>4</v>
      </c>
      <c r="AH5" s="101" t="s">
        <v>4</v>
      </c>
      <c r="AI5" s="101" t="s">
        <v>4</v>
      </c>
      <c r="AJ5" s="101" t="s">
        <v>4</v>
      </c>
      <c r="AK5" s="101" t="s">
        <v>4</v>
      </c>
      <c r="AL5" s="101" t="s">
        <v>4</v>
      </c>
      <c r="AM5" s="101" t="s">
        <v>4</v>
      </c>
      <c r="AN5" s="101" t="s">
        <v>4</v>
      </c>
      <c r="AO5" s="101" t="s">
        <v>4</v>
      </c>
      <c r="AP5" s="101" t="s">
        <v>4</v>
      </c>
      <c r="AQ5" s="101" t="s">
        <v>4</v>
      </c>
      <c r="AR5" s="101" t="s">
        <v>4</v>
      </c>
      <c r="AS5" s="101" t="s">
        <v>4</v>
      </c>
      <c r="AT5" s="101" t="s">
        <v>4</v>
      </c>
      <c r="AU5" s="101" t="s">
        <v>4</v>
      </c>
      <c r="AV5" s="101" t="s">
        <v>4</v>
      </c>
      <c r="AW5" s="101" t="s">
        <v>4</v>
      </c>
      <c r="AX5" s="101" t="s">
        <v>4</v>
      </c>
      <c r="AY5" s="101" t="s">
        <v>4</v>
      </c>
      <c r="AZ5" s="106" t="s">
        <v>4</v>
      </c>
    </row>
    <row r="6" ht="12.75" customHeight="1">
      <c r="A6" s="107" t="s">
        <v>59</v>
      </c>
      <c r="B6" s="108">
        <v>91209.0</v>
      </c>
      <c r="C6" s="108">
        <v>91209.0</v>
      </c>
      <c r="D6" s="108">
        <v>91209.0</v>
      </c>
      <c r="E6" s="108">
        <v>91209.0</v>
      </c>
      <c r="F6" s="108">
        <v>91209.0</v>
      </c>
      <c r="G6" s="109">
        <v>91209.0</v>
      </c>
      <c r="H6" s="108">
        <v>91209.0</v>
      </c>
      <c r="I6" s="108">
        <v>91209.0</v>
      </c>
      <c r="J6" s="108">
        <v>91209.0</v>
      </c>
      <c r="K6" s="108">
        <v>91209.0</v>
      </c>
      <c r="L6" s="108">
        <v>91209.0</v>
      </c>
      <c r="M6" s="108">
        <v>91209.0</v>
      </c>
      <c r="N6" s="108">
        <v>91209.0</v>
      </c>
      <c r="O6" s="108">
        <v>91209.0</v>
      </c>
      <c r="P6" s="108">
        <v>91209.0</v>
      </c>
      <c r="Q6" s="108">
        <v>91209.0</v>
      </c>
      <c r="R6" s="108">
        <v>91209.0</v>
      </c>
      <c r="S6" s="108">
        <v>91209.0</v>
      </c>
      <c r="T6" s="108">
        <v>91209.0</v>
      </c>
      <c r="U6" s="108">
        <v>91209.0</v>
      </c>
      <c r="V6" s="108">
        <v>91209.0</v>
      </c>
      <c r="W6" s="108">
        <v>91209.0</v>
      </c>
      <c r="X6" s="108">
        <v>91209.0</v>
      </c>
      <c r="Y6" s="108">
        <v>91209.0</v>
      </c>
      <c r="Z6" s="108">
        <v>91209.0</v>
      </c>
      <c r="AA6" s="108">
        <v>91209.0</v>
      </c>
      <c r="AB6" s="108">
        <v>91209.0</v>
      </c>
      <c r="AC6" s="108">
        <v>91209.0</v>
      </c>
      <c r="AD6" s="110">
        <v>91209.0</v>
      </c>
      <c r="AE6" s="108" t="str">
        <f t="shared" ref="AE6:AZ6" si="1">IF(AE5="Wet",#REF!,IF(AE5="Normal",#REF!,IF(AE5="Dry",#REF!,"-")))</f>
        <v>-</v>
      </c>
      <c r="AF6" s="108" t="str">
        <f t="shared" si="1"/>
        <v>-</v>
      </c>
      <c r="AG6" s="108" t="str">
        <f t="shared" si="1"/>
        <v>-</v>
      </c>
      <c r="AH6" s="108" t="str">
        <f t="shared" si="1"/>
        <v>-</v>
      </c>
      <c r="AI6" s="108" t="str">
        <f t="shared" si="1"/>
        <v>-</v>
      </c>
      <c r="AJ6" s="108" t="str">
        <f t="shared" si="1"/>
        <v>-</v>
      </c>
      <c r="AK6" s="108" t="str">
        <f t="shared" si="1"/>
        <v>-</v>
      </c>
      <c r="AL6" s="108" t="str">
        <f t="shared" si="1"/>
        <v>-</v>
      </c>
      <c r="AM6" s="108" t="str">
        <f t="shared" si="1"/>
        <v>-</v>
      </c>
      <c r="AN6" s="108" t="str">
        <f t="shared" si="1"/>
        <v>-</v>
      </c>
      <c r="AO6" s="108" t="str">
        <f t="shared" si="1"/>
        <v>-</v>
      </c>
      <c r="AP6" s="108" t="str">
        <f t="shared" si="1"/>
        <v>-</v>
      </c>
      <c r="AQ6" s="108" t="str">
        <f t="shared" si="1"/>
        <v>-</v>
      </c>
      <c r="AR6" s="108" t="str">
        <f t="shared" si="1"/>
        <v>-</v>
      </c>
      <c r="AS6" s="108" t="str">
        <f t="shared" si="1"/>
        <v>-</v>
      </c>
      <c r="AT6" s="108" t="str">
        <f t="shared" si="1"/>
        <v>-</v>
      </c>
      <c r="AU6" s="108" t="str">
        <f t="shared" si="1"/>
        <v>-</v>
      </c>
      <c r="AV6" s="108" t="str">
        <f t="shared" si="1"/>
        <v>-</v>
      </c>
      <c r="AW6" s="108" t="str">
        <f t="shared" si="1"/>
        <v>-</v>
      </c>
      <c r="AX6" s="108" t="str">
        <f t="shared" si="1"/>
        <v>-</v>
      </c>
      <c r="AY6" s="108" t="str">
        <f t="shared" si="1"/>
        <v>-</v>
      </c>
      <c r="AZ6" s="116" t="str">
        <f t="shared" si="1"/>
        <v>-</v>
      </c>
    </row>
    <row r="7" ht="12.75" customHeight="1">
      <c r="A7" s="117" t="s">
        <v>1</v>
      </c>
      <c r="B7" s="118"/>
      <c r="C7" s="118"/>
      <c r="D7" s="118"/>
      <c r="E7" s="118"/>
      <c r="F7" s="118"/>
      <c r="G7" s="119"/>
      <c r="H7" s="118"/>
      <c r="I7" s="118"/>
      <c r="J7" s="118"/>
      <c r="K7" s="118"/>
      <c r="L7" s="118"/>
      <c r="M7" s="118"/>
      <c r="N7" s="118"/>
      <c r="O7" s="118"/>
      <c r="P7" s="118"/>
      <c r="Q7" s="118"/>
      <c r="R7" s="118"/>
      <c r="S7" s="118"/>
      <c r="T7" s="118"/>
      <c r="U7" s="118"/>
      <c r="V7" s="118"/>
      <c r="W7" s="118"/>
      <c r="X7" s="118"/>
      <c r="Y7" s="118"/>
      <c r="Z7" s="118"/>
      <c r="AA7" s="118"/>
      <c r="AB7" s="118"/>
      <c r="AC7" s="118"/>
      <c r="AD7" s="121"/>
      <c r="AE7" s="118"/>
      <c r="AF7" s="118"/>
      <c r="AG7" s="118"/>
      <c r="AH7" s="118"/>
      <c r="AI7" s="118"/>
      <c r="AJ7" s="118"/>
      <c r="AK7" s="118"/>
      <c r="AL7" s="118"/>
      <c r="AM7" s="118"/>
      <c r="AN7" s="118"/>
      <c r="AO7" s="118"/>
      <c r="AP7" s="118"/>
      <c r="AQ7" s="118"/>
      <c r="AR7" s="118"/>
      <c r="AS7" s="118"/>
      <c r="AT7" s="118"/>
      <c r="AU7" s="118"/>
      <c r="AV7" s="118"/>
      <c r="AW7" s="118"/>
      <c r="AX7" s="118"/>
      <c r="AY7" s="118"/>
      <c r="AZ7" s="122"/>
    </row>
    <row r="8" ht="12.75" customHeight="1">
      <c r="A8" s="123" t="s">
        <v>62</v>
      </c>
      <c r="B8" s="124" t="s">
        <v>7</v>
      </c>
      <c r="C8" s="124" t="s">
        <v>7</v>
      </c>
      <c r="D8" s="124" t="s">
        <v>7</v>
      </c>
      <c r="E8" s="124" t="s">
        <v>7</v>
      </c>
      <c r="F8" s="124" t="s">
        <v>7</v>
      </c>
      <c r="G8" s="125">
        <f>'NDVI Acreage'!H4</f>
        <v>47156.5</v>
      </c>
      <c r="H8" s="127">
        <f>'NDVI Acreage'!I4</f>
        <v>60012.5</v>
      </c>
      <c r="I8" s="127">
        <f>'NDVI Acreage'!J4</f>
        <v>44299</v>
      </c>
      <c r="J8" s="127">
        <f>'NDVI Acreage'!K4</f>
        <v>35965</v>
      </c>
      <c r="K8" s="127">
        <f>'NDVI Acreage'!L4</f>
        <v>50301</v>
      </c>
      <c r="L8" s="127">
        <f>'NDVI Acreage'!M4</f>
        <v>41957</v>
      </c>
      <c r="M8" s="127">
        <f>'NDVI Acreage'!N4</f>
        <v>52835.5</v>
      </c>
      <c r="N8" s="127">
        <f>'NDVI Acreage'!O4</f>
        <v>39829.5</v>
      </c>
      <c r="O8" s="127">
        <f>'NDVI Acreage'!P4</f>
        <v>58807.5</v>
      </c>
      <c r="P8" s="127">
        <f>'NDVI Acreage'!Q4</f>
        <v>35474.5</v>
      </c>
      <c r="Q8" s="127">
        <f>'NDVI Acreage'!R4</f>
        <v>64045</v>
      </c>
      <c r="R8" s="127">
        <f>'NDVI Acreage'!S4</f>
        <v>47949</v>
      </c>
      <c r="S8" s="127">
        <f>'NDVI Acreage'!T4</f>
        <v>59471.5</v>
      </c>
      <c r="T8" s="127">
        <f>'NDVI Acreage'!U4</f>
        <v>65349</v>
      </c>
      <c r="U8" s="127">
        <f>'NDVI Acreage'!V4</f>
        <v>61485</v>
      </c>
      <c r="V8" s="127">
        <f>'NDVI Acreage'!W4</f>
        <v>36635</v>
      </c>
      <c r="W8" s="127">
        <f>'NDVI Acreage'!X4</f>
        <v>41140.5</v>
      </c>
      <c r="X8" s="127">
        <f>'NDVI Acreage'!Y4</f>
        <v>33679</v>
      </c>
      <c r="Y8" s="127">
        <f>'NDVI Acreage'!Z4</f>
        <v>44409.5</v>
      </c>
      <c r="Z8" s="127">
        <f>'NDVI Acreage'!AA4</f>
        <v>50704.5</v>
      </c>
      <c r="AA8" s="127">
        <f>'NDVI Acreage'!AB4</f>
        <v>56561</v>
      </c>
      <c r="AB8" s="127">
        <f>'NDVI Acreage'!AC4</f>
        <v>50153.5</v>
      </c>
      <c r="AC8" s="127">
        <f>'NDVI Acreage'!AD4</f>
        <v>38920.5</v>
      </c>
      <c r="AD8" s="133">
        <f>'NDVI Acreage'!AE4</f>
        <v>51154.5</v>
      </c>
      <c r="AE8" s="127">
        <f>'NDVI Acreage'!AF4</f>
        <v>57849</v>
      </c>
      <c r="AF8" s="127">
        <f>'NDVI Acreage'!AG4</f>
        <v>53127</v>
      </c>
      <c r="AG8" s="127">
        <f>'NDVI Acreage'!AH4</f>
        <v>62011.5</v>
      </c>
      <c r="AH8" s="127">
        <f>'NDVI Acreage'!AI4</f>
        <v>41921</v>
      </c>
      <c r="AI8" s="127">
        <f>'NDVI Acreage'!AJ4</f>
        <v>42457.5</v>
      </c>
      <c r="AJ8" s="127">
        <f>'NDVI Acreage'!AK4</f>
        <v>60297</v>
      </c>
      <c r="AK8" s="127">
        <f>'NDVI Acreage'!AL4</f>
        <v>47952.5</v>
      </c>
      <c r="AL8" s="127">
        <f>'NDVI Acreage'!AM4</f>
        <v>62339</v>
      </c>
      <c r="AM8" s="127">
        <f>'NDVI Acreage'!AN4</f>
        <v>62805.5</v>
      </c>
      <c r="AN8" s="127">
        <f>'NDVI Acreage'!AO4</f>
        <v>57937</v>
      </c>
      <c r="AO8" s="127" t="str">
        <f>'NDVI Acreage'!AP4</f>
        <v>#DIV/0!</v>
      </c>
      <c r="AP8" s="127" t="str">
        <f>'NDVI Acreage'!AQ4</f>
        <v>#DIV/0!</v>
      </c>
      <c r="AQ8" s="127" t="str">
        <f>'NDVI Acreage'!AR4</f>
        <v>#DIV/0!</v>
      </c>
      <c r="AR8" s="127" t="str">
        <f>'NDVI Acreage'!AS4</f>
        <v>#DIV/0!</v>
      </c>
      <c r="AS8" s="127" t="str">
        <f>'NDVI Acreage'!AT4</f>
        <v>#DIV/0!</v>
      </c>
      <c r="AT8" s="127" t="str">
        <f>'NDVI Acreage'!AU4</f>
        <v>#DIV/0!</v>
      </c>
      <c r="AU8" s="127" t="str">
        <f>'NDVI Acreage'!AV4</f>
        <v>#DIV/0!</v>
      </c>
      <c r="AV8" s="127" t="str">
        <f>'NDVI Acreage'!AW4</f>
        <v>#DIV/0!</v>
      </c>
      <c r="AW8" s="127" t="str">
        <f>'NDVI Acreage'!AX4</f>
        <v>#DIV/0!</v>
      </c>
      <c r="AX8" s="127" t="str">
        <f>'NDVI Acreage'!AY4</f>
        <v>#DIV/0!</v>
      </c>
      <c r="AY8" s="127" t="str">
        <f>'NDVI Acreage'!AZ4</f>
        <v>#DIV/0!</v>
      </c>
      <c r="AZ8" s="139" t="str">
        <f>'NDVI Acreage'!BA4</f>
        <v>#DIV/0!</v>
      </c>
    </row>
    <row r="9" ht="12.75" customHeight="1">
      <c r="A9" s="141" t="s">
        <v>67</v>
      </c>
      <c r="B9" s="143" t="s">
        <v>7</v>
      </c>
      <c r="C9" s="143" t="s">
        <v>7</v>
      </c>
      <c r="D9" s="143" t="s">
        <v>7</v>
      </c>
      <c r="E9" s="143" t="s">
        <v>7</v>
      </c>
      <c r="F9" s="143" t="s">
        <v>7</v>
      </c>
      <c r="G9" s="144">
        <f t="shared" ref="G9:AZ9" si="2">G8*$B$15</f>
        <v>85150.49205</v>
      </c>
      <c r="H9" s="145">
        <f t="shared" si="2"/>
        <v>108364.5713</v>
      </c>
      <c r="I9" s="145">
        <f t="shared" si="2"/>
        <v>79990.7043</v>
      </c>
      <c r="J9" s="145">
        <f t="shared" si="2"/>
        <v>64942.0005</v>
      </c>
      <c r="K9" s="145">
        <f t="shared" si="2"/>
        <v>90828.5157</v>
      </c>
      <c r="L9" s="145">
        <f t="shared" si="2"/>
        <v>75761.7549</v>
      </c>
      <c r="M9" s="145">
        <f t="shared" si="2"/>
        <v>95405.06235</v>
      </c>
      <c r="N9" s="145">
        <f t="shared" si="2"/>
        <v>71920.12815</v>
      </c>
      <c r="O9" s="145">
        <f t="shared" si="2"/>
        <v>106188.7028</v>
      </c>
      <c r="P9" s="145">
        <f t="shared" si="2"/>
        <v>64056.30465</v>
      </c>
      <c r="Q9" s="145">
        <f t="shared" si="2"/>
        <v>115646.0565</v>
      </c>
      <c r="R9" s="145">
        <f t="shared" si="2"/>
        <v>86581.5093</v>
      </c>
      <c r="S9" s="145">
        <f t="shared" si="2"/>
        <v>107387.6876</v>
      </c>
      <c r="T9" s="145">
        <f t="shared" si="2"/>
        <v>118000.6893</v>
      </c>
      <c r="U9" s="145">
        <f t="shared" si="2"/>
        <v>111023.4645</v>
      </c>
      <c r="V9" s="145">
        <f t="shared" si="2"/>
        <v>66151.8195</v>
      </c>
      <c r="W9" s="145">
        <f t="shared" si="2"/>
        <v>74287.40085</v>
      </c>
      <c r="X9" s="145">
        <f t="shared" si="2"/>
        <v>60814.1703</v>
      </c>
      <c r="Y9" s="145">
        <f t="shared" si="2"/>
        <v>80190.23415</v>
      </c>
      <c r="Z9" s="145">
        <f t="shared" si="2"/>
        <v>91557.11565</v>
      </c>
      <c r="AA9" s="145">
        <f t="shared" si="2"/>
        <v>102132.1977</v>
      </c>
      <c r="AB9" s="145">
        <f t="shared" si="2"/>
        <v>90562.17495</v>
      </c>
      <c r="AC9" s="145">
        <f t="shared" si="2"/>
        <v>70278.74685</v>
      </c>
      <c r="AD9" s="146">
        <f t="shared" si="2"/>
        <v>92369.68065</v>
      </c>
      <c r="AE9" s="145">
        <f t="shared" si="2"/>
        <v>104457.9393</v>
      </c>
      <c r="AF9" s="145">
        <f t="shared" si="2"/>
        <v>95931.4239</v>
      </c>
      <c r="AG9" s="145">
        <f t="shared" si="2"/>
        <v>111974.1656</v>
      </c>
      <c r="AH9" s="145">
        <f t="shared" si="2"/>
        <v>75696.7497</v>
      </c>
      <c r="AI9" s="145">
        <f t="shared" si="2"/>
        <v>76665.50775</v>
      </c>
      <c r="AJ9" s="145">
        <f t="shared" si="2"/>
        <v>108878.2929</v>
      </c>
      <c r="AK9" s="145">
        <f t="shared" si="2"/>
        <v>86587.82925</v>
      </c>
      <c r="AL9" s="145">
        <f t="shared" si="2"/>
        <v>112565.5323</v>
      </c>
      <c r="AM9" s="145">
        <f t="shared" si="2"/>
        <v>113407.8914</v>
      </c>
      <c r="AN9" s="145">
        <f t="shared" si="2"/>
        <v>104616.8409</v>
      </c>
      <c r="AO9" s="145" t="str">
        <f t="shared" si="2"/>
        <v>#DIV/0!</v>
      </c>
      <c r="AP9" s="145" t="str">
        <f t="shared" si="2"/>
        <v>#DIV/0!</v>
      </c>
      <c r="AQ9" s="145" t="str">
        <f t="shared" si="2"/>
        <v>#DIV/0!</v>
      </c>
      <c r="AR9" s="145" t="str">
        <f t="shared" si="2"/>
        <v>#DIV/0!</v>
      </c>
      <c r="AS9" s="145" t="str">
        <f t="shared" si="2"/>
        <v>#DIV/0!</v>
      </c>
      <c r="AT9" s="145" t="str">
        <f t="shared" si="2"/>
        <v>#DIV/0!</v>
      </c>
      <c r="AU9" s="145" t="str">
        <f t="shared" si="2"/>
        <v>#DIV/0!</v>
      </c>
      <c r="AV9" s="145" t="str">
        <f t="shared" si="2"/>
        <v>#DIV/0!</v>
      </c>
      <c r="AW9" s="145" t="str">
        <f t="shared" si="2"/>
        <v>#DIV/0!</v>
      </c>
      <c r="AX9" s="145" t="str">
        <f t="shared" si="2"/>
        <v>#DIV/0!</v>
      </c>
      <c r="AY9" s="145" t="str">
        <f t="shared" si="2"/>
        <v>#DIV/0!</v>
      </c>
      <c r="AZ9" s="149" t="str">
        <f t="shared" si="2"/>
        <v>#DIV/0!</v>
      </c>
    </row>
    <row r="10" ht="12.75" customHeight="1">
      <c r="A10" s="150" t="s">
        <v>70</v>
      </c>
      <c r="B10" s="89" t="s">
        <v>7</v>
      </c>
      <c r="C10" s="89" t="s">
        <v>7</v>
      </c>
      <c r="D10" s="89" t="s">
        <v>7</v>
      </c>
      <c r="E10" s="89" t="s">
        <v>7</v>
      </c>
      <c r="F10" s="89" t="s">
        <v>7</v>
      </c>
      <c r="G10" s="151">
        <f t="shared" ref="G10:AZ10" si="3">IF(G9="","",G9*$B16)</f>
        <v>83433.01928</v>
      </c>
      <c r="H10" s="152">
        <f t="shared" si="3"/>
        <v>106178.874</v>
      </c>
      <c r="I10" s="152">
        <f t="shared" si="3"/>
        <v>78377.30368</v>
      </c>
      <c r="J10" s="152">
        <f t="shared" si="3"/>
        <v>63632.13</v>
      </c>
      <c r="K10" s="152">
        <f t="shared" si="3"/>
        <v>88996.51804</v>
      </c>
      <c r="L10" s="152">
        <f t="shared" si="3"/>
        <v>74233.65156</v>
      </c>
      <c r="M10" s="152">
        <f t="shared" si="3"/>
        <v>93480.75642</v>
      </c>
      <c r="N10" s="152">
        <f t="shared" si="3"/>
        <v>70469.50985</v>
      </c>
      <c r="O10" s="152">
        <f t="shared" si="3"/>
        <v>104046.8924</v>
      </c>
      <c r="P10" s="152">
        <f t="shared" si="3"/>
        <v>62764.29851</v>
      </c>
      <c r="Q10" s="152">
        <f t="shared" si="3"/>
        <v>113313.4927</v>
      </c>
      <c r="R10" s="152">
        <f t="shared" si="3"/>
        <v>84835.17313</v>
      </c>
      <c r="S10" s="152">
        <f t="shared" si="3"/>
        <v>105221.6939</v>
      </c>
      <c r="T10" s="152">
        <f t="shared" si="3"/>
        <v>115620.6329</v>
      </c>
      <c r="U10" s="152">
        <f t="shared" si="3"/>
        <v>108784.1377</v>
      </c>
      <c r="V10" s="152">
        <f t="shared" si="3"/>
        <v>64817.54713</v>
      </c>
      <c r="W10" s="152">
        <f t="shared" si="3"/>
        <v>72789.03502</v>
      </c>
      <c r="X10" s="152">
        <f t="shared" si="3"/>
        <v>59587.55752</v>
      </c>
      <c r="Y10" s="152">
        <f t="shared" si="3"/>
        <v>78572.80905</v>
      </c>
      <c r="Z10" s="152">
        <f t="shared" si="3"/>
        <v>89710.42223</v>
      </c>
      <c r="AA10" s="152">
        <f t="shared" si="3"/>
        <v>100072.2065</v>
      </c>
      <c r="AB10" s="152">
        <f t="shared" si="3"/>
        <v>88735.54934</v>
      </c>
      <c r="AC10" s="152">
        <f t="shared" si="3"/>
        <v>68861.23497</v>
      </c>
      <c r="AD10" s="159">
        <f t="shared" si="3"/>
        <v>90506.59792</v>
      </c>
      <c r="AE10" s="152">
        <f t="shared" si="3"/>
        <v>102351.0382</v>
      </c>
      <c r="AF10" s="152">
        <f t="shared" si="3"/>
        <v>93996.50134</v>
      </c>
      <c r="AG10" s="152">
        <f t="shared" si="3"/>
        <v>109715.6633</v>
      </c>
      <c r="AH10" s="152">
        <f t="shared" si="3"/>
        <v>74169.95751</v>
      </c>
      <c r="AI10" s="152">
        <f t="shared" si="3"/>
        <v>75119.17585</v>
      </c>
      <c r="AJ10" s="152">
        <f t="shared" si="3"/>
        <v>106682.2339</v>
      </c>
      <c r="AK10" s="152">
        <f t="shared" si="3"/>
        <v>84841.3656</v>
      </c>
      <c r="AL10" s="152">
        <f t="shared" si="3"/>
        <v>110295.1022</v>
      </c>
      <c r="AM10" s="152">
        <f t="shared" si="3"/>
        <v>111120.471</v>
      </c>
      <c r="AN10" s="152">
        <f t="shared" si="3"/>
        <v>102506.7348</v>
      </c>
      <c r="AO10" s="152" t="str">
        <f t="shared" si="3"/>
        <v>#DIV/0!</v>
      </c>
      <c r="AP10" s="152" t="str">
        <f t="shared" si="3"/>
        <v>#DIV/0!</v>
      </c>
      <c r="AQ10" s="152" t="str">
        <f t="shared" si="3"/>
        <v>#DIV/0!</v>
      </c>
      <c r="AR10" s="152" t="str">
        <f t="shared" si="3"/>
        <v>#DIV/0!</v>
      </c>
      <c r="AS10" s="152" t="str">
        <f t="shared" si="3"/>
        <v>#DIV/0!</v>
      </c>
      <c r="AT10" s="152" t="str">
        <f t="shared" si="3"/>
        <v>#DIV/0!</v>
      </c>
      <c r="AU10" s="152" t="str">
        <f t="shared" si="3"/>
        <v>#DIV/0!</v>
      </c>
      <c r="AV10" s="152" t="str">
        <f t="shared" si="3"/>
        <v>#DIV/0!</v>
      </c>
      <c r="AW10" s="152" t="str">
        <f t="shared" si="3"/>
        <v>#DIV/0!</v>
      </c>
      <c r="AX10" s="152" t="str">
        <f t="shared" si="3"/>
        <v>#DIV/0!</v>
      </c>
      <c r="AY10" s="152" t="str">
        <f t="shared" si="3"/>
        <v>#DIV/0!</v>
      </c>
      <c r="AZ10" s="163" t="str">
        <f t="shared" si="3"/>
        <v>#DIV/0!</v>
      </c>
    </row>
    <row r="11" ht="12.75" customHeight="1">
      <c r="A11" s="165" t="s">
        <v>74</v>
      </c>
      <c r="B11" s="166" t="s">
        <v>7</v>
      </c>
      <c r="C11" s="166" t="s">
        <v>7</v>
      </c>
      <c r="D11" s="166" t="s">
        <v>7</v>
      </c>
      <c r="E11" s="166" t="s">
        <v>7</v>
      </c>
      <c r="F11" s="166" t="s">
        <v>7</v>
      </c>
      <c r="G11" s="168">
        <f t="shared" ref="G11:AZ11" si="4">IF(G9="","",G9*$B17)</f>
        <v>1717.47277</v>
      </c>
      <c r="H11" s="169">
        <f t="shared" si="4"/>
        <v>2185.697297</v>
      </c>
      <c r="I11" s="169">
        <f t="shared" si="4"/>
        <v>1613.400618</v>
      </c>
      <c r="J11" s="169">
        <f t="shared" si="4"/>
        <v>1309.870498</v>
      </c>
      <c r="K11" s="169">
        <f t="shared" si="4"/>
        <v>1831.997663</v>
      </c>
      <c r="L11" s="169">
        <f t="shared" si="4"/>
        <v>1528.103337</v>
      </c>
      <c r="M11" s="169">
        <f t="shared" si="4"/>
        <v>1924.305929</v>
      </c>
      <c r="N11" s="169">
        <f t="shared" si="4"/>
        <v>1450.618296</v>
      </c>
      <c r="O11" s="169">
        <f t="shared" si="4"/>
        <v>2141.810353</v>
      </c>
      <c r="P11" s="169">
        <f t="shared" si="4"/>
        <v>1292.006145</v>
      </c>
      <c r="Q11" s="169">
        <f t="shared" si="4"/>
        <v>2332.563772</v>
      </c>
      <c r="R11" s="169">
        <f t="shared" si="4"/>
        <v>1746.336175</v>
      </c>
      <c r="S11" s="169">
        <f t="shared" si="4"/>
        <v>2165.993698</v>
      </c>
      <c r="T11" s="169">
        <f t="shared" si="4"/>
        <v>2380.056366</v>
      </c>
      <c r="U11" s="169">
        <f t="shared" si="4"/>
        <v>2239.326779</v>
      </c>
      <c r="V11" s="169">
        <f t="shared" si="4"/>
        <v>1334.272368</v>
      </c>
      <c r="W11" s="169">
        <f t="shared" si="4"/>
        <v>1498.365835</v>
      </c>
      <c r="X11" s="169">
        <f t="shared" si="4"/>
        <v>1226.612777</v>
      </c>
      <c r="Y11" s="169">
        <f t="shared" si="4"/>
        <v>1617.425105</v>
      </c>
      <c r="Z11" s="169">
        <f t="shared" si="4"/>
        <v>1846.693415</v>
      </c>
      <c r="AA11" s="169">
        <f t="shared" si="4"/>
        <v>2059.991249</v>
      </c>
      <c r="AB11" s="169">
        <f t="shared" si="4"/>
        <v>1826.625609</v>
      </c>
      <c r="AC11" s="169">
        <f t="shared" si="4"/>
        <v>1417.511879</v>
      </c>
      <c r="AD11" s="173">
        <f t="shared" si="4"/>
        <v>1863.082731</v>
      </c>
      <c r="AE11" s="175">
        <f t="shared" si="4"/>
        <v>2106.901111</v>
      </c>
      <c r="AF11" s="175">
        <f t="shared" si="4"/>
        <v>1934.922563</v>
      </c>
      <c r="AG11" s="175">
        <f t="shared" si="4"/>
        <v>2258.502278</v>
      </c>
      <c r="AH11" s="175">
        <f t="shared" si="4"/>
        <v>1526.792191</v>
      </c>
      <c r="AI11" s="175">
        <f t="shared" si="4"/>
        <v>1546.331897</v>
      </c>
      <c r="AJ11" s="175">
        <f t="shared" si="4"/>
        <v>2196.058986</v>
      </c>
      <c r="AK11" s="175">
        <f t="shared" si="4"/>
        <v>1746.463647</v>
      </c>
      <c r="AL11" s="175">
        <f t="shared" si="4"/>
        <v>2270.430057</v>
      </c>
      <c r="AM11" s="175">
        <f t="shared" si="4"/>
        <v>2287.420314</v>
      </c>
      <c r="AN11" s="175">
        <f t="shared" si="4"/>
        <v>2110.106133</v>
      </c>
      <c r="AO11" s="175" t="str">
        <f t="shared" si="4"/>
        <v>#DIV/0!</v>
      </c>
      <c r="AP11" s="175" t="str">
        <f t="shared" si="4"/>
        <v>#DIV/0!</v>
      </c>
      <c r="AQ11" s="175" t="str">
        <f t="shared" si="4"/>
        <v>#DIV/0!</v>
      </c>
      <c r="AR11" s="175" t="str">
        <f t="shared" si="4"/>
        <v>#DIV/0!</v>
      </c>
      <c r="AS11" s="175" t="str">
        <f t="shared" si="4"/>
        <v>#DIV/0!</v>
      </c>
      <c r="AT11" s="175" t="str">
        <f t="shared" si="4"/>
        <v>#DIV/0!</v>
      </c>
      <c r="AU11" s="175" t="str">
        <f t="shared" si="4"/>
        <v>#DIV/0!</v>
      </c>
      <c r="AV11" s="175" t="str">
        <f t="shared" si="4"/>
        <v>#DIV/0!</v>
      </c>
      <c r="AW11" s="175" t="str">
        <f t="shared" si="4"/>
        <v>#DIV/0!</v>
      </c>
      <c r="AX11" s="175" t="str">
        <f t="shared" si="4"/>
        <v>#DIV/0!</v>
      </c>
      <c r="AY11" s="175" t="str">
        <f t="shared" si="4"/>
        <v>#DIV/0!</v>
      </c>
      <c r="AZ11" s="179" t="str">
        <f t="shared" si="4"/>
        <v>#DIV/0!</v>
      </c>
    </row>
    <row r="12" ht="12.75" customHeight="1">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row>
    <row r="13" ht="12.75" customHeight="1">
      <c r="A13" s="89"/>
      <c r="B13" s="182" t="s">
        <v>77</v>
      </c>
      <c r="C13" s="183"/>
      <c r="D13" s="89"/>
      <c r="E13" s="184"/>
      <c r="G13" s="185"/>
      <c r="H13" s="186" t="s">
        <v>82</v>
      </c>
      <c r="I13" s="183"/>
      <c r="J13" s="186" t="s">
        <v>86</v>
      </c>
      <c r="K13" s="183"/>
      <c r="L13" s="186" t="s">
        <v>87</v>
      </c>
      <c r="M13" s="1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row>
    <row r="14" ht="14.25" customHeight="1">
      <c r="A14" s="89"/>
      <c r="B14" s="187" t="s">
        <v>89</v>
      </c>
      <c r="C14" s="187" t="s">
        <v>91</v>
      </c>
      <c r="D14" s="89">
        <f>D17/(D17+D16)</f>
        <v>0.06480911158</v>
      </c>
      <c r="E14" s="184" t="s">
        <v>94</v>
      </c>
      <c r="G14" s="185"/>
      <c r="H14" s="182">
        <v>4.0</v>
      </c>
      <c r="I14" s="183"/>
      <c r="J14" s="182">
        <v>12.0</v>
      </c>
      <c r="K14" s="183"/>
      <c r="L14" s="182">
        <v>8.0</v>
      </c>
      <c r="M14" s="1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row>
    <row r="15" ht="14.25" customHeight="1">
      <c r="A15" s="188" t="s">
        <v>98</v>
      </c>
      <c r="B15" s="187">
        <v>1.8057</v>
      </c>
      <c r="C15" s="187">
        <v>0.0</v>
      </c>
      <c r="D15" s="89"/>
      <c r="E15" s="184" t="s">
        <v>101</v>
      </c>
      <c r="G15" s="185"/>
      <c r="H15" s="189" t="s">
        <v>7</v>
      </c>
      <c r="I15" s="183"/>
      <c r="J15" s="189">
        <v>91209.0</v>
      </c>
      <c r="K15" s="183"/>
      <c r="L15" s="189" t="s">
        <v>7</v>
      </c>
      <c r="M15" s="1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row>
    <row r="16" ht="14.25" customHeight="1">
      <c r="A16" s="188" t="s">
        <v>103</v>
      </c>
      <c r="B16" s="194">
        <f>92300/(92300+1900)</f>
        <v>0.9798301486</v>
      </c>
      <c r="C16" s="183"/>
      <c r="D16" s="89">
        <v>83506.0</v>
      </c>
      <c r="E16" s="184" t="s">
        <v>67</v>
      </c>
      <c r="G16" s="185"/>
      <c r="H16" s="189" t="s">
        <v>7</v>
      </c>
      <c r="I16" s="183"/>
      <c r="J16" s="189">
        <f>AVERAGE(G9:AD9)</f>
        <v>87899.63268</v>
      </c>
      <c r="K16" s="183"/>
      <c r="L16" s="189" t="s">
        <v>7</v>
      </c>
      <c r="M16" s="1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row>
    <row r="17" ht="14.25" customHeight="1">
      <c r="A17" s="188" t="s">
        <v>107</v>
      </c>
      <c r="B17" s="194">
        <f>1900/(92300+1900)</f>
        <v>0.02016985138</v>
      </c>
      <c r="C17" s="183"/>
      <c r="D17" s="89">
        <f>5686+101</f>
        <v>5787</v>
      </c>
      <c r="E17" s="184" t="s">
        <v>108</v>
      </c>
      <c r="G17" s="185"/>
      <c r="H17" s="189" t="s">
        <v>7</v>
      </c>
      <c r="I17" s="183"/>
      <c r="J17" s="198">
        <f>J16/J$15-1</f>
        <v>-0.03628334176</v>
      </c>
      <c r="K17" s="183"/>
      <c r="L17" s="189" t="s">
        <v>7</v>
      </c>
      <c r="M17" s="1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row>
    <row r="18" ht="12.75" customHeight="1">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row>
    <row r="19" ht="12.75" customHeight="1">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row>
    <row r="20" ht="12.75" customHeight="1">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row>
    <row r="21" ht="12.75" customHeight="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row>
    <row r="22" ht="12.75" customHeight="1">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row>
    <row r="23" ht="12.75" customHeight="1">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row>
    <row r="24" ht="12.75" customHeight="1">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row>
    <row r="25" ht="12.75" customHeight="1">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row>
    <row r="26" ht="12.75" customHeight="1">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row>
    <row r="27" ht="12.75" customHeight="1">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row>
    <row r="28" ht="12.75" customHeight="1">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row>
    <row r="29" ht="12.75" customHeight="1">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row>
    <row r="30" ht="12.75" customHeight="1">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row>
    <row r="31" ht="12.75" customHeight="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row>
    <row r="32" ht="12.75" customHeight="1">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row>
    <row r="33" ht="12.75" customHeight="1">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row>
    <row r="34" ht="12.75" customHeight="1">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row>
    <row r="35" ht="12.75" customHeight="1">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row>
    <row r="36" ht="12.75" customHeight="1">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row>
    <row r="37" ht="12.75" customHeight="1">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row>
    <row r="38" ht="12.75" customHeight="1">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row>
    <row r="39" ht="12.75" customHeight="1">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row>
    <row r="40" ht="12.75" customHeight="1">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row>
    <row r="41" ht="12.75" customHeight="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row>
    <row r="42" ht="12.75" customHeight="1">
      <c r="A42" s="91" t="s">
        <v>9</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2"/>
    </row>
    <row r="43" ht="12.75" customHeight="1">
      <c r="A43" s="93" t="s">
        <v>53</v>
      </c>
      <c r="B43" s="94">
        <v>1980.0</v>
      </c>
      <c r="C43" s="94">
        <v>1981.0</v>
      </c>
      <c r="D43" s="94">
        <v>1982.0</v>
      </c>
      <c r="E43" s="94">
        <v>1983.0</v>
      </c>
      <c r="F43" s="94">
        <v>1984.0</v>
      </c>
      <c r="G43" s="95">
        <v>1985.0</v>
      </c>
      <c r="H43" s="96">
        <v>1986.0</v>
      </c>
      <c r="I43" s="96">
        <v>1987.0</v>
      </c>
      <c r="J43" s="96">
        <v>1988.0</v>
      </c>
      <c r="K43" s="96">
        <v>1989.0</v>
      </c>
      <c r="L43" s="96">
        <v>1990.0</v>
      </c>
      <c r="M43" s="96">
        <v>1991.0</v>
      </c>
      <c r="N43" s="96">
        <v>1992.0</v>
      </c>
      <c r="O43" s="96">
        <v>1993.0</v>
      </c>
      <c r="P43" s="96">
        <v>1994.0</v>
      </c>
      <c r="Q43" s="96">
        <v>1995.0</v>
      </c>
      <c r="R43" s="96">
        <v>1996.0</v>
      </c>
      <c r="S43" s="96">
        <v>1997.0</v>
      </c>
      <c r="T43" s="96">
        <v>1998.0</v>
      </c>
      <c r="U43" s="96">
        <v>1999.0</v>
      </c>
      <c r="V43" s="96">
        <v>2000.0</v>
      </c>
      <c r="W43" s="96">
        <v>2001.0</v>
      </c>
      <c r="X43" s="96">
        <v>2002.0</v>
      </c>
      <c r="Y43" s="96">
        <v>2003.0</v>
      </c>
      <c r="Z43" s="96">
        <v>2004.0</v>
      </c>
      <c r="AA43" s="96">
        <v>2005.0</v>
      </c>
      <c r="AB43" s="96">
        <v>2006.0</v>
      </c>
      <c r="AC43" s="96">
        <v>2007.0</v>
      </c>
      <c r="AD43" s="96">
        <v>2008.0</v>
      </c>
      <c r="AE43" s="96">
        <v>2009.0</v>
      </c>
      <c r="AF43" s="96">
        <v>2010.0</v>
      </c>
      <c r="AG43" s="96">
        <v>2011.0</v>
      </c>
      <c r="AH43" s="96">
        <v>2012.0</v>
      </c>
      <c r="AI43" s="96">
        <v>2013.0</v>
      </c>
      <c r="AJ43" s="96">
        <v>2014.0</v>
      </c>
      <c r="AK43" s="96">
        <v>2015.0</v>
      </c>
      <c r="AL43" s="96">
        <v>2016.0</v>
      </c>
      <c r="AM43" s="96">
        <v>2017.0</v>
      </c>
      <c r="AN43" s="97">
        <v>2018.0</v>
      </c>
      <c r="AO43" s="94">
        <v>2019.0</v>
      </c>
      <c r="AP43" s="94">
        <v>2020.0</v>
      </c>
      <c r="AQ43" s="94">
        <v>2021.0</v>
      </c>
      <c r="AR43" s="94">
        <v>2022.0</v>
      </c>
      <c r="AS43" s="94">
        <v>2023.0</v>
      </c>
      <c r="AT43" s="94">
        <v>2024.0</v>
      </c>
      <c r="AU43" s="94">
        <v>2025.0</v>
      </c>
      <c r="AV43" s="94">
        <v>2026.0</v>
      </c>
      <c r="AW43" s="94">
        <v>2027.0</v>
      </c>
      <c r="AX43" s="94">
        <v>2028.0</v>
      </c>
      <c r="AY43" s="94">
        <v>2029.0</v>
      </c>
      <c r="AZ43" s="99">
        <v>2030.0</v>
      </c>
    </row>
    <row r="44" ht="12.75" customHeight="1">
      <c r="A44" s="205" t="s">
        <v>55</v>
      </c>
      <c r="B44" s="206" t="s">
        <v>56</v>
      </c>
      <c r="C44" s="207" t="s">
        <v>58</v>
      </c>
      <c r="D44" s="208" t="s">
        <v>57</v>
      </c>
      <c r="E44" s="208" t="s">
        <v>57</v>
      </c>
      <c r="F44" s="208" t="s">
        <v>57</v>
      </c>
      <c r="G44" s="209" t="s">
        <v>56</v>
      </c>
      <c r="H44" s="208" t="s">
        <v>57</v>
      </c>
      <c r="I44" s="206" t="s">
        <v>56</v>
      </c>
      <c r="J44" s="207" t="s">
        <v>58</v>
      </c>
      <c r="K44" s="206" t="s">
        <v>56</v>
      </c>
      <c r="L44" s="207" t="s">
        <v>58</v>
      </c>
      <c r="M44" s="206" t="s">
        <v>56</v>
      </c>
      <c r="N44" s="207" t="s">
        <v>58</v>
      </c>
      <c r="O44" s="206" t="s">
        <v>56</v>
      </c>
      <c r="P44" s="207" t="s">
        <v>58</v>
      </c>
      <c r="Q44" s="206" t="s">
        <v>56</v>
      </c>
      <c r="R44" s="206" t="s">
        <v>56</v>
      </c>
      <c r="S44" s="208" t="s">
        <v>57</v>
      </c>
      <c r="T44" s="206" t="s">
        <v>56</v>
      </c>
      <c r="U44" s="206" t="s">
        <v>56</v>
      </c>
      <c r="V44" s="206" t="s">
        <v>56</v>
      </c>
      <c r="W44" s="207" t="s">
        <v>58</v>
      </c>
      <c r="X44" s="207" t="s">
        <v>58</v>
      </c>
      <c r="Y44" s="206" t="s">
        <v>56</v>
      </c>
      <c r="Z44" s="207" t="s">
        <v>58</v>
      </c>
      <c r="AA44" s="206" t="s">
        <v>56</v>
      </c>
      <c r="AB44" s="206" t="s">
        <v>56</v>
      </c>
      <c r="AC44" s="207" t="s">
        <v>58</v>
      </c>
      <c r="AD44" s="206" t="s">
        <v>56</v>
      </c>
      <c r="AE44" s="208" t="s">
        <v>57</v>
      </c>
      <c r="AF44" s="207" t="s">
        <v>58</v>
      </c>
      <c r="AG44" s="208" t="s">
        <v>57</v>
      </c>
      <c r="AH44" s="206" t="s">
        <v>56</v>
      </c>
      <c r="AI44" s="207" t="s">
        <v>58</v>
      </c>
      <c r="AJ44" s="208" t="s">
        <v>57</v>
      </c>
      <c r="AK44" s="206" t="s">
        <v>56</v>
      </c>
      <c r="AL44" s="206" t="s">
        <v>56</v>
      </c>
      <c r="AM44" s="208" t="s">
        <v>57</v>
      </c>
      <c r="AN44" s="210" t="s">
        <v>56</v>
      </c>
      <c r="AO44" s="211" t="s">
        <v>4</v>
      </c>
      <c r="AP44" s="211" t="s">
        <v>4</v>
      </c>
      <c r="AQ44" s="211" t="s">
        <v>4</v>
      </c>
      <c r="AR44" s="211" t="s">
        <v>4</v>
      </c>
      <c r="AS44" s="211" t="s">
        <v>4</v>
      </c>
      <c r="AT44" s="211" t="s">
        <v>4</v>
      </c>
      <c r="AU44" s="211" t="s">
        <v>4</v>
      </c>
      <c r="AV44" s="211" t="s">
        <v>4</v>
      </c>
      <c r="AW44" s="211" t="s">
        <v>4</v>
      </c>
      <c r="AX44" s="211" t="s">
        <v>4</v>
      </c>
      <c r="AY44" s="211" t="s">
        <v>4</v>
      </c>
      <c r="AZ44" s="212" t="s">
        <v>4</v>
      </c>
    </row>
    <row r="45" ht="12.75" customHeight="1">
      <c r="A45" s="107" t="s">
        <v>59</v>
      </c>
      <c r="B45" s="108">
        <v>396245.5</v>
      </c>
      <c r="C45" s="108">
        <v>370852.0</v>
      </c>
      <c r="D45" s="108">
        <v>421639.0</v>
      </c>
      <c r="E45" s="108">
        <v>421639.0</v>
      </c>
      <c r="F45" s="108">
        <v>421639.0</v>
      </c>
      <c r="G45" s="109">
        <v>396245.5</v>
      </c>
      <c r="H45" s="108">
        <v>421639.0</v>
      </c>
      <c r="I45" s="108">
        <v>396245.5</v>
      </c>
      <c r="J45" s="108">
        <v>370852.0</v>
      </c>
      <c r="K45" s="108">
        <v>396245.5</v>
      </c>
      <c r="L45" s="108">
        <v>370852.0</v>
      </c>
      <c r="M45" s="108">
        <v>396245.5</v>
      </c>
      <c r="N45" s="108">
        <v>370852.0</v>
      </c>
      <c r="O45" s="108">
        <v>396245.5</v>
      </c>
      <c r="P45" s="108">
        <v>370852.0</v>
      </c>
      <c r="Q45" s="108">
        <v>396245.5</v>
      </c>
      <c r="R45" s="108">
        <v>396245.5</v>
      </c>
      <c r="S45" s="108">
        <v>421639.0</v>
      </c>
      <c r="T45" s="108">
        <v>396245.5</v>
      </c>
      <c r="U45" s="108">
        <v>396245.5</v>
      </c>
      <c r="V45" s="108">
        <v>396245.5</v>
      </c>
      <c r="W45" s="108">
        <v>370852.0</v>
      </c>
      <c r="X45" s="108">
        <v>370852.0</v>
      </c>
      <c r="Y45" s="108">
        <v>396245.5</v>
      </c>
      <c r="Z45" s="108">
        <v>370852.0</v>
      </c>
      <c r="AA45" s="108">
        <v>396245.5</v>
      </c>
      <c r="AB45" s="108">
        <v>396245.5</v>
      </c>
      <c r="AC45" s="108">
        <v>370852.0</v>
      </c>
      <c r="AD45" s="108">
        <v>396245.5</v>
      </c>
      <c r="AE45" s="108">
        <v>421639.0</v>
      </c>
      <c r="AF45" s="108">
        <v>370852.0</v>
      </c>
      <c r="AG45" s="108">
        <v>421639.0</v>
      </c>
      <c r="AH45" s="108">
        <v>396245.5</v>
      </c>
      <c r="AI45" s="108">
        <v>370852.0</v>
      </c>
      <c r="AJ45" s="108">
        <v>421639.0</v>
      </c>
      <c r="AK45" s="108">
        <v>396245.5</v>
      </c>
      <c r="AL45" s="108">
        <v>396245.5</v>
      </c>
      <c r="AM45" s="108">
        <v>421639.0</v>
      </c>
      <c r="AN45" s="110">
        <v>396245.5</v>
      </c>
      <c r="AO45" s="108" t="s">
        <v>7</v>
      </c>
      <c r="AP45" s="108" t="s">
        <v>7</v>
      </c>
      <c r="AQ45" s="108" t="s">
        <v>7</v>
      </c>
      <c r="AR45" s="108" t="s">
        <v>7</v>
      </c>
      <c r="AS45" s="108" t="s">
        <v>7</v>
      </c>
      <c r="AT45" s="108" t="s">
        <v>7</v>
      </c>
      <c r="AU45" s="108" t="s">
        <v>7</v>
      </c>
      <c r="AV45" s="108" t="s">
        <v>7</v>
      </c>
      <c r="AW45" s="108" t="s">
        <v>7</v>
      </c>
      <c r="AX45" s="108" t="s">
        <v>7</v>
      </c>
      <c r="AY45" s="108" t="s">
        <v>7</v>
      </c>
      <c r="AZ45" s="116" t="s">
        <v>7</v>
      </c>
    </row>
    <row r="46" ht="12.75" customHeight="1">
      <c r="A46" s="117" t="s">
        <v>1</v>
      </c>
      <c r="B46" s="118"/>
      <c r="C46" s="118"/>
      <c r="D46" s="118"/>
      <c r="E46" s="118"/>
      <c r="F46" s="118"/>
      <c r="G46" s="119"/>
      <c r="H46" s="118"/>
      <c r="I46" s="118"/>
      <c r="J46" s="118"/>
      <c r="K46" s="118"/>
      <c r="L46" s="118"/>
      <c r="M46" s="118"/>
      <c r="N46" s="118"/>
      <c r="O46" s="118"/>
      <c r="P46" s="118"/>
      <c r="Q46" s="118"/>
      <c r="R46" s="118"/>
      <c r="S46" s="118"/>
      <c r="T46" s="118"/>
      <c r="U46" s="118"/>
      <c r="V46" s="118"/>
      <c r="W46" s="118"/>
      <c r="X46" s="118"/>
      <c r="Y46" s="118"/>
      <c r="Z46" s="118"/>
      <c r="AA46" s="118"/>
      <c r="AB46" s="118"/>
      <c r="AC46" s="118"/>
      <c r="AD46" s="118"/>
      <c r="AE46" s="118"/>
      <c r="AF46" s="118"/>
      <c r="AG46" s="118"/>
      <c r="AH46" s="118"/>
      <c r="AI46" s="118"/>
      <c r="AJ46" s="118"/>
      <c r="AK46" s="118"/>
      <c r="AL46" s="118"/>
      <c r="AM46" s="118"/>
      <c r="AN46" s="121"/>
      <c r="AO46" s="118"/>
      <c r="AP46" s="118"/>
      <c r="AQ46" s="118"/>
      <c r="AR46" s="118"/>
      <c r="AS46" s="118"/>
      <c r="AT46" s="118"/>
      <c r="AU46" s="118"/>
      <c r="AV46" s="118"/>
      <c r="AW46" s="118"/>
      <c r="AX46" s="118"/>
      <c r="AY46" s="118"/>
      <c r="AZ46" s="122"/>
    </row>
    <row r="47" ht="12.75" customHeight="1">
      <c r="A47" s="123" t="s">
        <v>62</v>
      </c>
      <c r="B47" s="213" t="s">
        <v>7</v>
      </c>
      <c r="C47" s="213" t="s">
        <v>7</v>
      </c>
      <c r="D47" s="213" t="s">
        <v>7</v>
      </c>
      <c r="E47" s="213" t="s">
        <v>7</v>
      </c>
      <c r="F47" s="213" t="s">
        <v>7</v>
      </c>
      <c r="G47" s="125">
        <f>'NDVI Acreage'!H8</f>
        <v>219928</v>
      </c>
      <c r="H47" s="127">
        <f>'NDVI Acreage'!I8</f>
        <v>282055</v>
      </c>
      <c r="I47" s="127">
        <f>'NDVI Acreage'!J8</f>
        <v>207701.5</v>
      </c>
      <c r="J47" s="127">
        <f>'NDVI Acreage'!K8</f>
        <v>157582</v>
      </c>
      <c r="K47" s="127">
        <f>'NDVI Acreage'!L8</f>
        <v>269841</v>
      </c>
      <c r="L47" s="127">
        <f>'NDVI Acreage'!M8</f>
        <v>198235</v>
      </c>
      <c r="M47" s="127">
        <f>'NDVI Acreage'!N8</f>
        <v>255999.5</v>
      </c>
      <c r="N47" s="127">
        <f>'NDVI Acreage'!O8</f>
        <v>141867.5</v>
      </c>
      <c r="O47" s="127">
        <f>'NDVI Acreage'!P8</f>
        <v>276754</v>
      </c>
      <c r="P47" s="127">
        <f>'NDVI Acreage'!Q8</f>
        <v>165704.5</v>
      </c>
      <c r="Q47" s="127">
        <f>'NDVI Acreage'!R8</f>
        <v>296358.5</v>
      </c>
      <c r="R47" s="127">
        <f>'NDVI Acreage'!S8</f>
        <v>286416</v>
      </c>
      <c r="S47" s="127">
        <f>'NDVI Acreage'!T8</f>
        <v>282674.5</v>
      </c>
      <c r="T47" s="127">
        <f>'NDVI Acreage'!U8</f>
        <v>329717</v>
      </c>
      <c r="U47" s="127">
        <f>'NDVI Acreage'!V8</f>
        <v>281715.5</v>
      </c>
      <c r="V47" s="127">
        <f>'NDVI Acreage'!W8</f>
        <v>177582</v>
      </c>
      <c r="W47" s="127">
        <f>'NDVI Acreage'!X8</f>
        <v>199319.5</v>
      </c>
      <c r="X47" s="127">
        <f>'NDVI Acreage'!Y8</f>
        <v>154349.5</v>
      </c>
      <c r="Y47" s="127">
        <f>'NDVI Acreage'!Z8</f>
        <v>234055.5</v>
      </c>
      <c r="Z47" s="127">
        <f>'NDVI Acreage'!AA8</f>
        <v>253559</v>
      </c>
      <c r="AA47" s="127">
        <f>'NDVI Acreage'!AB8</f>
        <v>269754.5</v>
      </c>
      <c r="AB47" s="127">
        <f>'NDVI Acreage'!AC8</f>
        <v>227123</v>
      </c>
      <c r="AC47" s="127">
        <f>'NDVI Acreage'!AD8</f>
        <v>179788</v>
      </c>
      <c r="AD47" s="127">
        <f>'NDVI Acreage'!AE8</f>
        <v>242882</v>
      </c>
      <c r="AE47" s="127">
        <f>'NDVI Acreage'!AF8</f>
        <v>281846</v>
      </c>
      <c r="AF47" s="127">
        <f>'NDVI Acreage'!AG8</f>
        <v>253044</v>
      </c>
      <c r="AG47" s="127">
        <f>'NDVI Acreage'!AH8</f>
        <v>290193.5</v>
      </c>
      <c r="AH47" s="127">
        <f>'NDVI Acreage'!AI8</f>
        <v>178008.5</v>
      </c>
      <c r="AI47" s="127">
        <f>'NDVI Acreage'!AJ8</f>
        <v>203977</v>
      </c>
      <c r="AJ47" s="127">
        <f>'NDVI Acreage'!AK8</f>
        <v>301968</v>
      </c>
      <c r="AK47" s="127">
        <f>'NDVI Acreage'!AL8</f>
        <v>252396.5</v>
      </c>
      <c r="AL47" s="127">
        <f>'NDVI Acreage'!AM8</f>
        <v>298022.5</v>
      </c>
      <c r="AM47" s="127">
        <f>'NDVI Acreage'!AN8</f>
        <v>331155.5</v>
      </c>
      <c r="AN47" s="133">
        <f>'NDVI Acreage'!AO8</f>
        <v>304349</v>
      </c>
      <c r="AO47" s="127" t="str">
        <f>'NDVI Acreage'!AP8</f>
        <v>#DIV/0!</v>
      </c>
      <c r="AP47" s="127" t="str">
        <f>'NDVI Acreage'!AQ8</f>
        <v>#DIV/0!</v>
      </c>
      <c r="AQ47" s="127" t="str">
        <f>'NDVI Acreage'!AR8</f>
        <v>#DIV/0!</v>
      </c>
      <c r="AR47" s="127" t="str">
        <f>'NDVI Acreage'!AS8</f>
        <v>#DIV/0!</v>
      </c>
      <c r="AS47" s="127" t="str">
        <f>'NDVI Acreage'!AT8</f>
        <v>#DIV/0!</v>
      </c>
      <c r="AT47" s="127" t="str">
        <f>'NDVI Acreage'!AU8</f>
        <v>#DIV/0!</v>
      </c>
      <c r="AU47" s="127" t="str">
        <f>'NDVI Acreage'!AV8</f>
        <v>#DIV/0!</v>
      </c>
      <c r="AV47" s="127" t="str">
        <f>'NDVI Acreage'!AW8</f>
        <v>#DIV/0!</v>
      </c>
      <c r="AW47" s="127" t="str">
        <f>'NDVI Acreage'!AX8</f>
        <v>#DIV/0!</v>
      </c>
      <c r="AX47" s="127" t="str">
        <f>'NDVI Acreage'!AY8</f>
        <v>#DIV/0!</v>
      </c>
      <c r="AY47" s="127" t="str">
        <f>'NDVI Acreage'!AZ8</f>
        <v>#DIV/0!</v>
      </c>
      <c r="AZ47" s="139" t="str">
        <f>'NDVI Acreage'!BA8</f>
        <v>#DIV/0!</v>
      </c>
    </row>
    <row r="48" ht="12.75" customHeight="1">
      <c r="A48" s="141" t="s">
        <v>67</v>
      </c>
      <c r="B48" s="218" t="s">
        <v>7</v>
      </c>
      <c r="C48" s="218" t="s">
        <v>7</v>
      </c>
      <c r="D48" s="218" t="s">
        <v>7</v>
      </c>
      <c r="E48" s="218" t="s">
        <v>7</v>
      </c>
      <c r="F48" s="218" t="s">
        <v>7</v>
      </c>
      <c r="G48" s="144">
        <f t="shared" ref="G48:AZ48" si="5">G47*$B$54</f>
        <v>354633.9</v>
      </c>
      <c r="H48" s="145">
        <f t="shared" si="5"/>
        <v>454813.6875</v>
      </c>
      <c r="I48" s="145">
        <f t="shared" si="5"/>
        <v>334918.6688</v>
      </c>
      <c r="J48" s="145">
        <f t="shared" si="5"/>
        <v>254100.975</v>
      </c>
      <c r="K48" s="145">
        <f t="shared" si="5"/>
        <v>435118.6125</v>
      </c>
      <c r="L48" s="145">
        <f t="shared" si="5"/>
        <v>319653.9375</v>
      </c>
      <c r="M48" s="145">
        <f t="shared" si="5"/>
        <v>412799.1938</v>
      </c>
      <c r="N48" s="145">
        <f t="shared" si="5"/>
        <v>228761.3438</v>
      </c>
      <c r="O48" s="145">
        <f t="shared" si="5"/>
        <v>446265.825</v>
      </c>
      <c r="P48" s="145">
        <f t="shared" si="5"/>
        <v>267198.5063</v>
      </c>
      <c r="Q48" s="145">
        <f t="shared" si="5"/>
        <v>477878.0813</v>
      </c>
      <c r="R48" s="145">
        <f t="shared" si="5"/>
        <v>461845.8</v>
      </c>
      <c r="S48" s="145">
        <f t="shared" si="5"/>
        <v>455812.6313</v>
      </c>
      <c r="T48" s="145">
        <f t="shared" si="5"/>
        <v>531668.6625</v>
      </c>
      <c r="U48" s="145">
        <f t="shared" si="5"/>
        <v>454266.2438</v>
      </c>
      <c r="V48" s="145">
        <f t="shared" si="5"/>
        <v>286350.975</v>
      </c>
      <c r="W48" s="145">
        <f t="shared" si="5"/>
        <v>321402.6938</v>
      </c>
      <c r="X48" s="145">
        <f t="shared" si="5"/>
        <v>248888.5688</v>
      </c>
      <c r="Y48" s="145">
        <f t="shared" si="5"/>
        <v>377414.4938</v>
      </c>
      <c r="Z48" s="145">
        <f t="shared" si="5"/>
        <v>408863.8875</v>
      </c>
      <c r="AA48" s="145">
        <f t="shared" si="5"/>
        <v>434979.1313</v>
      </c>
      <c r="AB48" s="145">
        <f t="shared" si="5"/>
        <v>366235.8375</v>
      </c>
      <c r="AC48" s="145">
        <f t="shared" si="5"/>
        <v>289908.15</v>
      </c>
      <c r="AD48" s="145">
        <f t="shared" si="5"/>
        <v>391647.225</v>
      </c>
      <c r="AE48" s="145">
        <f t="shared" si="5"/>
        <v>454476.675</v>
      </c>
      <c r="AF48" s="145">
        <f t="shared" si="5"/>
        <v>408033.45</v>
      </c>
      <c r="AG48" s="145">
        <f t="shared" si="5"/>
        <v>467937.0188</v>
      </c>
      <c r="AH48" s="145">
        <f t="shared" si="5"/>
        <v>287038.7063</v>
      </c>
      <c r="AI48" s="145">
        <f t="shared" si="5"/>
        <v>328912.9125</v>
      </c>
      <c r="AJ48" s="145">
        <f t="shared" si="5"/>
        <v>486923.4</v>
      </c>
      <c r="AK48" s="145">
        <f t="shared" si="5"/>
        <v>406989.3563</v>
      </c>
      <c r="AL48" s="145">
        <f t="shared" si="5"/>
        <v>480561.2813</v>
      </c>
      <c r="AM48" s="145">
        <f t="shared" si="5"/>
        <v>533988.2438</v>
      </c>
      <c r="AN48" s="146">
        <f t="shared" si="5"/>
        <v>490762.7625</v>
      </c>
      <c r="AO48" s="145" t="str">
        <f t="shared" si="5"/>
        <v>#DIV/0!</v>
      </c>
      <c r="AP48" s="145" t="str">
        <f t="shared" si="5"/>
        <v>#DIV/0!</v>
      </c>
      <c r="AQ48" s="145" t="str">
        <f t="shared" si="5"/>
        <v>#DIV/0!</v>
      </c>
      <c r="AR48" s="145" t="str">
        <f t="shared" si="5"/>
        <v>#DIV/0!</v>
      </c>
      <c r="AS48" s="145" t="str">
        <f t="shared" si="5"/>
        <v>#DIV/0!</v>
      </c>
      <c r="AT48" s="145" t="str">
        <f t="shared" si="5"/>
        <v>#DIV/0!</v>
      </c>
      <c r="AU48" s="145" t="str">
        <f t="shared" si="5"/>
        <v>#DIV/0!</v>
      </c>
      <c r="AV48" s="145" t="str">
        <f t="shared" si="5"/>
        <v>#DIV/0!</v>
      </c>
      <c r="AW48" s="145" t="str">
        <f t="shared" si="5"/>
        <v>#DIV/0!</v>
      </c>
      <c r="AX48" s="145" t="str">
        <f t="shared" si="5"/>
        <v>#DIV/0!</v>
      </c>
      <c r="AY48" s="145" t="str">
        <f t="shared" si="5"/>
        <v>#DIV/0!</v>
      </c>
      <c r="AZ48" s="149" t="str">
        <f t="shared" si="5"/>
        <v>#DIV/0!</v>
      </c>
    </row>
    <row r="49" ht="12.75" customHeight="1">
      <c r="A49" s="150" t="s">
        <v>70</v>
      </c>
      <c r="B49" s="89"/>
      <c r="C49" s="89"/>
      <c r="D49" s="89"/>
      <c r="E49" s="89"/>
      <c r="F49" s="89"/>
      <c r="G49" s="151">
        <f t="shared" ref="G49:AZ49" si="6">G48*$B55</f>
        <v>351975.362</v>
      </c>
      <c r="H49" s="152">
        <f t="shared" si="6"/>
        <v>451404.1446</v>
      </c>
      <c r="I49" s="152">
        <f t="shared" si="6"/>
        <v>332407.9273</v>
      </c>
      <c r="J49" s="152">
        <f t="shared" si="6"/>
        <v>252196.0891</v>
      </c>
      <c r="K49" s="152">
        <f t="shared" si="6"/>
        <v>431856.7152</v>
      </c>
      <c r="L49" s="152">
        <f t="shared" si="6"/>
        <v>317257.6292</v>
      </c>
      <c r="M49" s="152">
        <f t="shared" si="6"/>
        <v>409704.6155</v>
      </c>
      <c r="N49" s="152">
        <f t="shared" si="6"/>
        <v>227046.4182</v>
      </c>
      <c r="O49" s="152">
        <f t="shared" si="6"/>
        <v>442920.3618</v>
      </c>
      <c r="P49" s="152">
        <f t="shared" si="6"/>
        <v>265195.4338</v>
      </c>
      <c r="Q49" s="152">
        <f t="shared" si="6"/>
        <v>474295.6345</v>
      </c>
      <c r="R49" s="152">
        <f t="shared" si="6"/>
        <v>458383.5404</v>
      </c>
      <c r="S49" s="152">
        <f t="shared" si="6"/>
        <v>452395.5997</v>
      </c>
      <c r="T49" s="152">
        <f t="shared" si="6"/>
        <v>527682.9709</v>
      </c>
      <c r="U49" s="152">
        <f t="shared" si="6"/>
        <v>450860.8048</v>
      </c>
      <c r="V49" s="152">
        <f t="shared" si="6"/>
        <v>284204.3247</v>
      </c>
      <c r="W49" s="152">
        <f t="shared" si="6"/>
        <v>318993.2758</v>
      </c>
      <c r="X49" s="152">
        <f t="shared" si="6"/>
        <v>247022.7581</v>
      </c>
      <c r="Y49" s="152">
        <f t="shared" si="6"/>
        <v>374585.1794</v>
      </c>
      <c r="Z49" s="152">
        <f t="shared" si="6"/>
        <v>405798.8106</v>
      </c>
      <c r="AA49" s="152">
        <f t="shared" si="6"/>
        <v>431718.2795</v>
      </c>
      <c r="AB49" s="152">
        <f t="shared" si="6"/>
        <v>363490.3247</v>
      </c>
      <c r="AC49" s="152">
        <f t="shared" si="6"/>
        <v>287734.8331</v>
      </c>
      <c r="AD49" s="152">
        <f t="shared" si="6"/>
        <v>388711.214</v>
      </c>
      <c r="AE49" s="152">
        <f t="shared" si="6"/>
        <v>451069.6586</v>
      </c>
      <c r="AF49" s="152">
        <f t="shared" si="6"/>
        <v>404974.5985</v>
      </c>
      <c r="AG49" s="152">
        <f t="shared" si="6"/>
        <v>464429.0959</v>
      </c>
      <c r="AH49" s="152">
        <f t="shared" si="6"/>
        <v>284886.9004</v>
      </c>
      <c r="AI49" s="152">
        <f t="shared" si="6"/>
        <v>326447.1937</v>
      </c>
      <c r="AJ49" s="152">
        <f t="shared" si="6"/>
        <v>483273.1444</v>
      </c>
      <c r="AK49" s="152">
        <f t="shared" si="6"/>
        <v>403938.3319</v>
      </c>
      <c r="AL49" s="152">
        <f t="shared" si="6"/>
        <v>476958.7197</v>
      </c>
      <c r="AM49" s="152">
        <f t="shared" si="6"/>
        <v>529985.1632</v>
      </c>
      <c r="AN49" s="159">
        <f t="shared" si="6"/>
        <v>487083.7249</v>
      </c>
      <c r="AO49" s="152" t="str">
        <f t="shared" si="6"/>
        <v>#DIV/0!</v>
      </c>
      <c r="AP49" s="152" t="str">
        <f t="shared" si="6"/>
        <v>#DIV/0!</v>
      </c>
      <c r="AQ49" s="152" t="str">
        <f t="shared" si="6"/>
        <v>#DIV/0!</v>
      </c>
      <c r="AR49" s="152" t="str">
        <f t="shared" si="6"/>
        <v>#DIV/0!</v>
      </c>
      <c r="AS49" s="152" t="str">
        <f t="shared" si="6"/>
        <v>#DIV/0!</v>
      </c>
      <c r="AT49" s="152" t="str">
        <f t="shared" si="6"/>
        <v>#DIV/0!</v>
      </c>
      <c r="AU49" s="152" t="str">
        <f t="shared" si="6"/>
        <v>#DIV/0!</v>
      </c>
      <c r="AV49" s="152" t="str">
        <f t="shared" si="6"/>
        <v>#DIV/0!</v>
      </c>
      <c r="AW49" s="152" t="str">
        <f t="shared" si="6"/>
        <v>#DIV/0!</v>
      </c>
      <c r="AX49" s="152" t="str">
        <f t="shared" si="6"/>
        <v>#DIV/0!</v>
      </c>
      <c r="AY49" s="152" t="str">
        <f t="shared" si="6"/>
        <v>#DIV/0!</v>
      </c>
      <c r="AZ49" s="163" t="str">
        <f t="shared" si="6"/>
        <v>#DIV/0!</v>
      </c>
    </row>
    <row r="50" ht="12.75" customHeight="1">
      <c r="A50" s="165" t="s">
        <v>74</v>
      </c>
      <c r="B50" s="166"/>
      <c r="C50" s="166"/>
      <c r="D50" s="166"/>
      <c r="E50" s="166"/>
      <c r="F50" s="166"/>
      <c r="G50" s="168">
        <f t="shared" ref="G50:AZ50" si="7">G48*$B56</f>
        <v>2658.538023</v>
      </c>
      <c r="H50" s="169">
        <f t="shared" si="7"/>
        <v>3409.54286</v>
      </c>
      <c r="I50" s="169">
        <f t="shared" si="7"/>
        <v>2510.741403</v>
      </c>
      <c r="J50" s="169">
        <f t="shared" si="7"/>
        <v>1904.885866</v>
      </c>
      <c r="K50" s="169">
        <f t="shared" si="7"/>
        <v>3261.897342</v>
      </c>
      <c r="L50" s="169">
        <f t="shared" si="7"/>
        <v>2396.308269</v>
      </c>
      <c r="M50" s="169">
        <f t="shared" si="7"/>
        <v>3094.578247</v>
      </c>
      <c r="N50" s="169">
        <f t="shared" si="7"/>
        <v>1714.925535</v>
      </c>
      <c r="O50" s="169">
        <f t="shared" si="7"/>
        <v>3345.463206</v>
      </c>
      <c r="P50" s="169">
        <f t="shared" si="7"/>
        <v>2003.072432</v>
      </c>
      <c r="Q50" s="169">
        <f t="shared" si="7"/>
        <v>3582.446713</v>
      </c>
      <c r="R50" s="169">
        <f t="shared" si="7"/>
        <v>3462.259587</v>
      </c>
      <c r="S50" s="169">
        <f t="shared" si="7"/>
        <v>3417.031512</v>
      </c>
      <c r="T50" s="169">
        <f t="shared" si="7"/>
        <v>3985.691596</v>
      </c>
      <c r="U50" s="169">
        <f t="shared" si="7"/>
        <v>3405.438909</v>
      </c>
      <c r="V50" s="169">
        <f t="shared" si="7"/>
        <v>2146.650264</v>
      </c>
      <c r="W50" s="169">
        <f t="shared" si="7"/>
        <v>2409.417943</v>
      </c>
      <c r="X50" s="169">
        <f t="shared" si="7"/>
        <v>1865.810695</v>
      </c>
      <c r="Y50" s="169">
        <f t="shared" si="7"/>
        <v>2829.314349</v>
      </c>
      <c r="Z50" s="169">
        <f t="shared" si="7"/>
        <v>3065.076946</v>
      </c>
      <c r="AA50" s="169">
        <f t="shared" si="7"/>
        <v>3260.851711</v>
      </c>
      <c r="AB50" s="169">
        <f t="shared" si="7"/>
        <v>2745.512765</v>
      </c>
      <c r="AC50" s="169">
        <f t="shared" si="7"/>
        <v>2173.316877</v>
      </c>
      <c r="AD50" s="169">
        <f t="shared" si="7"/>
        <v>2936.011022</v>
      </c>
      <c r="AE50" s="169">
        <f t="shared" si="7"/>
        <v>3407.016422</v>
      </c>
      <c r="AF50" s="169">
        <f t="shared" si="7"/>
        <v>3058.851513</v>
      </c>
      <c r="AG50" s="169">
        <f t="shared" si="7"/>
        <v>3507.922837</v>
      </c>
      <c r="AH50" s="169">
        <f t="shared" si="7"/>
        <v>2151.805889</v>
      </c>
      <c r="AI50" s="169">
        <f t="shared" si="7"/>
        <v>2465.718828</v>
      </c>
      <c r="AJ50" s="169">
        <f t="shared" si="7"/>
        <v>3650.255582</v>
      </c>
      <c r="AK50" s="169">
        <f t="shared" si="7"/>
        <v>3051.02439</v>
      </c>
      <c r="AL50" s="169">
        <f t="shared" si="7"/>
        <v>3602.561511</v>
      </c>
      <c r="AM50" s="169">
        <f t="shared" si="7"/>
        <v>4003.0805</v>
      </c>
      <c r="AN50" s="173">
        <f t="shared" si="7"/>
        <v>3679.037634</v>
      </c>
      <c r="AO50" s="175" t="str">
        <f t="shared" si="7"/>
        <v>#DIV/0!</v>
      </c>
      <c r="AP50" s="175" t="str">
        <f t="shared" si="7"/>
        <v>#DIV/0!</v>
      </c>
      <c r="AQ50" s="175" t="str">
        <f t="shared" si="7"/>
        <v>#DIV/0!</v>
      </c>
      <c r="AR50" s="175" t="str">
        <f t="shared" si="7"/>
        <v>#DIV/0!</v>
      </c>
      <c r="AS50" s="175" t="str">
        <f t="shared" si="7"/>
        <v>#DIV/0!</v>
      </c>
      <c r="AT50" s="175" t="str">
        <f t="shared" si="7"/>
        <v>#DIV/0!</v>
      </c>
      <c r="AU50" s="175" t="str">
        <f t="shared" si="7"/>
        <v>#DIV/0!</v>
      </c>
      <c r="AV50" s="175" t="str">
        <f t="shared" si="7"/>
        <v>#DIV/0!</v>
      </c>
      <c r="AW50" s="175" t="str">
        <f t="shared" si="7"/>
        <v>#DIV/0!</v>
      </c>
      <c r="AX50" s="175" t="str">
        <f t="shared" si="7"/>
        <v>#DIV/0!</v>
      </c>
      <c r="AY50" s="175" t="str">
        <f t="shared" si="7"/>
        <v>#DIV/0!</v>
      </c>
      <c r="AZ50" s="179" t="str">
        <f t="shared" si="7"/>
        <v>#DIV/0!</v>
      </c>
    </row>
    <row r="51" ht="12.75" customHeight="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row>
    <row r="52" ht="12.75" customHeight="1">
      <c r="A52" s="89"/>
      <c r="B52" s="182" t="s">
        <v>77</v>
      </c>
      <c r="C52" s="183"/>
      <c r="D52" s="89"/>
      <c r="E52" s="184"/>
      <c r="G52" s="185"/>
      <c r="H52" s="186" t="s">
        <v>82</v>
      </c>
      <c r="I52" s="183"/>
      <c r="J52" s="186" t="s">
        <v>86</v>
      </c>
      <c r="K52" s="183"/>
      <c r="L52" s="186" t="s">
        <v>87</v>
      </c>
      <c r="M52" s="1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row>
    <row r="53" ht="12.75" customHeight="1">
      <c r="A53" s="89"/>
      <c r="B53" s="187" t="s">
        <v>89</v>
      </c>
      <c r="C53" s="187" t="s">
        <v>91</v>
      </c>
      <c r="D53" s="89"/>
      <c r="E53" s="184" t="s">
        <v>94</v>
      </c>
      <c r="G53" s="185"/>
      <c r="H53" s="182">
        <v>6.0</v>
      </c>
      <c r="I53" s="183"/>
      <c r="J53" s="182">
        <f>34-H53-L53</f>
        <v>18</v>
      </c>
      <c r="K53" s="183"/>
      <c r="L53" s="182">
        <v>10.0</v>
      </c>
      <c r="M53" s="1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row>
    <row r="54" ht="12.75" customHeight="1">
      <c r="A54" s="188" t="s">
        <v>98</v>
      </c>
      <c r="B54" s="187">
        <v>1.6125</v>
      </c>
      <c r="C54" s="187">
        <v>0.0</v>
      </c>
      <c r="D54" s="89"/>
      <c r="E54" s="184" t="s">
        <v>101</v>
      </c>
      <c r="G54" s="185"/>
      <c r="H54" s="189">
        <v>421639.0</v>
      </c>
      <c r="I54" s="183"/>
      <c r="J54" s="219">
        <f>AVERAGE(H54,L54)</f>
        <v>396245.5</v>
      </c>
      <c r="K54" s="183"/>
      <c r="L54" s="189">
        <v>370852.0</v>
      </c>
      <c r="M54" s="1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row>
    <row r="55" ht="12.75" customHeight="1">
      <c r="A55" s="188" t="s">
        <v>103</v>
      </c>
      <c r="B55" s="194">
        <f>1-B56</f>
        <v>0.9925034295</v>
      </c>
      <c r="C55" s="183"/>
      <c r="D55" s="89"/>
      <c r="E55" s="184" t="s">
        <v>67</v>
      </c>
      <c r="G55" s="185"/>
      <c r="H55" s="189">
        <f>AVERAGE(H48,S48,AE48,AG48,AJ48,AM48)</f>
        <v>475658.6094</v>
      </c>
      <c r="I55" s="183"/>
      <c r="J55" s="189">
        <f>AVERAGE(G48,I48,K48,M48,O48,Q48:R48,T48:V48,Y48,AA48:AB48,AD48,AH48,AK48:AL48,AN48)</f>
        <v>412854.1531</v>
      </c>
      <c r="K55" s="183"/>
      <c r="L55" s="189">
        <f>AVERAGE(J48,L48,N48,P48,W48:X48,Z48,AC48,AF48,AI48)</f>
        <v>307572.4425</v>
      </c>
      <c r="M55" s="1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row>
    <row r="56" ht="12.75" customHeight="1">
      <c r="A56" s="188" t="s">
        <v>107</v>
      </c>
      <c r="B56" s="194">
        <f>3563/(471721+3563)</f>
        <v>0.007496570472</v>
      </c>
      <c r="C56" s="183"/>
      <c r="D56" s="89"/>
      <c r="E56" s="184" t="s">
        <v>108</v>
      </c>
      <c r="G56" s="185"/>
      <c r="H56" s="198">
        <f>H55/H54-1</f>
        <v>0.1281181517</v>
      </c>
      <c r="I56" s="183"/>
      <c r="J56" s="198">
        <f>J55/J54-1</f>
        <v>0.04191505803</v>
      </c>
      <c r="K56" s="183"/>
      <c r="L56" s="198">
        <f>L55/L54-1</f>
        <v>-0.1706329142</v>
      </c>
      <c r="M56" s="1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row>
    <row r="57" ht="12.75" customHeight="1">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row>
    <row r="58" ht="12.75" customHeight="1">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row>
    <row r="59" ht="12.75" customHeight="1">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row>
    <row r="60" ht="12.75"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row>
    <row r="61" ht="12.75" customHeight="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row>
    <row r="62" ht="12.75" customHeight="1">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row>
    <row r="63" ht="12.75" customHeight="1">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row>
    <row r="64" ht="12.75" customHeight="1">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row>
    <row r="65" ht="12.75" customHeight="1">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row>
    <row r="66" ht="12.75" customHeight="1">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row>
    <row r="67" ht="12.75" customHeight="1">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row>
    <row r="68" ht="12.75" customHeight="1">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row>
    <row r="69" ht="12.75" customHeight="1">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row>
    <row r="70" ht="12.75" customHeight="1">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row>
    <row r="71" ht="12.75" customHeight="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row>
    <row r="72" ht="12.75" customHeight="1">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row>
    <row r="73" ht="12.75" customHeight="1">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row>
    <row r="74" ht="12.75" customHeight="1">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row>
    <row r="75" ht="12.75" customHeight="1">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row>
    <row r="76" ht="12.75" customHeight="1">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row>
    <row r="77" ht="12.75" customHeight="1">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row>
    <row r="78" ht="12.75" customHeight="1">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row>
    <row r="79" ht="12.75" customHeight="1">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row>
    <row r="80" ht="12.75" customHeight="1">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row>
    <row r="81" ht="12.75" customHeight="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row>
    <row r="82" ht="12.75" customHeight="1">
      <c r="A82" s="91" t="s">
        <v>10</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2"/>
    </row>
    <row r="83" ht="12.75" customHeight="1">
      <c r="A83" s="93" t="s">
        <v>53</v>
      </c>
      <c r="B83" s="94">
        <v>1980.0</v>
      </c>
      <c r="C83" s="94">
        <v>1981.0</v>
      </c>
      <c r="D83" s="94">
        <v>1982.0</v>
      </c>
      <c r="E83" s="94">
        <v>1983.0</v>
      </c>
      <c r="F83" s="94">
        <v>1984.0</v>
      </c>
      <c r="G83" s="95">
        <v>1985.0</v>
      </c>
      <c r="H83" s="96">
        <v>1986.0</v>
      </c>
      <c r="I83" s="96">
        <v>1987.0</v>
      </c>
      <c r="J83" s="96">
        <v>1988.0</v>
      </c>
      <c r="K83" s="96">
        <v>1989.0</v>
      </c>
      <c r="L83" s="96">
        <v>1990.0</v>
      </c>
      <c r="M83" s="96">
        <v>1991.0</v>
      </c>
      <c r="N83" s="96">
        <v>1992.0</v>
      </c>
      <c r="O83" s="96">
        <v>1993.0</v>
      </c>
      <c r="P83" s="96">
        <v>1994.0</v>
      </c>
      <c r="Q83" s="96">
        <v>1995.0</v>
      </c>
      <c r="R83" s="96">
        <v>1996.0</v>
      </c>
      <c r="S83" s="96">
        <v>1997.0</v>
      </c>
      <c r="T83" s="96">
        <v>1998.0</v>
      </c>
      <c r="U83" s="96">
        <v>1999.0</v>
      </c>
      <c r="V83" s="96">
        <v>2000.0</v>
      </c>
      <c r="W83" s="96">
        <v>2001.0</v>
      </c>
      <c r="X83" s="96">
        <v>2002.0</v>
      </c>
      <c r="Y83" s="96">
        <v>2003.0</v>
      </c>
      <c r="Z83" s="96">
        <v>2004.0</v>
      </c>
      <c r="AA83" s="96">
        <v>2005.0</v>
      </c>
      <c r="AB83" s="96">
        <v>2006.0</v>
      </c>
      <c r="AC83" s="96">
        <v>2007.0</v>
      </c>
      <c r="AD83" s="96">
        <v>2008.0</v>
      </c>
      <c r="AE83" s="96">
        <v>2009.0</v>
      </c>
      <c r="AF83" s="96">
        <v>2010.0</v>
      </c>
      <c r="AG83" s="96">
        <v>2011.0</v>
      </c>
      <c r="AH83" s="96">
        <v>2012.0</v>
      </c>
      <c r="AI83" s="96">
        <v>2013.0</v>
      </c>
      <c r="AJ83" s="96">
        <v>2014.0</v>
      </c>
      <c r="AK83" s="96">
        <v>2015.0</v>
      </c>
      <c r="AL83" s="96">
        <v>2016.0</v>
      </c>
      <c r="AM83" s="97">
        <v>2017.0</v>
      </c>
      <c r="AN83" s="94">
        <v>2018.0</v>
      </c>
      <c r="AO83" s="94">
        <v>2019.0</v>
      </c>
      <c r="AP83" s="94">
        <v>2020.0</v>
      </c>
      <c r="AQ83" s="94">
        <v>2021.0</v>
      </c>
      <c r="AR83" s="94">
        <v>2022.0</v>
      </c>
      <c r="AS83" s="94">
        <v>2023.0</v>
      </c>
      <c r="AT83" s="94">
        <v>2024.0</v>
      </c>
      <c r="AU83" s="94">
        <v>2025.0</v>
      </c>
      <c r="AV83" s="94">
        <v>2026.0</v>
      </c>
      <c r="AW83" s="94">
        <v>2027.0</v>
      </c>
      <c r="AX83" s="94">
        <v>2028.0</v>
      </c>
      <c r="AY83" s="94">
        <v>2029.0</v>
      </c>
      <c r="AZ83" s="99">
        <v>2030.0</v>
      </c>
    </row>
    <row r="84" ht="12.75" customHeight="1">
      <c r="A84" s="205" t="s">
        <v>55</v>
      </c>
      <c r="B84" s="220" t="s">
        <v>56</v>
      </c>
      <c r="C84" s="221" t="s">
        <v>58</v>
      </c>
      <c r="D84" s="220" t="s">
        <v>56</v>
      </c>
      <c r="E84" s="222" t="s">
        <v>57</v>
      </c>
      <c r="F84" s="222" t="s">
        <v>57</v>
      </c>
      <c r="G84" s="223" t="s">
        <v>56</v>
      </c>
      <c r="H84" s="222" t="s">
        <v>57</v>
      </c>
      <c r="I84" s="220" t="s">
        <v>56</v>
      </c>
      <c r="J84" s="220" t="s">
        <v>56</v>
      </c>
      <c r="K84" s="221" t="s">
        <v>58</v>
      </c>
      <c r="L84" s="220" t="s">
        <v>56</v>
      </c>
      <c r="M84" s="220" t="s">
        <v>56</v>
      </c>
      <c r="N84" s="221" t="s">
        <v>58</v>
      </c>
      <c r="O84" s="220" t="s">
        <v>56</v>
      </c>
      <c r="P84" s="220" t="s">
        <v>56</v>
      </c>
      <c r="Q84" s="220" t="s">
        <v>56</v>
      </c>
      <c r="R84" s="220" t="s">
        <v>56</v>
      </c>
      <c r="S84" s="220" t="s">
        <v>56</v>
      </c>
      <c r="T84" s="220" t="s">
        <v>56</v>
      </c>
      <c r="U84" s="220" t="s">
        <v>56</v>
      </c>
      <c r="V84" s="220" t="s">
        <v>56</v>
      </c>
      <c r="W84" s="221" t="s">
        <v>58</v>
      </c>
      <c r="X84" s="221" t="s">
        <v>58</v>
      </c>
      <c r="Y84" s="220" t="s">
        <v>56</v>
      </c>
      <c r="Z84" s="221" t="s">
        <v>58</v>
      </c>
      <c r="AA84" s="220" t="s">
        <v>56</v>
      </c>
      <c r="AB84" s="220" t="s">
        <v>56</v>
      </c>
      <c r="AC84" s="220" t="s">
        <v>56</v>
      </c>
      <c r="AD84" s="220" t="s">
        <v>56</v>
      </c>
      <c r="AE84" s="220" t="s">
        <v>56</v>
      </c>
      <c r="AF84" s="222" t="s">
        <v>57</v>
      </c>
      <c r="AG84" s="222" t="s">
        <v>57</v>
      </c>
      <c r="AH84" s="221" t="s">
        <v>58</v>
      </c>
      <c r="AI84" s="220" t="s">
        <v>56</v>
      </c>
      <c r="AJ84" s="222" t="s">
        <v>57</v>
      </c>
      <c r="AK84" s="220" t="s">
        <v>56</v>
      </c>
      <c r="AL84" s="222" t="s">
        <v>57</v>
      </c>
      <c r="AM84" s="224" t="s">
        <v>56</v>
      </c>
      <c r="AN84" s="220" t="s">
        <v>4</v>
      </c>
      <c r="AO84" s="220" t="s">
        <v>4</v>
      </c>
      <c r="AP84" s="220" t="s">
        <v>4</v>
      </c>
      <c r="AQ84" s="220" t="s">
        <v>4</v>
      </c>
      <c r="AR84" s="220" t="s">
        <v>4</v>
      </c>
      <c r="AS84" s="220" t="s">
        <v>4</v>
      </c>
      <c r="AT84" s="220" t="s">
        <v>4</v>
      </c>
      <c r="AU84" s="220" t="s">
        <v>4</v>
      </c>
      <c r="AV84" s="220" t="s">
        <v>4</v>
      </c>
      <c r="AW84" s="220" t="s">
        <v>4</v>
      </c>
      <c r="AX84" s="220" t="s">
        <v>4</v>
      </c>
      <c r="AY84" s="220" t="s">
        <v>4</v>
      </c>
      <c r="AZ84" s="225" t="s">
        <v>4</v>
      </c>
    </row>
    <row r="85" ht="12.75" customHeight="1">
      <c r="A85" s="107" t="s">
        <v>59</v>
      </c>
      <c r="B85" s="108">
        <f t="shared" ref="B85:AM85" si="8">IF(B84="Wet",$H94,IF(B84="Dry",$L94,$J94))</f>
        <v>566000</v>
      </c>
      <c r="C85" s="108">
        <f t="shared" si="8"/>
        <v>515000</v>
      </c>
      <c r="D85" s="108">
        <f t="shared" si="8"/>
        <v>566000</v>
      </c>
      <c r="E85" s="108">
        <f t="shared" si="8"/>
        <v>527000</v>
      </c>
      <c r="F85" s="108">
        <f t="shared" si="8"/>
        <v>527000</v>
      </c>
      <c r="G85" s="109">
        <f t="shared" si="8"/>
        <v>566000</v>
      </c>
      <c r="H85" s="108">
        <f t="shared" si="8"/>
        <v>527000</v>
      </c>
      <c r="I85" s="108">
        <f t="shared" si="8"/>
        <v>566000</v>
      </c>
      <c r="J85" s="108">
        <f t="shared" si="8"/>
        <v>566000</v>
      </c>
      <c r="K85" s="108">
        <f t="shared" si="8"/>
        <v>515000</v>
      </c>
      <c r="L85" s="108">
        <f t="shared" si="8"/>
        <v>566000</v>
      </c>
      <c r="M85" s="108">
        <f t="shared" si="8"/>
        <v>566000</v>
      </c>
      <c r="N85" s="108">
        <f t="shared" si="8"/>
        <v>515000</v>
      </c>
      <c r="O85" s="108">
        <f t="shared" si="8"/>
        <v>566000</v>
      </c>
      <c r="P85" s="108">
        <f t="shared" si="8"/>
        <v>566000</v>
      </c>
      <c r="Q85" s="108">
        <f t="shared" si="8"/>
        <v>566000</v>
      </c>
      <c r="R85" s="108">
        <f t="shared" si="8"/>
        <v>566000</v>
      </c>
      <c r="S85" s="108">
        <f t="shared" si="8"/>
        <v>566000</v>
      </c>
      <c r="T85" s="108">
        <f t="shared" si="8"/>
        <v>566000</v>
      </c>
      <c r="U85" s="108">
        <f t="shared" si="8"/>
        <v>566000</v>
      </c>
      <c r="V85" s="108">
        <f t="shared" si="8"/>
        <v>566000</v>
      </c>
      <c r="W85" s="108">
        <f t="shared" si="8"/>
        <v>515000</v>
      </c>
      <c r="X85" s="108">
        <f t="shared" si="8"/>
        <v>515000</v>
      </c>
      <c r="Y85" s="108">
        <f t="shared" si="8"/>
        <v>566000</v>
      </c>
      <c r="Z85" s="108">
        <f t="shared" si="8"/>
        <v>515000</v>
      </c>
      <c r="AA85" s="108">
        <f t="shared" si="8"/>
        <v>566000</v>
      </c>
      <c r="AB85" s="108">
        <f t="shared" si="8"/>
        <v>566000</v>
      </c>
      <c r="AC85" s="108">
        <f t="shared" si="8"/>
        <v>566000</v>
      </c>
      <c r="AD85" s="108">
        <f t="shared" si="8"/>
        <v>566000</v>
      </c>
      <c r="AE85" s="108">
        <f t="shared" si="8"/>
        <v>566000</v>
      </c>
      <c r="AF85" s="108">
        <f t="shared" si="8"/>
        <v>527000</v>
      </c>
      <c r="AG85" s="108">
        <f t="shared" si="8"/>
        <v>527000</v>
      </c>
      <c r="AH85" s="108">
        <f t="shared" si="8"/>
        <v>515000</v>
      </c>
      <c r="AI85" s="108">
        <f t="shared" si="8"/>
        <v>566000</v>
      </c>
      <c r="AJ85" s="108">
        <f t="shared" si="8"/>
        <v>527000</v>
      </c>
      <c r="AK85" s="108">
        <f t="shared" si="8"/>
        <v>566000</v>
      </c>
      <c r="AL85" s="108">
        <f t="shared" si="8"/>
        <v>527000</v>
      </c>
      <c r="AM85" s="110">
        <f t="shared" si="8"/>
        <v>566000</v>
      </c>
      <c r="AN85" s="108" t="s">
        <v>7</v>
      </c>
      <c r="AO85" s="108" t="s">
        <v>7</v>
      </c>
      <c r="AP85" s="108" t="s">
        <v>7</v>
      </c>
      <c r="AQ85" s="108" t="s">
        <v>7</v>
      </c>
      <c r="AR85" s="108" t="s">
        <v>7</v>
      </c>
      <c r="AS85" s="108" t="s">
        <v>7</v>
      </c>
      <c r="AT85" s="108" t="s">
        <v>7</v>
      </c>
      <c r="AU85" s="108" t="s">
        <v>7</v>
      </c>
      <c r="AV85" s="108" t="s">
        <v>7</v>
      </c>
      <c r="AW85" s="108" t="s">
        <v>7</v>
      </c>
      <c r="AX85" s="108" t="s">
        <v>7</v>
      </c>
      <c r="AY85" s="108" t="s">
        <v>7</v>
      </c>
      <c r="AZ85" s="116" t="s">
        <v>7</v>
      </c>
    </row>
    <row r="86" ht="12.75" customHeight="1">
      <c r="A86" s="226" t="s">
        <v>1</v>
      </c>
      <c r="B86" s="143"/>
      <c r="C86" s="143"/>
      <c r="D86" s="143"/>
      <c r="E86" s="143"/>
      <c r="F86" s="143"/>
      <c r="G86" s="227"/>
      <c r="H86" s="143"/>
      <c r="I86" s="143"/>
      <c r="J86" s="143"/>
      <c r="K86" s="143"/>
      <c r="L86" s="143"/>
      <c r="M86" s="143"/>
      <c r="N86" s="143"/>
      <c r="O86" s="143"/>
      <c r="P86" s="143"/>
      <c r="Q86" s="143"/>
      <c r="R86" s="143"/>
      <c r="S86" s="143"/>
      <c r="T86" s="143"/>
      <c r="U86" s="143"/>
      <c r="V86" s="143"/>
      <c r="W86" s="143"/>
      <c r="X86" s="143"/>
      <c r="Y86" s="143"/>
      <c r="Z86" s="143"/>
      <c r="AA86" s="143"/>
      <c r="AB86" s="143"/>
      <c r="AC86" s="143"/>
      <c r="AD86" s="143"/>
      <c r="AE86" s="143"/>
      <c r="AF86" s="143"/>
      <c r="AG86" s="143"/>
      <c r="AH86" s="143"/>
      <c r="AI86" s="143"/>
      <c r="AJ86" s="143"/>
      <c r="AK86" s="143"/>
      <c r="AL86" s="143"/>
      <c r="AM86" s="228"/>
      <c r="AN86" s="143"/>
      <c r="AO86" s="143"/>
      <c r="AP86" s="143"/>
      <c r="AQ86" s="143"/>
      <c r="AR86" s="143"/>
      <c r="AS86" s="143"/>
      <c r="AT86" s="143"/>
      <c r="AU86" s="143"/>
      <c r="AV86" s="143"/>
      <c r="AW86" s="143"/>
      <c r="AX86" s="143"/>
      <c r="AY86" s="143"/>
      <c r="AZ86" s="229"/>
    </row>
    <row r="87" ht="12.75" customHeight="1">
      <c r="A87" s="123" t="s">
        <v>62</v>
      </c>
      <c r="B87" s="213" t="s">
        <v>7</v>
      </c>
      <c r="C87" s="213" t="s">
        <v>7</v>
      </c>
      <c r="D87" s="213" t="s">
        <v>7</v>
      </c>
      <c r="E87" s="213" t="s">
        <v>7</v>
      </c>
      <c r="F87" s="213" t="s">
        <v>7</v>
      </c>
      <c r="G87" s="125">
        <f>'NDVI Acreage'!H12</f>
        <v>268576.5</v>
      </c>
      <c r="H87" s="127">
        <f>'NDVI Acreage'!I12</f>
        <v>451915.5</v>
      </c>
      <c r="I87" s="127">
        <f>'NDVI Acreage'!J12</f>
        <v>405124.5</v>
      </c>
      <c r="J87" s="127">
        <f>'NDVI Acreage'!K12</f>
        <v>369702.5</v>
      </c>
      <c r="K87" s="127">
        <f>'NDVI Acreage'!L12</f>
        <v>337325.5</v>
      </c>
      <c r="L87" s="127">
        <f>'NDVI Acreage'!M12</f>
        <v>312686</v>
      </c>
      <c r="M87" s="127">
        <f>'NDVI Acreage'!N12</f>
        <v>451520.5</v>
      </c>
      <c r="N87" s="127">
        <f>'NDVI Acreage'!O12</f>
        <v>302879.5</v>
      </c>
      <c r="O87" s="127">
        <f>'NDVI Acreage'!P12</f>
        <v>478450</v>
      </c>
      <c r="P87" s="127">
        <f>'NDVI Acreage'!Q12</f>
        <v>356253</v>
      </c>
      <c r="Q87" s="127">
        <f>'NDVI Acreage'!R12</f>
        <v>549182.5</v>
      </c>
      <c r="R87" s="127">
        <f>'NDVI Acreage'!S12</f>
        <v>459588</v>
      </c>
      <c r="S87" s="127">
        <f>'NDVI Acreage'!T12</f>
        <v>530612.5</v>
      </c>
      <c r="T87" s="127">
        <f>'NDVI Acreage'!U12</f>
        <v>504022.5</v>
      </c>
      <c r="U87" s="127">
        <f>'NDVI Acreage'!V12</f>
        <v>514283.5</v>
      </c>
      <c r="V87" s="127">
        <f>'NDVI Acreage'!W12</f>
        <v>333936</v>
      </c>
      <c r="W87" s="127">
        <f>'NDVI Acreage'!X12</f>
        <v>362571</v>
      </c>
      <c r="X87" s="127">
        <f>'NDVI Acreage'!Y12</f>
        <v>254520</v>
      </c>
      <c r="Y87" s="127">
        <f>'NDVI Acreage'!Z12</f>
        <v>411234.5</v>
      </c>
      <c r="Z87" s="127">
        <f>'NDVI Acreage'!AA12</f>
        <v>364003.5</v>
      </c>
      <c r="AA87" s="127">
        <f>'NDVI Acreage'!AB12</f>
        <v>412650</v>
      </c>
      <c r="AB87" s="127">
        <f>'NDVI Acreage'!AC12</f>
        <v>309306.5</v>
      </c>
      <c r="AC87" s="127">
        <f>'NDVI Acreage'!AD12</f>
        <v>372551</v>
      </c>
      <c r="AD87" s="127">
        <f>'NDVI Acreage'!AE12</f>
        <v>408104.5</v>
      </c>
      <c r="AE87" s="127">
        <f>'NDVI Acreage'!AF12</f>
        <v>475526.5</v>
      </c>
      <c r="AF87" s="127">
        <f>'NDVI Acreage'!AG12</f>
        <v>468255.5</v>
      </c>
      <c r="AG87" s="127">
        <f>'NDVI Acreage'!AH12</f>
        <v>465776.5</v>
      </c>
      <c r="AH87" s="127">
        <f>'NDVI Acreage'!AI12</f>
        <v>271110</v>
      </c>
      <c r="AI87" s="127">
        <f>'NDVI Acreage'!AJ12</f>
        <v>352478.5</v>
      </c>
      <c r="AJ87" s="127">
        <f>'NDVI Acreage'!AK12</f>
        <v>530578.5</v>
      </c>
      <c r="AK87" s="127">
        <f>'NDVI Acreage'!AL12</f>
        <v>484602</v>
      </c>
      <c r="AL87" s="127">
        <f>'NDVI Acreage'!AM12</f>
        <v>484565.5</v>
      </c>
      <c r="AM87" s="133">
        <f>'NDVI Acreage'!AN12</f>
        <v>534816</v>
      </c>
      <c r="AN87" s="127">
        <f>'NDVI Acreage'!AO12</f>
        <v>485062.5</v>
      </c>
      <c r="AO87" s="127" t="str">
        <f>'NDVI Acreage'!AP12</f>
        <v>#DIV/0!</v>
      </c>
      <c r="AP87" s="127" t="str">
        <f>'NDVI Acreage'!AQ12</f>
        <v>#DIV/0!</v>
      </c>
      <c r="AQ87" s="127" t="str">
        <f>'NDVI Acreage'!AR12</f>
        <v>#DIV/0!</v>
      </c>
      <c r="AR87" s="127" t="str">
        <f>'NDVI Acreage'!AS12</f>
        <v>#DIV/0!</v>
      </c>
      <c r="AS87" s="127" t="str">
        <f>'NDVI Acreage'!AT12</f>
        <v>#DIV/0!</v>
      </c>
      <c r="AT87" s="127" t="str">
        <f>'NDVI Acreage'!AU12</f>
        <v>#DIV/0!</v>
      </c>
      <c r="AU87" s="127" t="str">
        <f>'NDVI Acreage'!AV12</f>
        <v>#DIV/0!</v>
      </c>
      <c r="AV87" s="127" t="str">
        <f>'NDVI Acreage'!AW12</f>
        <v>#DIV/0!</v>
      </c>
      <c r="AW87" s="127" t="str">
        <f>'NDVI Acreage'!AX12</f>
        <v>#DIV/0!</v>
      </c>
      <c r="AX87" s="127" t="str">
        <f>'NDVI Acreage'!AY12</f>
        <v>#DIV/0!</v>
      </c>
      <c r="AY87" s="127" t="str">
        <f>'NDVI Acreage'!AZ12</f>
        <v>#DIV/0!</v>
      </c>
      <c r="AZ87" s="127" t="str">
        <f>'NDVI Acreage'!BA12</f>
        <v>#DIV/0!</v>
      </c>
    </row>
    <row r="88" ht="12.75" customHeight="1">
      <c r="A88" s="141" t="s">
        <v>67</v>
      </c>
      <c r="B88" s="218" t="s">
        <v>7</v>
      </c>
      <c r="C88" s="218" t="s">
        <v>7</v>
      </c>
      <c r="D88" s="218" t="s">
        <v>7</v>
      </c>
      <c r="E88" s="218" t="s">
        <v>7</v>
      </c>
      <c r="F88" s="218" t="s">
        <v>7</v>
      </c>
      <c r="G88" s="144">
        <f t="shared" ref="G88:AZ88" si="9">G87*$B94</f>
        <v>345496.8096</v>
      </c>
      <c r="H88" s="145">
        <f t="shared" si="9"/>
        <v>581344.0992</v>
      </c>
      <c r="I88" s="145">
        <f t="shared" si="9"/>
        <v>521152.1568</v>
      </c>
      <c r="J88" s="145">
        <f t="shared" si="9"/>
        <v>475585.296</v>
      </c>
      <c r="K88" s="145">
        <f t="shared" si="9"/>
        <v>433935.5232</v>
      </c>
      <c r="L88" s="145">
        <f t="shared" si="9"/>
        <v>402239.2704</v>
      </c>
      <c r="M88" s="145">
        <f t="shared" si="9"/>
        <v>580835.9712</v>
      </c>
      <c r="N88" s="145">
        <f t="shared" si="9"/>
        <v>389624.1888</v>
      </c>
      <c r="O88" s="145">
        <f t="shared" si="9"/>
        <v>615478.08</v>
      </c>
      <c r="P88" s="145">
        <f t="shared" si="9"/>
        <v>458283.8592</v>
      </c>
      <c r="Q88" s="145">
        <f t="shared" si="9"/>
        <v>706468.368</v>
      </c>
      <c r="R88" s="145">
        <f t="shared" si="9"/>
        <v>591214.0032</v>
      </c>
      <c r="S88" s="145">
        <f t="shared" si="9"/>
        <v>682579.92</v>
      </c>
      <c r="T88" s="145">
        <f t="shared" si="9"/>
        <v>648374.544</v>
      </c>
      <c r="U88" s="145">
        <f t="shared" si="9"/>
        <v>661574.2944</v>
      </c>
      <c r="V88" s="145">
        <f t="shared" si="9"/>
        <v>429575.2704</v>
      </c>
      <c r="W88" s="145">
        <f t="shared" si="9"/>
        <v>466411.3344</v>
      </c>
      <c r="X88" s="145">
        <f t="shared" si="9"/>
        <v>327414.528</v>
      </c>
      <c r="Y88" s="145">
        <f t="shared" si="9"/>
        <v>529012.0608</v>
      </c>
      <c r="Z88" s="145">
        <f t="shared" si="9"/>
        <v>468254.1024</v>
      </c>
      <c r="AA88" s="145">
        <f t="shared" si="9"/>
        <v>530832.96</v>
      </c>
      <c r="AB88" s="145">
        <f t="shared" si="9"/>
        <v>397891.8816</v>
      </c>
      <c r="AC88" s="145">
        <f t="shared" si="9"/>
        <v>479249.6064</v>
      </c>
      <c r="AD88" s="145">
        <f t="shared" si="9"/>
        <v>524985.6288</v>
      </c>
      <c r="AE88" s="145">
        <f t="shared" si="9"/>
        <v>611717.2896</v>
      </c>
      <c r="AF88" s="145">
        <f t="shared" si="9"/>
        <v>602363.8752</v>
      </c>
      <c r="AG88" s="145">
        <f t="shared" si="9"/>
        <v>599174.8896</v>
      </c>
      <c r="AH88" s="145">
        <f t="shared" si="9"/>
        <v>348755.904</v>
      </c>
      <c r="AI88" s="145">
        <f t="shared" si="9"/>
        <v>453428.3424</v>
      </c>
      <c r="AJ88" s="145">
        <f t="shared" si="9"/>
        <v>682536.1824</v>
      </c>
      <c r="AK88" s="145">
        <f t="shared" si="9"/>
        <v>623392.0128</v>
      </c>
      <c r="AL88" s="145">
        <f t="shared" si="9"/>
        <v>623345.0592</v>
      </c>
      <c r="AM88" s="146">
        <f t="shared" si="9"/>
        <v>687987.3024</v>
      </c>
      <c r="AN88" s="145">
        <f t="shared" si="9"/>
        <v>623984.4</v>
      </c>
      <c r="AO88" s="145" t="str">
        <f t="shared" si="9"/>
        <v>#DIV/0!</v>
      </c>
      <c r="AP88" s="145" t="str">
        <f t="shared" si="9"/>
        <v>#DIV/0!</v>
      </c>
      <c r="AQ88" s="145" t="str">
        <f t="shared" si="9"/>
        <v>#DIV/0!</v>
      </c>
      <c r="AR88" s="145" t="str">
        <f t="shared" si="9"/>
        <v>#DIV/0!</v>
      </c>
      <c r="AS88" s="145" t="str">
        <f t="shared" si="9"/>
        <v>#DIV/0!</v>
      </c>
      <c r="AT88" s="145" t="str">
        <f t="shared" si="9"/>
        <v>#DIV/0!</v>
      </c>
      <c r="AU88" s="145" t="str">
        <f t="shared" si="9"/>
        <v>#DIV/0!</v>
      </c>
      <c r="AV88" s="145" t="str">
        <f t="shared" si="9"/>
        <v>#DIV/0!</v>
      </c>
      <c r="AW88" s="145" t="str">
        <f t="shared" si="9"/>
        <v>#DIV/0!</v>
      </c>
      <c r="AX88" s="145" t="str">
        <f t="shared" si="9"/>
        <v>#DIV/0!</v>
      </c>
      <c r="AY88" s="145" t="str">
        <f t="shared" si="9"/>
        <v>#DIV/0!</v>
      </c>
      <c r="AZ88" s="145" t="str">
        <f t="shared" si="9"/>
        <v>#DIV/0!</v>
      </c>
    </row>
    <row r="89" ht="12.75" customHeight="1">
      <c r="A89" s="150" t="s">
        <v>70</v>
      </c>
      <c r="B89" s="230" t="s">
        <v>7</v>
      </c>
      <c r="C89" s="230" t="s">
        <v>7</v>
      </c>
      <c r="D89" s="230" t="s">
        <v>7</v>
      </c>
      <c r="E89" s="230" t="s">
        <v>7</v>
      </c>
      <c r="F89" s="230" t="s">
        <v>7</v>
      </c>
      <c r="G89" s="151">
        <f t="shared" ref="G89:AZ89" si="10">G88*$B95</f>
        <v>311788.8821</v>
      </c>
      <c r="H89" s="152">
        <f t="shared" si="10"/>
        <v>524626.0509</v>
      </c>
      <c r="I89" s="152">
        <f t="shared" si="10"/>
        <v>470306.6537</v>
      </c>
      <c r="J89" s="152">
        <f t="shared" si="10"/>
        <v>429185.4618</v>
      </c>
      <c r="K89" s="152">
        <f t="shared" si="10"/>
        <v>391599.1926</v>
      </c>
      <c r="L89" s="152">
        <f t="shared" si="10"/>
        <v>362995.3417</v>
      </c>
      <c r="M89" s="152">
        <f t="shared" si="10"/>
        <v>524167.4977</v>
      </c>
      <c r="N89" s="152">
        <f t="shared" si="10"/>
        <v>351611.0334</v>
      </c>
      <c r="O89" s="152">
        <f t="shared" si="10"/>
        <v>555429.7962</v>
      </c>
      <c r="P89" s="152">
        <f t="shared" si="10"/>
        <v>413572.0162</v>
      </c>
      <c r="Q89" s="152">
        <f t="shared" si="10"/>
        <v>637542.7402</v>
      </c>
      <c r="R89" s="152">
        <f t="shared" si="10"/>
        <v>533533.0111</v>
      </c>
      <c r="S89" s="152">
        <f t="shared" si="10"/>
        <v>615984.9362</v>
      </c>
      <c r="T89" s="152">
        <f t="shared" si="10"/>
        <v>585116.7613</v>
      </c>
      <c r="U89" s="152">
        <f t="shared" si="10"/>
        <v>597028.6959</v>
      </c>
      <c r="V89" s="152">
        <f t="shared" si="10"/>
        <v>387664.342</v>
      </c>
      <c r="W89" s="152">
        <f t="shared" si="10"/>
        <v>420906.5454</v>
      </c>
      <c r="X89" s="152">
        <f t="shared" si="10"/>
        <v>295470.7738</v>
      </c>
      <c r="Y89" s="152">
        <f t="shared" si="10"/>
        <v>477399.7168</v>
      </c>
      <c r="Z89" s="152">
        <f t="shared" si="10"/>
        <v>422569.5262</v>
      </c>
      <c r="AA89" s="152">
        <f t="shared" si="10"/>
        <v>479042.9625</v>
      </c>
      <c r="AB89" s="152">
        <f t="shared" si="10"/>
        <v>359072.1</v>
      </c>
      <c r="AC89" s="152">
        <f t="shared" si="10"/>
        <v>432492.2688</v>
      </c>
      <c r="AD89" s="152">
        <f t="shared" si="10"/>
        <v>473766.1182</v>
      </c>
      <c r="AE89" s="152">
        <f t="shared" si="10"/>
        <v>552035.9222</v>
      </c>
      <c r="AF89" s="152">
        <f t="shared" si="10"/>
        <v>543595.061</v>
      </c>
      <c r="AG89" s="152">
        <f t="shared" si="10"/>
        <v>540717.2044</v>
      </c>
      <c r="AH89" s="152">
        <f t="shared" si="10"/>
        <v>314730.0074</v>
      </c>
      <c r="AI89" s="152">
        <f t="shared" si="10"/>
        <v>409190.2214</v>
      </c>
      <c r="AJ89" s="152">
        <f t="shared" si="10"/>
        <v>615945.4658</v>
      </c>
      <c r="AK89" s="152">
        <f t="shared" si="10"/>
        <v>562571.6168</v>
      </c>
      <c r="AL89" s="152">
        <f t="shared" si="10"/>
        <v>562529.2442</v>
      </c>
      <c r="AM89" s="159">
        <f t="shared" si="10"/>
        <v>620864.7547</v>
      </c>
      <c r="AN89" s="152">
        <f t="shared" si="10"/>
        <v>563106.2086</v>
      </c>
      <c r="AO89" s="152" t="str">
        <f t="shared" si="10"/>
        <v>#DIV/0!</v>
      </c>
      <c r="AP89" s="152" t="str">
        <f t="shared" si="10"/>
        <v>#DIV/0!</v>
      </c>
      <c r="AQ89" s="152" t="str">
        <f t="shared" si="10"/>
        <v>#DIV/0!</v>
      </c>
      <c r="AR89" s="152" t="str">
        <f t="shared" si="10"/>
        <v>#DIV/0!</v>
      </c>
      <c r="AS89" s="152" t="str">
        <f t="shared" si="10"/>
        <v>#DIV/0!</v>
      </c>
      <c r="AT89" s="152" t="str">
        <f t="shared" si="10"/>
        <v>#DIV/0!</v>
      </c>
      <c r="AU89" s="152" t="str">
        <f t="shared" si="10"/>
        <v>#DIV/0!</v>
      </c>
      <c r="AV89" s="152" t="str">
        <f t="shared" si="10"/>
        <v>#DIV/0!</v>
      </c>
      <c r="AW89" s="152" t="str">
        <f t="shared" si="10"/>
        <v>#DIV/0!</v>
      </c>
      <c r="AX89" s="152" t="str">
        <f t="shared" si="10"/>
        <v>#DIV/0!</v>
      </c>
      <c r="AY89" s="152" t="str">
        <f t="shared" si="10"/>
        <v>#DIV/0!</v>
      </c>
      <c r="AZ89" s="163" t="str">
        <f t="shared" si="10"/>
        <v>#DIV/0!</v>
      </c>
    </row>
    <row r="90" ht="12.75" customHeight="1">
      <c r="A90" s="165" t="s">
        <v>74</v>
      </c>
      <c r="B90" s="231" t="s">
        <v>7</v>
      </c>
      <c r="C90" s="231" t="s">
        <v>7</v>
      </c>
      <c r="D90" s="231" t="s">
        <v>7</v>
      </c>
      <c r="E90" s="231" t="s">
        <v>7</v>
      </c>
      <c r="F90" s="231" t="s">
        <v>7</v>
      </c>
      <c r="G90" s="168">
        <f t="shared" ref="G90:AZ90" si="11">G88*$B96</f>
        <v>33707.92748</v>
      </c>
      <c r="H90" s="169">
        <f t="shared" si="11"/>
        <v>56718.04831</v>
      </c>
      <c r="I90" s="169">
        <f t="shared" si="11"/>
        <v>50845.50312</v>
      </c>
      <c r="J90" s="169">
        <f t="shared" si="11"/>
        <v>46399.83417</v>
      </c>
      <c r="K90" s="169">
        <f t="shared" si="11"/>
        <v>42336.33059</v>
      </c>
      <c r="L90" s="169">
        <f t="shared" si="11"/>
        <v>39243.92869</v>
      </c>
      <c r="M90" s="169">
        <f t="shared" si="11"/>
        <v>56668.4735</v>
      </c>
      <c r="N90" s="169">
        <f t="shared" si="11"/>
        <v>38013.15537</v>
      </c>
      <c r="O90" s="169">
        <f t="shared" si="11"/>
        <v>60048.28384</v>
      </c>
      <c r="P90" s="169">
        <f t="shared" si="11"/>
        <v>44711.84296</v>
      </c>
      <c r="Q90" s="169">
        <f t="shared" si="11"/>
        <v>68925.62784</v>
      </c>
      <c r="R90" s="169">
        <f t="shared" si="11"/>
        <v>57680.99211</v>
      </c>
      <c r="S90" s="169">
        <f t="shared" si="11"/>
        <v>66594.98382</v>
      </c>
      <c r="T90" s="169">
        <f t="shared" si="11"/>
        <v>63257.78272</v>
      </c>
      <c r="U90" s="169">
        <f t="shared" si="11"/>
        <v>64545.59846</v>
      </c>
      <c r="V90" s="169">
        <f t="shared" si="11"/>
        <v>41910.92844</v>
      </c>
      <c r="W90" s="169">
        <f t="shared" si="11"/>
        <v>45504.78905</v>
      </c>
      <c r="X90" s="169">
        <f t="shared" si="11"/>
        <v>31943.75421</v>
      </c>
      <c r="Y90" s="169">
        <f t="shared" si="11"/>
        <v>51612.34399</v>
      </c>
      <c r="Z90" s="169">
        <f t="shared" si="11"/>
        <v>45684.57621</v>
      </c>
      <c r="AA90" s="169">
        <f t="shared" si="11"/>
        <v>51789.99755</v>
      </c>
      <c r="AB90" s="169">
        <f t="shared" si="11"/>
        <v>38819.7816</v>
      </c>
      <c r="AC90" s="169">
        <f t="shared" si="11"/>
        <v>46757.33764</v>
      </c>
      <c r="AD90" s="169">
        <f t="shared" si="11"/>
        <v>51219.51061</v>
      </c>
      <c r="AE90" s="169">
        <f t="shared" si="11"/>
        <v>59681.36743</v>
      </c>
      <c r="AF90" s="169">
        <f t="shared" si="11"/>
        <v>58768.81424</v>
      </c>
      <c r="AG90" s="169">
        <f t="shared" si="11"/>
        <v>58457.68519</v>
      </c>
      <c r="AH90" s="169">
        <f t="shared" si="11"/>
        <v>34025.89661</v>
      </c>
      <c r="AI90" s="169">
        <f t="shared" si="11"/>
        <v>44238.12105</v>
      </c>
      <c r="AJ90" s="169">
        <f t="shared" si="11"/>
        <v>66590.71662</v>
      </c>
      <c r="AK90" s="169">
        <f t="shared" si="11"/>
        <v>60820.39596</v>
      </c>
      <c r="AL90" s="169">
        <f t="shared" si="11"/>
        <v>60815.81499</v>
      </c>
      <c r="AM90" s="173">
        <f t="shared" si="11"/>
        <v>67122.54775</v>
      </c>
      <c r="AN90" s="175">
        <f t="shared" si="11"/>
        <v>60878.19141</v>
      </c>
      <c r="AO90" s="175" t="str">
        <f t="shared" si="11"/>
        <v>#DIV/0!</v>
      </c>
      <c r="AP90" s="175" t="str">
        <f t="shared" si="11"/>
        <v>#DIV/0!</v>
      </c>
      <c r="AQ90" s="175" t="str">
        <f t="shared" si="11"/>
        <v>#DIV/0!</v>
      </c>
      <c r="AR90" s="175" t="str">
        <f t="shared" si="11"/>
        <v>#DIV/0!</v>
      </c>
      <c r="AS90" s="175" t="str">
        <f t="shared" si="11"/>
        <v>#DIV/0!</v>
      </c>
      <c r="AT90" s="175" t="str">
        <f t="shared" si="11"/>
        <v>#DIV/0!</v>
      </c>
      <c r="AU90" s="175" t="str">
        <f t="shared" si="11"/>
        <v>#DIV/0!</v>
      </c>
      <c r="AV90" s="175" t="str">
        <f t="shared" si="11"/>
        <v>#DIV/0!</v>
      </c>
      <c r="AW90" s="175" t="str">
        <f t="shared" si="11"/>
        <v>#DIV/0!</v>
      </c>
      <c r="AX90" s="175" t="str">
        <f t="shared" si="11"/>
        <v>#DIV/0!</v>
      </c>
      <c r="AY90" s="175" t="str">
        <f t="shared" si="11"/>
        <v>#DIV/0!</v>
      </c>
      <c r="AZ90" s="179" t="str">
        <f t="shared" si="11"/>
        <v>#DIV/0!</v>
      </c>
    </row>
    <row r="91" ht="12.75" customHeight="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row>
    <row r="92" ht="12.75" customHeight="1">
      <c r="A92" s="89"/>
      <c r="B92" s="182" t="s">
        <v>77</v>
      </c>
      <c r="C92" s="183"/>
      <c r="D92" s="89"/>
      <c r="E92" s="184"/>
      <c r="G92" s="185"/>
      <c r="H92" s="186" t="s">
        <v>82</v>
      </c>
      <c r="I92" s="183"/>
      <c r="J92" s="186" t="s">
        <v>86</v>
      </c>
      <c r="K92" s="183"/>
      <c r="L92" s="186" t="s">
        <v>87</v>
      </c>
      <c r="M92" s="1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row>
    <row r="93" ht="12.75" customHeight="1">
      <c r="A93" s="89"/>
      <c r="B93" s="187" t="s">
        <v>89</v>
      </c>
      <c r="C93" s="187" t="s">
        <v>91</v>
      </c>
      <c r="D93" s="89"/>
      <c r="E93" s="184" t="s">
        <v>94</v>
      </c>
      <c r="G93" s="185"/>
      <c r="H93" s="182">
        <v>5.0</v>
      </c>
      <c r="I93" s="183"/>
      <c r="J93" s="182">
        <f>33-H93-L93</f>
        <v>22</v>
      </c>
      <c r="K93" s="183"/>
      <c r="L93" s="182">
        <v>6.0</v>
      </c>
      <c r="M93" s="1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row>
    <row r="94" ht="12.75" customHeight="1">
      <c r="A94" s="188" t="s">
        <v>98</v>
      </c>
      <c r="B94" s="187">
        <v>1.2864</v>
      </c>
      <c r="C94" s="187">
        <v>0.0</v>
      </c>
      <c r="D94" s="89"/>
      <c r="E94" s="184" t="s">
        <v>101</v>
      </c>
      <c r="G94" s="185"/>
      <c r="H94" s="182">
        <v>527000.0</v>
      </c>
      <c r="I94" s="183"/>
      <c r="J94" s="182">
        <v>566000.0</v>
      </c>
      <c r="K94" s="183"/>
      <c r="L94" s="182">
        <v>515000.0</v>
      </c>
      <c r="M94" s="1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row>
    <row r="95" ht="12.75" customHeight="1">
      <c r="A95" s="188" t="s">
        <v>103</v>
      </c>
      <c r="B95" s="194">
        <f>1-B96</f>
        <v>0.9024363567</v>
      </c>
      <c r="C95" s="183"/>
      <c r="D95" s="89"/>
      <c r="E95" s="184" t="s">
        <v>67</v>
      </c>
      <c r="G95" s="185"/>
      <c r="H95" s="189">
        <f>AVERAGE(H88,AF88:AG88,AJ88,AL88)</f>
        <v>617752.8211</v>
      </c>
      <c r="I95" s="183"/>
      <c r="J95" s="189">
        <f>AVERAGE(G88,I88:J88,L88:M88,O88:V88,Y88,AA88:AE88,AI88,AK88,AM88)</f>
        <v>543516.1331</v>
      </c>
      <c r="K95" s="183"/>
      <c r="L95" s="189">
        <f>AVERAGE(K88,N88,W88:X88,Z88,AH88)</f>
        <v>405732.5968</v>
      </c>
      <c r="M95" s="1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row>
    <row r="96" ht="12.75" customHeight="1">
      <c r="A96" s="188" t="s">
        <v>107</v>
      </c>
      <c r="B96" s="194">
        <f>108826/(108826+1006610)</f>
        <v>0.09756364327</v>
      </c>
      <c r="C96" s="183"/>
      <c r="D96" s="89"/>
      <c r="E96" s="184" t="s">
        <v>108</v>
      </c>
      <c r="G96" s="185"/>
      <c r="H96" s="198">
        <f>H95/H94-1</f>
        <v>0.1722064917</v>
      </c>
      <c r="I96" s="183"/>
      <c r="J96" s="198">
        <f>J95/J94-1</f>
        <v>-0.03972414648</v>
      </c>
      <c r="K96" s="183"/>
      <c r="L96" s="198">
        <f>L95/L94-1</f>
        <v>-0.212169715</v>
      </c>
      <c r="M96" s="1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row>
    <row r="97" ht="12.75" customHeight="1">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row>
    <row r="98" ht="12.75" customHeight="1">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row>
    <row r="99" ht="12.75" customHeight="1">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row>
    <row r="100" ht="12.75" customHeight="1">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row>
    <row r="101" ht="12.75" customHeight="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row>
    <row r="102" ht="12.75" customHeight="1">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row>
    <row r="103" ht="12.75" customHeight="1">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row>
    <row r="104" ht="12.75" customHeight="1">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row>
    <row r="105" ht="12.75" customHeight="1">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row>
    <row r="106" ht="12.75" customHeight="1">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row>
    <row r="107" ht="12.75" customHeight="1">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row>
    <row r="108" ht="12.75" customHeight="1">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row>
    <row r="109" ht="12.75" customHeight="1">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row>
    <row r="110" ht="12.75" customHeight="1">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row>
    <row r="111" ht="12.75" customHeight="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row>
    <row r="112" ht="12.75" customHeight="1">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row>
    <row r="113" ht="12.75" customHeight="1">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row>
    <row r="114" ht="12.75" customHeight="1">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row>
    <row r="115" ht="12.75" customHeight="1">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row>
    <row r="116" ht="12.75" customHeight="1">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row>
    <row r="117" ht="12.75" customHeight="1">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row>
    <row r="118" ht="12.75" customHeight="1">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row>
    <row r="119" ht="12.75" customHeight="1">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row>
    <row r="120" ht="12.75" customHeight="1">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row>
    <row r="121" ht="12.75" customHeight="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row>
    <row r="122" ht="12.75" customHeight="1">
      <c r="A122" s="91" t="s">
        <v>11</v>
      </c>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2"/>
    </row>
    <row r="123" ht="12.75" customHeight="1">
      <c r="A123" s="93" t="s">
        <v>53</v>
      </c>
      <c r="B123" s="94">
        <v>1980.0</v>
      </c>
      <c r="C123" s="94">
        <v>1981.0</v>
      </c>
      <c r="D123" s="94">
        <v>1982.0</v>
      </c>
      <c r="E123" s="94">
        <v>1983.0</v>
      </c>
      <c r="F123" s="94">
        <v>1984.0</v>
      </c>
      <c r="G123" s="95">
        <v>1985.0</v>
      </c>
      <c r="H123" s="96">
        <v>1986.0</v>
      </c>
      <c r="I123" s="96">
        <v>1987.0</v>
      </c>
      <c r="J123" s="96">
        <v>1988.0</v>
      </c>
      <c r="K123" s="96">
        <v>1989.0</v>
      </c>
      <c r="L123" s="96">
        <v>1990.0</v>
      </c>
      <c r="M123" s="96">
        <v>1991.0</v>
      </c>
      <c r="N123" s="96">
        <v>1992.0</v>
      </c>
      <c r="O123" s="96">
        <v>1993.0</v>
      </c>
      <c r="P123" s="96">
        <v>1994.0</v>
      </c>
      <c r="Q123" s="96">
        <v>1995.0</v>
      </c>
      <c r="R123" s="96">
        <v>1996.0</v>
      </c>
      <c r="S123" s="96">
        <v>1997.0</v>
      </c>
      <c r="T123" s="96">
        <v>1998.0</v>
      </c>
      <c r="U123" s="96">
        <v>1999.0</v>
      </c>
      <c r="V123" s="96">
        <v>2000.0</v>
      </c>
      <c r="W123" s="96">
        <v>2001.0</v>
      </c>
      <c r="X123" s="96">
        <v>2002.0</v>
      </c>
      <c r="Y123" s="96">
        <v>2003.0</v>
      </c>
      <c r="Z123" s="96">
        <v>2004.0</v>
      </c>
      <c r="AA123" s="96">
        <v>2005.0</v>
      </c>
      <c r="AB123" s="96">
        <v>2006.0</v>
      </c>
      <c r="AC123" s="96">
        <v>2007.0</v>
      </c>
      <c r="AD123" s="97">
        <v>2008.0</v>
      </c>
      <c r="AE123" s="94">
        <v>2009.0</v>
      </c>
      <c r="AF123" s="94">
        <v>2010.0</v>
      </c>
      <c r="AG123" s="94">
        <v>2011.0</v>
      </c>
      <c r="AH123" s="94">
        <v>2012.0</v>
      </c>
      <c r="AI123" s="94">
        <v>2013.0</v>
      </c>
      <c r="AJ123" s="94">
        <v>2014.0</v>
      </c>
      <c r="AK123" s="94">
        <v>2015.0</v>
      </c>
      <c r="AL123" s="94">
        <v>2016.0</v>
      </c>
      <c r="AM123" s="94">
        <v>2017.0</v>
      </c>
      <c r="AN123" s="94">
        <v>2018.0</v>
      </c>
      <c r="AO123" s="94">
        <v>2019.0</v>
      </c>
      <c r="AP123" s="94">
        <v>2020.0</v>
      </c>
      <c r="AQ123" s="94">
        <v>2021.0</v>
      </c>
      <c r="AR123" s="94">
        <v>2022.0</v>
      </c>
      <c r="AS123" s="94">
        <v>2023.0</v>
      </c>
      <c r="AT123" s="94">
        <v>2024.0</v>
      </c>
      <c r="AU123" s="94">
        <v>2025.0</v>
      </c>
      <c r="AV123" s="94">
        <v>2026.0</v>
      </c>
      <c r="AW123" s="94">
        <v>2027.0</v>
      </c>
      <c r="AX123" s="94">
        <v>2028.0</v>
      </c>
      <c r="AY123" s="94">
        <v>2029.0</v>
      </c>
      <c r="AZ123" s="99">
        <v>2030.0</v>
      </c>
    </row>
    <row r="124" ht="12.75" customHeight="1">
      <c r="A124" s="205"/>
      <c r="B124" s="220" t="s">
        <v>56</v>
      </c>
      <c r="C124" s="220" t="s">
        <v>56</v>
      </c>
      <c r="D124" s="220" t="s">
        <v>56</v>
      </c>
      <c r="E124" s="222" t="s">
        <v>57</v>
      </c>
      <c r="F124" s="222" t="s">
        <v>57</v>
      </c>
      <c r="G124" s="223" t="s">
        <v>56</v>
      </c>
      <c r="H124" s="222" t="s">
        <v>57</v>
      </c>
      <c r="I124" s="220" t="s">
        <v>56</v>
      </c>
      <c r="J124" s="220" t="s">
        <v>56</v>
      </c>
      <c r="K124" s="221" t="s">
        <v>58</v>
      </c>
      <c r="L124" s="220" t="s">
        <v>58</v>
      </c>
      <c r="M124" s="220" t="s">
        <v>56</v>
      </c>
      <c r="N124" s="221" t="s">
        <v>58</v>
      </c>
      <c r="O124" s="220" t="s">
        <v>56</v>
      </c>
      <c r="P124" s="220" t="s">
        <v>58</v>
      </c>
      <c r="Q124" s="220" t="s">
        <v>56</v>
      </c>
      <c r="R124" s="220" t="s">
        <v>56</v>
      </c>
      <c r="S124" s="220" t="s">
        <v>57</v>
      </c>
      <c r="T124" s="220" t="s">
        <v>57</v>
      </c>
      <c r="U124" s="220" t="s">
        <v>57</v>
      </c>
      <c r="V124" s="220" t="s">
        <v>56</v>
      </c>
      <c r="W124" s="221" t="s">
        <v>58</v>
      </c>
      <c r="X124" s="221" t="s">
        <v>58</v>
      </c>
      <c r="Y124" s="220" t="s">
        <v>58</v>
      </c>
      <c r="Z124" s="221" t="s">
        <v>58</v>
      </c>
      <c r="AA124" s="220" t="s">
        <v>56</v>
      </c>
      <c r="AB124" s="220" t="s">
        <v>56</v>
      </c>
      <c r="AC124" s="220" t="s">
        <v>56</v>
      </c>
      <c r="AD124" s="224" t="s">
        <v>56</v>
      </c>
      <c r="AE124" s="220" t="s">
        <v>4</v>
      </c>
      <c r="AF124" s="220" t="s">
        <v>4</v>
      </c>
      <c r="AG124" s="220" t="s">
        <v>4</v>
      </c>
      <c r="AH124" s="220" t="s">
        <v>4</v>
      </c>
      <c r="AI124" s="220" t="s">
        <v>4</v>
      </c>
      <c r="AJ124" s="220" t="s">
        <v>4</v>
      </c>
      <c r="AK124" s="220" t="s">
        <v>4</v>
      </c>
      <c r="AL124" s="220" t="s">
        <v>4</v>
      </c>
      <c r="AM124" s="220" t="s">
        <v>4</v>
      </c>
      <c r="AN124" s="220" t="s">
        <v>4</v>
      </c>
      <c r="AO124" s="220" t="s">
        <v>4</v>
      </c>
      <c r="AP124" s="220" t="s">
        <v>4</v>
      </c>
      <c r="AQ124" s="220" t="s">
        <v>4</v>
      </c>
      <c r="AR124" s="220" t="s">
        <v>4</v>
      </c>
      <c r="AS124" s="220" t="s">
        <v>4</v>
      </c>
      <c r="AT124" s="220" t="s">
        <v>4</v>
      </c>
      <c r="AU124" s="220" t="s">
        <v>4</v>
      </c>
      <c r="AV124" s="220" t="s">
        <v>4</v>
      </c>
      <c r="AW124" s="220" t="s">
        <v>4</v>
      </c>
      <c r="AX124" s="220" t="s">
        <v>4</v>
      </c>
      <c r="AY124" s="220" t="s">
        <v>4</v>
      </c>
      <c r="AZ124" s="220" t="s">
        <v>4</v>
      </c>
    </row>
    <row r="125" ht="12.75" customHeight="1">
      <c r="A125" s="107"/>
      <c r="B125" s="108">
        <f t="shared" ref="B125:AD125" si="12">IF(B124="Wet",$H134,IF(B124="Dry",$L134,$J134))</f>
        <v>184000</v>
      </c>
      <c r="C125" s="108">
        <f t="shared" si="12"/>
        <v>184000</v>
      </c>
      <c r="D125" s="108">
        <f t="shared" si="12"/>
        <v>184000</v>
      </c>
      <c r="E125" s="108">
        <f t="shared" si="12"/>
        <v>194000</v>
      </c>
      <c r="F125" s="108">
        <f t="shared" si="12"/>
        <v>194000</v>
      </c>
      <c r="G125" s="109">
        <f t="shared" si="12"/>
        <v>184000</v>
      </c>
      <c r="H125" s="108">
        <f t="shared" si="12"/>
        <v>194000</v>
      </c>
      <c r="I125" s="108">
        <f t="shared" si="12"/>
        <v>184000</v>
      </c>
      <c r="J125" s="108">
        <f t="shared" si="12"/>
        <v>184000</v>
      </c>
      <c r="K125" s="108">
        <f t="shared" si="12"/>
        <v>178000</v>
      </c>
      <c r="L125" s="108">
        <f t="shared" si="12"/>
        <v>178000</v>
      </c>
      <c r="M125" s="108">
        <f t="shared" si="12"/>
        <v>184000</v>
      </c>
      <c r="N125" s="108">
        <f t="shared" si="12"/>
        <v>178000</v>
      </c>
      <c r="O125" s="108">
        <f t="shared" si="12"/>
        <v>184000</v>
      </c>
      <c r="P125" s="108">
        <f t="shared" si="12"/>
        <v>178000</v>
      </c>
      <c r="Q125" s="108">
        <f t="shared" si="12"/>
        <v>184000</v>
      </c>
      <c r="R125" s="108">
        <f t="shared" si="12"/>
        <v>184000</v>
      </c>
      <c r="S125" s="108">
        <f t="shared" si="12"/>
        <v>194000</v>
      </c>
      <c r="T125" s="108">
        <f t="shared" si="12"/>
        <v>194000</v>
      </c>
      <c r="U125" s="108">
        <f t="shared" si="12"/>
        <v>194000</v>
      </c>
      <c r="V125" s="108">
        <f t="shared" si="12"/>
        <v>184000</v>
      </c>
      <c r="W125" s="108">
        <f t="shared" si="12"/>
        <v>178000</v>
      </c>
      <c r="X125" s="108">
        <f t="shared" si="12"/>
        <v>178000</v>
      </c>
      <c r="Y125" s="108">
        <f t="shared" si="12"/>
        <v>178000</v>
      </c>
      <c r="Z125" s="108">
        <f t="shared" si="12"/>
        <v>178000</v>
      </c>
      <c r="AA125" s="108">
        <f t="shared" si="12"/>
        <v>184000</v>
      </c>
      <c r="AB125" s="108">
        <f t="shared" si="12"/>
        <v>184000</v>
      </c>
      <c r="AC125" s="108">
        <f t="shared" si="12"/>
        <v>184000</v>
      </c>
      <c r="AD125" s="110">
        <f t="shared" si="12"/>
        <v>184000</v>
      </c>
      <c r="AE125" s="108" t="s">
        <v>7</v>
      </c>
      <c r="AF125" s="108" t="s">
        <v>7</v>
      </c>
      <c r="AG125" s="108" t="s">
        <v>7</v>
      </c>
      <c r="AH125" s="108" t="s">
        <v>7</v>
      </c>
      <c r="AI125" s="108" t="s">
        <v>7</v>
      </c>
      <c r="AJ125" s="108" t="s">
        <v>7</v>
      </c>
      <c r="AK125" s="108" t="s">
        <v>7</v>
      </c>
      <c r="AL125" s="108" t="s">
        <v>7</v>
      </c>
      <c r="AM125" s="108" t="s">
        <v>7</v>
      </c>
      <c r="AN125" s="108" t="s">
        <v>7</v>
      </c>
      <c r="AO125" s="108" t="s">
        <v>7</v>
      </c>
      <c r="AP125" s="108" t="s">
        <v>7</v>
      </c>
      <c r="AQ125" s="108" t="s">
        <v>7</v>
      </c>
      <c r="AR125" s="108" t="s">
        <v>7</v>
      </c>
      <c r="AS125" s="108" t="s">
        <v>7</v>
      </c>
      <c r="AT125" s="108" t="s">
        <v>7</v>
      </c>
      <c r="AU125" s="108" t="s">
        <v>7</v>
      </c>
      <c r="AV125" s="108" t="s">
        <v>7</v>
      </c>
      <c r="AW125" s="108" t="s">
        <v>7</v>
      </c>
      <c r="AX125" s="108" t="s">
        <v>7</v>
      </c>
      <c r="AY125" s="108" t="s">
        <v>7</v>
      </c>
      <c r="AZ125" s="108" t="s">
        <v>7</v>
      </c>
    </row>
    <row r="126" ht="12.75" customHeight="1">
      <c r="A126" s="117" t="s">
        <v>1</v>
      </c>
      <c r="B126" s="118"/>
      <c r="C126" s="118"/>
      <c r="D126" s="118"/>
      <c r="E126" s="118"/>
      <c r="F126" s="118"/>
      <c r="G126" s="119"/>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21"/>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22"/>
    </row>
    <row r="127" ht="12.75" customHeight="1">
      <c r="A127" s="123" t="s">
        <v>62</v>
      </c>
      <c r="B127" s="213" t="s">
        <v>7</v>
      </c>
      <c r="C127" s="213" t="s">
        <v>7</v>
      </c>
      <c r="D127" s="213" t="s">
        <v>7</v>
      </c>
      <c r="E127" s="213" t="s">
        <v>7</v>
      </c>
      <c r="F127" s="213" t="s">
        <v>7</v>
      </c>
      <c r="G127" s="125">
        <f>'NDVI Acreage'!H16</f>
        <v>71813.5</v>
      </c>
      <c r="H127" s="127">
        <f>'NDVI Acreage'!I16</f>
        <v>106706.5</v>
      </c>
      <c r="I127" s="127">
        <f>'NDVI Acreage'!J16</f>
        <v>140276</v>
      </c>
      <c r="J127" s="127">
        <f>'NDVI Acreage'!K16</f>
        <v>73190.5</v>
      </c>
      <c r="K127" s="127">
        <f>'NDVI Acreage'!L16</f>
        <v>111408.5</v>
      </c>
      <c r="L127" s="127">
        <f>'NDVI Acreage'!M16</f>
        <v>105426.5</v>
      </c>
      <c r="M127" s="127">
        <f>'NDVI Acreage'!N16</f>
        <v>156309.5</v>
      </c>
      <c r="N127" s="127">
        <f>'NDVI Acreage'!O16</f>
        <v>144428</v>
      </c>
      <c r="O127" s="127">
        <f>'NDVI Acreage'!P16</f>
        <v>198116.5</v>
      </c>
      <c r="P127" s="127">
        <f>'NDVI Acreage'!Q16</f>
        <v>112212</v>
      </c>
      <c r="Q127" s="127">
        <f>'NDVI Acreage'!R16</f>
        <v>207333</v>
      </c>
      <c r="R127" s="127">
        <f>'NDVI Acreage'!S16</f>
        <v>115874.5</v>
      </c>
      <c r="S127" s="127">
        <f>'NDVI Acreage'!T16</f>
        <v>168235.5</v>
      </c>
      <c r="T127" s="127">
        <f>'NDVI Acreage'!U16</f>
        <v>140440.5</v>
      </c>
      <c r="U127" s="127">
        <f>'NDVI Acreage'!V16</f>
        <v>135249.5</v>
      </c>
      <c r="V127" s="127">
        <f>'NDVI Acreage'!W16</f>
        <v>97228</v>
      </c>
      <c r="W127" s="127">
        <f>'NDVI Acreage'!X16</f>
        <v>74189.5</v>
      </c>
      <c r="X127" s="127">
        <f>'NDVI Acreage'!Y16</f>
        <v>88300.5</v>
      </c>
      <c r="Y127" s="127">
        <f>'NDVI Acreage'!Z16</f>
        <v>114065.5</v>
      </c>
      <c r="Z127" s="127">
        <f>'NDVI Acreage'!AA16</f>
        <v>89888</v>
      </c>
      <c r="AA127" s="127">
        <f>'NDVI Acreage'!AB16</f>
        <v>130202.5</v>
      </c>
      <c r="AB127" s="127">
        <f>'NDVI Acreage'!AC16</f>
        <v>55393</v>
      </c>
      <c r="AC127" s="127">
        <f>'NDVI Acreage'!AD16</f>
        <v>120757.5</v>
      </c>
      <c r="AD127" s="133">
        <f>'NDVI Acreage'!AE16</f>
        <v>126818</v>
      </c>
      <c r="AE127" s="127">
        <f>'NDVI Acreage'!AF16</f>
        <v>110953.5</v>
      </c>
      <c r="AF127" s="127">
        <f>'NDVI Acreage'!AG16</f>
        <v>141051.5</v>
      </c>
      <c r="AG127" s="127">
        <f>'NDVI Acreage'!AH16</f>
        <v>147841.5</v>
      </c>
      <c r="AH127" s="127">
        <f>'NDVI Acreage'!AI16</f>
        <v>75077</v>
      </c>
      <c r="AI127" s="127">
        <f>'NDVI Acreage'!AJ16</f>
        <v>129199.5</v>
      </c>
      <c r="AJ127" s="127">
        <f>'NDVI Acreage'!AK16</f>
        <v>140502</v>
      </c>
      <c r="AK127" s="127">
        <f>'NDVI Acreage'!AL16</f>
        <v>117777</v>
      </c>
      <c r="AL127" s="127">
        <f>'NDVI Acreage'!AM16</f>
        <v>126958.5</v>
      </c>
      <c r="AM127" s="127">
        <f>'NDVI Acreage'!AN16</f>
        <v>173505.5</v>
      </c>
      <c r="AN127" s="127">
        <f>'NDVI Acreage'!AO16</f>
        <v>190941.5</v>
      </c>
      <c r="AO127" s="127" t="str">
        <f>'NDVI Acreage'!AP16</f>
        <v>#DIV/0!</v>
      </c>
      <c r="AP127" s="127" t="str">
        <f>'NDVI Acreage'!AQ16</f>
        <v>#DIV/0!</v>
      </c>
      <c r="AQ127" s="127" t="str">
        <f>'NDVI Acreage'!AR16</f>
        <v>#DIV/0!</v>
      </c>
      <c r="AR127" s="127" t="str">
        <f>'NDVI Acreage'!AS16</f>
        <v>#DIV/0!</v>
      </c>
      <c r="AS127" s="127" t="str">
        <f>'NDVI Acreage'!AT16</f>
        <v>#DIV/0!</v>
      </c>
      <c r="AT127" s="127" t="str">
        <f>'NDVI Acreage'!AU16</f>
        <v>#DIV/0!</v>
      </c>
      <c r="AU127" s="127" t="str">
        <f>'NDVI Acreage'!AV16</f>
        <v>#DIV/0!</v>
      </c>
      <c r="AV127" s="127" t="str">
        <f>'NDVI Acreage'!AW16</f>
        <v>#DIV/0!</v>
      </c>
      <c r="AW127" s="127" t="str">
        <f>'NDVI Acreage'!AX16</f>
        <v>#DIV/0!</v>
      </c>
      <c r="AX127" s="127" t="str">
        <f>'NDVI Acreage'!AY16</f>
        <v>#DIV/0!</v>
      </c>
      <c r="AY127" s="127" t="str">
        <f>'NDVI Acreage'!AZ16</f>
        <v>#DIV/0!</v>
      </c>
      <c r="AZ127" s="127" t="str">
        <f>'NDVI Acreage'!BA16</f>
        <v>#DIV/0!</v>
      </c>
    </row>
    <row r="128" ht="12.75" customHeight="1">
      <c r="A128" s="141" t="s">
        <v>67</v>
      </c>
      <c r="B128" s="218" t="s">
        <v>7</v>
      </c>
      <c r="C128" s="218" t="s">
        <v>7</v>
      </c>
      <c r="D128" s="218" t="s">
        <v>7</v>
      </c>
      <c r="E128" s="218" t="s">
        <v>7</v>
      </c>
      <c r="F128" s="218" t="s">
        <v>7</v>
      </c>
      <c r="G128" s="144">
        <f t="shared" ref="G128:AZ128" si="13">G127*$B134</f>
        <v>100502.9933</v>
      </c>
      <c r="H128" s="145">
        <f t="shared" si="13"/>
        <v>149335.7468</v>
      </c>
      <c r="I128" s="145">
        <f t="shared" si="13"/>
        <v>196316.262</v>
      </c>
      <c r="J128" s="145">
        <f t="shared" si="13"/>
        <v>102430.1048</v>
      </c>
      <c r="K128" s="145">
        <f t="shared" si="13"/>
        <v>155916.1958</v>
      </c>
      <c r="L128" s="145">
        <f t="shared" si="13"/>
        <v>147544.3868</v>
      </c>
      <c r="M128" s="145">
        <f t="shared" si="13"/>
        <v>218755.1453</v>
      </c>
      <c r="N128" s="145">
        <f t="shared" si="13"/>
        <v>202126.986</v>
      </c>
      <c r="O128" s="145">
        <f t="shared" si="13"/>
        <v>277264.0418</v>
      </c>
      <c r="P128" s="145">
        <f t="shared" si="13"/>
        <v>157040.694</v>
      </c>
      <c r="Q128" s="145">
        <f t="shared" si="13"/>
        <v>290162.5335</v>
      </c>
      <c r="R128" s="145">
        <f t="shared" si="13"/>
        <v>162166.3628</v>
      </c>
      <c r="S128" s="145">
        <f t="shared" si="13"/>
        <v>235445.5823</v>
      </c>
      <c r="T128" s="145">
        <f t="shared" si="13"/>
        <v>196546.4798</v>
      </c>
      <c r="U128" s="145">
        <f t="shared" si="13"/>
        <v>189281.6753</v>
      </c>
      <c r="V128" s="145">
        <f t="shared" si="13"/>
        <v>136070.586</v>
      </c>
      <c r="W128" s="145">
        <f t="shared" si="13"/>
        <v>103828.2053</v>
      </c>
      <c r="X128" s="145">
        <f t="shared" si="13"/>
        <v>123576.5498</v>
      </c>
      <c r="Y128" s="145">
        <f t="shared" si="13"/>
        <v>159634.6673</v>
      </c>
      <c r="Z128" s="145">
        <f t="shared" si="13"/>
        <v>125798.256</v>
      </c>
      <c r="AA128" s="145">
        <f t="shared" si="13"/>
        <v>182218.3988</v>
      </c>
      <c r="AB128" s="145">
        <f t="shared" si="13"/>
        <v>77522.5035</v>
      </c>
      <c r="AC128" s="145">
        <f t="shared" si="13"/>
        <v>169000.1213</v>
      </c>
      <c r="AD128" s="146">
        <f t="shared" si="13"/>
        <v>177481.791</v>
      </c>
      <c r="AE128" s="145">
        <f t="shared" si="13"/>
        <v>155279.4233</v>
      </c>
      <c r="AF128" s="145">
        <f t="shared" si="13"/>
        <v>197401.5743</v>
      </c>
      <c r="AG128" s="145">
        <f t="shared" si="13"/>
        <v>206904.1793</v>
      </c>
      <c r="AH128" s="145">
        <f t="shared" si="13"/>
        <v>105070.2615</v>
      </c>
      <c r="AI128" s="145">
        <f t="shared" si="13"/>
        <v>180814.7003</v>
      </c>
      <c r="AJ128" s="145">
        <f t="shared" si="13"/>
        <v>196632.549</v>
      </c>
      <c r="AK128" s="145">
        <f t="shared" si="13"/>
        <v>164828.9115</v>
      </c>
      <c r="AL128" s="145">
        <f t="shared" si="13"/>
        <v>177678.4208</v>
      </c>
      <c r="AM128" s="145">
        <f t="shared" si="13"/>
        <v>242820.9473</v>
      </c>
      <c r="AN128" s="145">
        <f t="shared" si="13"/>
        <v>267222.6293</v>
      </c>
      <c r="AO128" s="145" t="str">
        <f t="shared" si="13"/>
        <v>#DIV/0!</v>
      </c>
      <c r="AP128" s="145" t="str">
        <f t="shared" si="13"/>
        <v>#DIV/0!</v>
      </c>
      <c r="AQ128" s="145" t="str">
        <f t="shared" si="13"/>
        <v>#DIV/0!</v>
      </c>
      <c r="AR128" s="145" t="str">
        <f t="shared" si="13"/>
        <v>#DIV/0!</v>
      </c>
      <c r="AS128" s="145" t="str">
        <f t="shared" si="13"/>
        <v>#DIV/0!</v>
      </c>
      <c r="AT128" s="145" t="str">
        <f t="shared" si="13"/>
        <v>#DIV/0!</v>
      </c>
      <c r="AU128" s="145" t="str">
        <f t="shared" si="13"/>
        <v>#DIV/0!</v>
      </c>
      <c r="AV128" s="145" t="str">
        <f t="shared" si="13"/>
        <v>#DIV/0!</v>
      </c>
      <c r="AW128" s="145" t="str">
        <f t="shared" si="13"/>
        <v>#DIV/0!</v>
      </c>
      <c r="AX128" s="145" t="str">
        <f t="shared" si="13"/>
        <v>#DIV/0!</v>
      </c>
      <c r="AY128" s="145" t="str">
        <f t="shared" si="13"/>
        <v>#DIV/0!</v>
      </c>
      <c r="AZ128" s="145" t="str">
        <f t="shared" si="13"/>
        <v>#DIV/0!</v>
      </c>
    </row>
    <row r="129" ht="12.75" customHeight="1">
      <c r="A129" s="150" t="s">
        <v>70</v>
      </c>
      <c r="B129" s="230" t="s">
        <v>7</v>
      </c>
      <c r="C129" s="230" t="s">
        <v>7</v>
      </c>
      <c r="D129" s="230" t="s">
        <v>7</v>
      </c>
      <c r="E129" s="230" t="s">
        <v>7</v>
      </c>
      <c r="F129" s="230" t="s">
        <v>7</v>
      </c>
      <c r="G129" s="151">
        <f t="shared" ref="G129:AZ129" si="14">G128*$B135</f>
        <v>100388.3502</v>
      </c>
      <c r="H129" s="152">
        <f t="shared" si="14"/>
        <v>149165.4006</v>
      </c>
      <c r="I129" s="152">
        <f t="shared" si="14"/>
        <v>196092.3255</v>
      </c>
      <c r="J129" s="152">
        <f t="shared" si="14"/>
        <v>102313.2635</v>
      </c>
      <c r="K129" s="152">
        <f t="shared" si="14"/>
        <v>155738.3433</v>
      </c>
      <c r="L129" s="152">
        <f t="shared" si="14"/>
        <v>147376.084</v>
      </c>
      <c r="M129" s="152">
        <f t="shared" si="14"/>
        <v>218505.6129</v>
      </c>
      <c r="N129" s="152">
        <f t="shared" si="14"/>
        <v>201896.4212</v>
      </c>
      <c r="O129" s="152">
        <f t="shared" si="14"/>
        <v>276947.7687</v>
      </c>
      <c r="P129" s="152">
        <f t="shared" si="14"/>
        <v>156861.5588</v>
      </c>
      <c r="Q129" s="152">
        <f t="shared" si="14"/>
        <v>289831.5472</v>
      </c>
      <c r="R129" s="152">
        <f t="shared" si="14"/>
        <v>161981.3808</v>
      </c>
      <c r="S129" s="152">
        <f t="shared" si="14"/>
        <v>235177.0112</v>
      </c>
      <c r="T129" s="152">
        <f t="shared" si="14"/>
        <v>196322.2806</v>
      </c>
      <c r="U129" s="152">
        <f t="shared" si="14"/>
        <v>189065.763</v>
      </c>
      <c r="V129" s="152">
        <f t="shared" si="14"/>
        <v>135915.3713</v>
      </c>
      <c r="W129" s="152">
        <f t="shared" si="14"/>
        <v>103709.7692</v>
      </c>
      <c r="X129" s="152">
        <f t="shared" si="14"/>
        <v>123435.5869</v>
      </c>
      <c r="Y129" s="152">
        <f t="shared" si="14"/>
        <v>159452.5732</v>
      </c>
      <c r="Z129" s="152">
        <f t="shared" si="14"/>
        <v>125654.7589</v>
      </c>
      <c r="AA129" s="152">
        <f t="shared" si="14"/>
        <v>182010.5436</v>
      </c>
      <c r="AB129" s="152">
        <f t="shared" si="14"/>
        <v>77434.07415</v>
      </c>
      <c r="AC129" s="152">
        <f t="shared" si="14"/>
        <v>168807.3441</v>
      </c>
      <c r="AD129" s="159">
        <f t="shared" si="14"/>
        <v>177279.3388</v>
      </c>
      <c r="AE129" s="152">
        <f t="shared" si="14"/>
        <v>155102.2972</v>
      </c>
      <c r="AF129" s="152">
        <f t="shared" si="14"/>
        <v>197176.3997</v>
      </c>
      <c r="AG129" s="152">
        <f t="shared" si="14"/>
        <v>206668.1652</v>
      </c>
      <c r="AH129" s="152">
        <f t="shared" si="14"/>
        <v>104950.4086</v>
      </c>
      <c r="AI129" s="152">
        <f t="shared" si="14"/>
        <v>180608.4463</v>
      </c>
      <c r="AJ129" s="152">
        <f t="shared" si="14"/>
        <v>196408.2517</v>
      </c>
      <c r="AK129" s="152">
        <f t="shared" si="14"/>
        <v>164640.8924</v>
      </c>
      <c r="AL129" s="152">
        <f t="shared" si="14"/>
        <v>177475.7443</v>
      </c>
      <c r="AM129" s="152">
        <f t="shared" si="14"/>
        <v>242543.9632</v>
      </c>
      <c r="AN129" s="152">
        <f t="shared" si="14"/>
        <v>266917.8104</v>
      </c>
      <c r="AO129" s="152" t="str">
        <f t="shared" si="14"/>
        <v>#DIV/0!</v>
      </c>
      <c r="AP129" s="152" t="str">
        <f t="shared" si="14"/>
        <v>#DIV/0!</v>
      </c>
      <c r="AQ129" s="152" t="str">
        <f t="shared" si="14"/>
        <v>#DIV/0!</v>
      </c>
      <c r="AR129" s="152" t="str">
        <f t="shared" si="14"/>
        <v>#DIV/0!</v>
      </c>
      <c r="AS129" s="152" t="str">
        <f t="shared" si="14"/>
        <v>#DIV/0!</v>
      </c>
      <c r="AT129" s="152" t="str">
        <f t="shared" si="14"/>
        <v>#DIV/0!</v>
      </c>
      <c r="AU129" s="152" t="str">
        <f t="shared" si="14"/>
        <v>#DIV/0!</v>
      </c>
      <c r="AV129" s="152" t="str">
        <f t="shared" si="14"/>
        <v>#DIV/0!</v>
      </c>
      <c r="AW129" s="152" t="str">
        <f t="shared" si="14"/>
        <v>#DIV/0!</v>
      </c>
      <c r="AX129" s="152" t="str">
        <f t="shared" si="14"/>
        <v>#DIV/0!</v>
      </c>
      <c r="AY129" s="152" t="str">
        <f t="shared" si="14"/>
        <v>#DIV/0!</v>
      </c>
      <c r="AZ129" s="152" t="str">
        <f t="shared" si="14"/>
        <v>#DIV/0!</v>
      </c>
    </row>
    <row r="130" ht="12.75" customHeight="1">
      <c r="A130" s="165" t="s">
        <v>74</v>
      </c>
      <c r="B130" s="231" t="s">
        <v>7</v>
      </c>
      <c r="C130" s="231" t="s">
        <v>7</v>
      </c>
      <c r="D130" s="231" t="s">
        <v>7</v>
      </c>
      <c r="E130" s="231" t="s">
        <v>7</v>
      </c>
      <c r="F130" s="231" t="s">
        <v>7</v>
      </c>
      <c r="G130" s="168">
        <f t="shared" ref="G130:AZ130" si="15">G128*$B136</f>
        <v>114.6430248</v>
      </c>
      <c r="H130" s="169">
        <f t="shared" si="15"/>
        <v>170.3461873</v>
      </c>
      <c r="I130" s="169">
        <f t="shared" si="15"/>
        <v>223.9365153</v>
      </c>
      <c r="J130" s="169">
        <f t="shared" si="15"/>
        <v>116.8412667</v>
      </c>
      <c r="K130" s="169">
        <f t="shared" si="15"/>
        <v>177.8524571</v>
      </c>
      <c r="L130" s="169">
        <f t="shared" si="15"/>
        <v>168.3027961</v>
      </c>
      <c r="M130" s="169">
        <f t="shared" si="15"/>
        <v>249.5323843</v>
      </c>
      <c r="N130" s="169">
        <f t="shared" si="15"/>
        <v>230.5647654</v>
      </c>
      <c r="O130" s="169">
        <f t="shared" si="15"/>
        <v>316.273052</v>
      </c>
      <c r="P130" s="169">
        <f t="shared" si="15"/>
        <v>179.1351639</v>
      </c>
      <c r="Q130" s="169">
        <f t="shared" si="15"/>
        <v>330.9862666</v>
      </c>
      <c r="R130" s="169">
        <f t="shared" si="15"/>
        <v>184.9819766</v>
      </c>
      <c r="S130" s="169">
        <f t="shared" si="15"/>
        <v>268.571043</v>
      </c>
      <c r="T130" s="169">
        <f t="shared" si="15"/>
        <v>224.199123</v>
      </c>
      <c r="U130" s="169">
        <f t="shared" si="15"/>
        <v>215.912214</v>
      </c>
      <c r="V130" s="169">
        <f t="shared" si="15"/>
        <v>155.2147161</v>
      </c>
      <c r="W130" s="169">
        <f t="shared" si="15"/>
        <v>118.4360696</v>
      </c>
      <c r="X130" s="169">
        <f t="shared" si="15"/>
        <v>140.9628609</v>
      </c>
      <c r="Y130" s="169">
        <f t="shared" si="15"/>
        <v>182.0940901</v>
      </c>
      <c r="Z130" s="169">
        <f t="shared" si="15"/>
        <v>143.4971448</v>
      </c>
      <c r="AA130" s="169">
        <f t="shared" si="15"/>
        <v>207.8551865</v>
      </c>
      <c r="AB130" s="169">
        <f t="shared" si="15"/>
        <v>88.42934923</v>
      </c>
      <c r="AC130" s="169">
        <f t="shared" si="15"/>
        <v>192.7771946</v>
      </c>
      <c r="AD130" s="173">
        <f t="shared" si="15"/>
        <v>202.4521729</v>
      </c>
      <c r="AE130" s="175">
        <f t="shared" si="15"/>
        <v>177.1260954</v>
      </c>
      <c r="AF130" s="175">
        <f t="shared" si="15"/>
        <v>225.174523</v>
      </c>
      <c r="AG130" s="175">
        <f t="shared" si="15"/>
        <v>236.0140746</v>
      </c>
      <c r="AH130" s="175">
        <f t="shared" si="15"/>
        <v>119.852874</v>
      </c>
      <c r="AI130" s="175">
        <f t="shared" si="15"/>
        <v>206.2539979</v>
      </c>
      <c r="AJ130" s="175">
        <f t="shared" si="15"/>
        <v>224.2973016</v>
      </c>
      <c r="AK130" s="175">
        <f t="shared" si="15"/>
        <v>188.0191263</v>
      </c>
      <c r="AL130" s="175">
        <f t="shared" si="15"/>
        <v>202.676467</v>
      </c>
      <c r="AM130" s="175">
        <f t="shared" si="15"/>
        <v>276.9840675</v>
      </c>
      <c r="AN130" s="175">
        <f t="shared" si="15"/>
        <v>304.8188866</v>
      </c>
      <c r="AO130" s="175" t="str">
        <f t="shared" si="15"/>
        <v>#DIV/0!</v>
      </c>
      <c r="AP130" s="175" t="str">
        <f t="shared" si="15"/>
        <v>#DIV/0!</v>
      </c>
      <c r="AQ130" s="175" t="str">
        <f t="shared" si="15"/>
        <v>#DIV/0!</v>
      </c>
      <c r="AR130" s="175" t="str">
        <f t="shared" si="15"/>
        <v>#DIV/0!</v>
      </c>
      <c r="AS130" s="175" t="str">
        <f t="shared" si="15"/>
        <v>#DIV/0!</v>
      </c>
      <c r="AT130" s="175" t="str">
        <f t="shared" si="15"/>
        <v>#DIV/0!</v>
      </c>
      <c r="AU130" s="175" t="str">
        <f t="shared" si="15"/>
        <v>#DIV/0!</v>
      </c>
      <c r="AV130" s="175" t="str">
        <f t="shared" si="15"/>
        <v>#DIV/0!</v>
      </c>
      <c r="AW130" s="175" t="str">
        <f t="shared" si="15"/>
        <v>#DIV/0!</v>
      </c>
      <c r="AX130" s="175" t="str">
        <f t="shared" si="15"/>
        <v>#DIV/0!</v>
      </c>
      <c r="AY130" s="175" t="str">
        <f t="shared" si="15"/>
        <v>#DIV/0!</v>
      </c>
      <c r="AZ130" s="175" t="str">
        <f t="shared" si="15"/>
        <v>#DIV/0!</v>
      </c>
    </row>
    <row r="131" ht="12.75" customHeight="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row>
    <row r="132" ht="12.75" customHeight="1">
      <c r="A132" s="89"/>
      <c r="B132" s="182" t="s">
        <v>77</v>
      </c>
      <c r="C132" s="183"/>
      <c r="D132" s="89"/>
      <c r="E132" s="184"/>
      <c r="G132" s="185"/>
      <c r="H132" s="186" t="s">
        <v>82</v>
      </c>
      <c r="I132" s="183"/>
      <c r="J132" s="186" t="s">
        <v>86</v>
      </c>
      <c r="K132" s="183"/>
      <c r="L132" s="186" t="s">
        <v>87</v>
      </c>
      <c r="M132" s="183"/>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row>
    <row r="133" ht="12.75" customHeight="1">
      <c r="A133" s="89"/>
      <c r="B133" s="187" t="s">
        <v>89</v>
      </c>
      <c r="C133" s="187" t="s">
        <v>91</v>
      </c>
      <c r="D133" s="89"/>
      <c r="E133" s="184" t="s">
        <v>94</v>
      </c>
      <c r="G133" s="185"/>
      <c r="H133" s="182">
        <v>4.0</v>
      </c>
      <c r="I133" s="183"/>
      <c r="J133" s="182">
        <f>24-H133-L133</f>
        <v>12</v>
      </c>
      <c r="K133" s="183"/>
      <c r="L133" s="182">
        <v>8.0</v>
      </c>
      <c r="M133" s="183"/>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row>
    <row r="134" ht="12.75" customHeight="1">
      <c r="A134" s="188" t="s">
        <v>98</v>
      </c>
      <c r="B134" s="187">
        <v>1.3995</v>
      </c>
      <c r="C134" s="187">
        <v>0.0</v>
      </c>
      <c r="D134" s="89"/>
      <c r="E134" s="184" t="s">
        <v>101</v>
      </c>
      <c r="G134" s="185"/>
      <c r="H134" s="182">
        <v>194000.0</v>
      </c>
      <c r="I134" s="183"/>
      <c r="J134" s="182">
        <v>184000.0</v>
      </c>
      <c r="K134" s="183"/>
      <c r="L134" s="182">
        <v>178000.0</v>
      </c>
      <c r="M134" s="183"/>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row>
    <row r="135" ht="12.75" customHeight="1">
      <c r="A135" s="188" t="s">
        <v>103</v>
      </c>
      <c r="B135" s="194">
        <f>1-B136</f>
        <v>0.9988593074</v>
      </c>
      <c r="C135" s="183"/>
      <c r="D135" s="89"/>
      <c r="E135" s="184" t="s">
        <v>67</v>
      </c>
      <c r="G135" s="185"/>
      <c r="H135" s="189">
        <f>SUM(H128,S128:U128)</f>
        <v>770609.484</v>
      </c>
      <c r="I135" s="183"/>
      <c r="J135" s="189">
        <f>AVERAGE(G128,I128:J128,M128,O128,Q128:R128,V128,AA128:AD128)</f>
        <v>174157.5703</v>
      </c>
      <c r="K135" s="183"/>
      <c r="L135" s="189">
        <f>AVERAGE(K128:L128,N128,P128,W128:Z128)</f>
        <v>146933.2426</v>
      </c>
      <c r="M135" s="183"/>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row>
    <row r="136" ht="12.75" customHeight="1">
      <c r="A136" s="188" t="s">
        <v>107</v>
      </c>
      <c r="B136" s="194">
        <f>210.8/184800</f>
        <v>0.001140692641</v>
      </c>
      <c r="C136" s="183"/>
      <c r="D136" s="89"/>
      <c r="E136" s="184" t="s">
        <v>108</v>
      </c>
      <c r="G136" s="185"/>
      <c r="H136" s="198">
        <f>H135/H134-1</f>
        <v>2.972213835</v>
      </c>
      <c r="I136" s="183"/>
      <c r="J136" s="198">
        <f>J135/J134-1</f>
        <v>-0.05349146569</v>
      </c>
      <c r="K136" s="183"/>
      <c r="L136" s="198">
        <f>L135/L134-1</f>
        <v>-0.174532345</v>
      </c>
      <c r="M136" s="183"/>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row>
    <row r="137" ht="12.75" customHeight="1">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row>
    <row r="138" ht="12.75" customHeight="1">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row>
    <row r="139" ht="12.75" customHeight="1">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row>
    <row r="140" ht="12.75" customHeight="1">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row>
    <row r="141" ht="12.75" customHeight="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row>
    <row r="142" ht="12.75" customHeight="1">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row>
    <row r="143" ht="12.75" customHeight="1">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row>
    <row r="144" ht="12.75" customHeight="1">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row>
    <row r="145" ht="12.75" customHeight="1">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row>
    <row r="146" ht="12.75" customHeight="1">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row>
    <row r="147" ht="12.75" customHeight="1">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row>
    <row r="148" ht="12.75" customHeight="1">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row>
    <row r="149" ht="12.75" customHeight="1">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row>
    <row r="150" ht="12.75" customHeight="1">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row>
    <row r="151" ht="12.75" customHeight="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row>
    <row r="152" ht="12.75" customHeight="1">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row>
    <row r="153" ht="12.75" customHeight="1">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row>
    <row r="154" ht="12.75" customHeight="1">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row>
    <row r="155" ht="12.75" customHeight="1">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row>
    <row r="156" ht="12.75" customHeight="1">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row>
    <row r="157" ht="12.75" customHeight="1">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row>
    <row r="158" ht="12.75" customHeight="1">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row>
    <row r="159" ht="12.75" customHeight="1">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row>
    <row r="160" ht="12.75" customHeight="1">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row>
    <row r="161" ht="12.75" customHeight="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row>
    <row r="162" ht="12.75" customHeight="1">
      <c r="A162" s="91" t="s">
        <v>12</v>
      </c>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2"/>
    </row>
    <row r="163" ht="12.75" customHeight="1">
      <c r="A163" s="93" t="s">
        <v>53</v>
      </c>
      <c r="B163" s="232">
        <v>1980.0</v>
      </c>
      <c r="C163" s="94">
        <v>1981.0</v>
      </c>
      <c r="D163" s="94">
        <v>1982.0</v>
      </c>
      <c r="E163" s="94">
        <v>1983.0</v>
      </c>
      <c r="F163" s="94">
        <v>1984.0</v>
      </c>
      <c r="G163" s="95">
        <v>1985.0</v>
      </c>
      <c r="H163" s="96">
        <v>1986.0</v>
      </c>
      <c r="I163" s="96">
        <v>1987.0</v>
      </c>
      <c r="J163" s="96">
        <v>1988.0</v>
      </c>
      <c r="K163" s="96">
        <v>1989.0</v>
      </c>
      <c r="L163" s="96">
        <v>1990.0</v>
      </c>
      <c r="M163" s="96">
        <v>1991.0</v>
      </c>
      <c r="N163" s="96">
        <v>1992.0</v>
      </c>
      <c r="O163" s="96">
        <v>1993.0</v>
      </c>
      <c r="P163" s="96">
        <v>1994.0</v>
      </c>
      <c r="Q163" s="96">
        <v>1995.0</v>
      </c>
      <c r="R163" s="96">
        <v>1996.0</v>
      </c>
      <c r="S163" s="96">
        <v>1997.0</v>
      </c>
      <c r="T163" s="96">
        <v>1998.0</v>
      </c>
      <c r="U163" s="96">
        <v>1999.0</v>
      </c>
      <c r="V163" s="96">
        <v>2000.0</v>
      </c>
      <c r="W163" s="96">
        <v>2001.0</v>
      </c>
      <c r="X163" s="96">
        <v>2002.0</v>
      </c>
      <c r="Y163" s="96">
        <v>2003.0</v>
      </c>
      <c r="Z163" s="96">
        <v>2004.0</v>
      </c>
      <c r="AA163" s="96">
        <v>2005.0</v>
      </c>
      <c r="AB163" s="96">
        <v>2006.0</v>
      </c>
      <c r="AC163" s="96">
        <v>2007.0</v>
      </c>
      <c r="AD163" s="96">
        <v>2008.0</v>
      </c>
      <c r="AE163" s="96">
        <v>2009.0</v>
      </c>
      <c r="AF163" s="96">
        <v>2010.0</v>
      </c>
      <c r="AG163" s="96">
        <v>2011.0</v>
      </c>
      <c r="AH163" s="96">
        <v>2012.0</v>
      </c>
      <c r="AI163" s="96">
        <v>2013.0</v>
      </c>
      <c r="AJ163" s="96">
        <v>2014.0</v>
      </c>
      <c r="AK163" s="96">
        <v>2015.0</v>
      </c>
      <c r="AL163" s="96">
        <v>2016.0</v>
      </c>
      <c r="AM163" s="96">
        <v>2017.0</v>
      </c>
      <c r="AN163" s="97">
        <v>2018.0</v>
      </c>
      <c r="AO163" s="94">
        <v>2019.0</v>
      </c>
      <c r="AP163" s="94">
        <v>2020.0</v>
      </c>
      <c r="AQ163" s="94">
        <v>2021.0</v>
      </c>
      <c r="AR163" s="94">
        <v>2022.0</v>
      </c>
      <c r="AS163" s="94">
        <v>2023.0</v>
      </c>
      <c r="AT163" s="94">
        <v>2024.0</v>
      </c>
      <c r="AU163" s="94">
        <v>2025.0</v>
      </c>
      <c r="AV163" s="94">
        <v>2026.0</v>
      </c>
      <c r="AW163" s="94">
        <v>2027.0</v>
      </c>
      <c r="AX163" s="94">
        <v>2028.0</v>
      </c>
      <c r="AY163" s="94">
        <v>2029.0</v>
      </c>
      <c r="AZ163" s="99">
        <v>2030.0</v>
      </c>
    </row>
    <row r="164" ht="12.75" customHeight="1">
      <c r="A164" s="233"/>
      <c r="B164" s="104" t="s">
        <v>58</v>
      </c>
      <c r="C164" s="104" t="s">
        <v>58</v>
      </c>
      <c r="D164" s="101" t="s">
        <v>56</v>
      </c>
      <c r="E164" s="101" t="s">
        <v>56</v>
      </c>
      <c r="F164" s="101" t="s">
        <v>56</v>
      </c>
      <c r="G164" s="234" t="s">
        <v>58</v>
      </c>
      <c r="H164" s="101" t="s">
        <v>56</v>
      </c>
      <c r="I164" s="101" t="s">
        <v>56</v>
      </c>
      <c r="J164" s="104" t="s">
        <v>58</v>
      </c>
      <c r="K164" s="101" t="s">
        <v>56</v>
      </c>
      <c r="L164" s="101" t="s">
        <v>56</v>
      </c>
      <c r="M164" s="101" t="s">
        <v>56</v>
      </c>
      <c r="N164" s="104" t="s">
        <v>58</v>
      </c>
      <c r="O164" s="101" t="s">
        <v>56</v>
      </c>
      <c r="P164" s="101" t="s">
        <v>56</v>
      </c>
      <c r="Q164" s="101" t="s">
        <v>56</v>
      </c>
      <c r="R164" s="101" t="s">
        <v>56</v>
      </c>
      <c r="S164" s="101" t="s">
        <v>56</v>
      </c>
      <c r="T164" s="101" t="s">
        <v>56</v>
      </c>
      <c r="U164" s="102" t="s">
        <v>57</v>
      </c>
      <c r="V164" s="101" t="s">
        <v>56</v>
      </c>
      <c r="W164" s="101" t="s">
        <v>56</v>
      </c>
      <c r="X164" s="101" t="s">
        <v>56</v>
      </c>
      <c r="Y164" s="101" t="s">
        <v>56</v>
      </c>
      <c r="Z164" s="104" t="s">
        <v>58</v>
      </c>
      <c r="AA164" s="104" t="s">
        <v>58</v>
      </c>
      <c r="AB164" s="104" t="s">
        <v>58</v>
      </c>
      <c r="AC164" s="104" t="s">
        <v>58</v>
      </c>
      <c r="AD164" s="101" t="s">
        <v>56</v>
      </c>
      <c r="AE164" s="101" t="s">
        <v>56</v>
      </c>
      <c r="AF164" s="101" t="s">
        <v>56</v>
      </c>
      <c r="AG164" s="102" t="s">
        <v>57</v>
      </c>
      <c r="AH164" s="102" t="s">
        <v>57</v>
      </c>
      <c r="AI164" s="102" t="s">
        <v>57</v>
      </c>
      <c r="AJ164" s="102" t="s">
        <v>57</v>
      </c>
      <c r="AK164" s="102" t="s">
        <v>57</v>
      </c>
      <c r="AL164" s="101" t="s">
        <v>56</v>
      </c>
      <c r="AM164" s="101" t="s">
        <v>56</v>
      </c>
      <c r="AN164" s="235" t="s">
        <v>57</v>
      </c>
      <c r="AO164" s="220" t="s">
        <v>4</v>
      </c>
      <c r="AP164" s="220" t="s">
        <v>4</v>
      </c>
      <c r="AQ164" s="220" t="s">
        <v>4</v>
      </c>
      <c r="AR164" s="220" t="s">
        <v>4</v>
      </c>
      <c r="AS164" s="220" t="s">
        <v>4</v>
      </c>
      <c r="AT164" s="220" t="s">
        <v>4</v>
      </c>
      <c r="AU164" s="220" t="s">
        <v>4</v>
      </c>
      <c r="AV164" s="220" t="s">
        <v>4</v>
      </c>
      <c r="AW164" s="220" t="s">
        <v>4</v>
      </c>
      <c r="AX164" s="220" t="s">
        <v>4</v>
      </c>
      <c r="AY164" s="220" t="s">
        <v>4</v>
      </c>
      <c r="AZ164" s="220" t="s">
        <v>4</v>
      </c>
    </row>
    <row r="165" ht="12.75" customHeight="1">
      <c r="A165" s="107" t="s">
        <v>115</v>
      </c>
      <c r="B165" s="211">
        <f t="shared" ref="B165:AN165" si="16">IF(B164="Wet",$J175,IF(B164="Dry",$N175,$L175))</f>
        <v>65425</v>
      </c>
      <c r="C165" s="211">
        <f t="shared" si="16"/>
        <v>65425</v>
      </c>
      <c r="D165" s="211">
        <f t="shared" si="16"/>
        <v>69451</v>
      </c>
      <c r="E165" s="211">
        <f t="shared" si="16"/>
        <v>69451</v>
      </c>
      <c r="F165" s="211">
        <f t="shared" si="16"/>
        <v>69451</v>
      </c>
      <c r="G165" s="236">
        <f t="shared" si="16"/>
        <v>65425</v>
      </c>
      <c r="H165" s="211">
        <f t="shared" si="16"/>
        <v>69451</v>
      </c>
      <c r="I165" s="211">
        <f t="shared" si="16"/>
        <v>69451</v>
      </c>
      <c r="J165" s="211">
        <f t="shared" si="16"/>
        <v>65425</v>
      </c>
      <c r="K165" s="211">
        <f t="shared" si="16"/>
        <v>69451</v>
      </c>
      <c r="L165" s="211">
        <f t="shared" si="16"/>
        <v>69451</v>
      </c>
      <c r="M165" s="211">
        <f t="shared" si="16"/>
        <v>69451</v>
      </c>
      <c r="N165" s="211">
        <f t="shared" si="16"/>
        <v>65425</v>
      </c>
      <c r="O165" s="211">
        <f t="shared" si="16"/>
        <v>69451</v>
      </c>
      <c r="P165" s="211">
        <f t="shared" si="16"/>
        <v>69451</v>
      </c>
      <c r="Q165" s="211">
        <f t="shared" si="16"/>
        <v>69451</v>
      </c>
      <c r="R165" s="211">
        <f t="shared" si="16"/>
        <v>69451</v>
      </c>
      <c r="S165" s="211">
        <f t="shared" si="16"/>
        <v>69451</v>
      </c>
      <c r="T165" s="211">
        <f t="shared" si="16"/>
        <v>69451</v>
      </c>
      <c r="U165" s="211">
        <f t="shared" si="16"/>
        <v>71277</v>
      </c>
      <c r="V165" s="211">
        <f t="shared" si="16"/>
        <v>69451</v>
      </c>
      <c r="W165" s="211">
        <f t="shared" si="16"/>
        <v>69451</v>
      </c>
      <c r="X165" s="211">
        <f t="shared" si="16"/>
        <v>69451</v>
      </c>
      <c r="Y165" s="211">
        <f t="shared" si="16"/>
        <v>69451</v>
      </c>
      <c r="Z165" s="211">
        <f t="shared" si="16"/>
        <v>65425</v>
      </c>
      <c r="AA165" s="211">
        <f t="shared" si="16"/>
        <v>65425</v>
      </c>
      <c r="AB165" s="211">
        <f t="shared" si="16"/>
        <v>65425</v>
      </c>
      <c r="AC165" s="211">
        <f t="shared" si="16"/>
        <v>65425</v>
      </c>
      <c r="AD165" s="211">
        <f t="shared" si="16"/>
        <v>69451</v>
      </c>
      <c r="AE165" s="211">
        <f t="shared" si="16"/>
        <v>69451</v>
      </c>
      <c r="AF165" s="211">
        <f t="shared" si="16"/>
        <v>69451</v>
      </c>
      <c r="AG165" s="211">
        <f t="shared" si="16"/>
        <v>71277</v>
      </c>
      <c r="AH165" s="211">
        <f t="shared" si="16"/>
        <v>71277</v>
      </c>
      <c r="AI165" s="211">
        <f t="shared" si="16"/>
        <v>71277</v>
      </c>
      <c r="AJ165" s="211">
        <f t="shared" si="16"/>
        <v>71277</v>
      </c>
      <c r="AK165" s="211">
        <f t="shared" si="16"/>
        <v>71277</v>
      </c>
      <c r="AL165" s="211">
        <f t="shared" si="16"/>
        <v>69451</v>
      </c>
      <c r="AM165" s="211">
        <f t="shared" si="16"/>
        <v>69451</v>
      </c>
      <c r="AN165" s="237">
        <f t="shared" si="16"/>
        <v>71277</v>
      </c>
      <c r="AO165" s="108" t="s">
        <v>7</v>
      </c>
      <c r="AP165" s="108" t="s">
        <v>7</v>
      </c>
      <c r="AQ165" s="108" t="s">
        <v>7</v>
      </c>
      <c r="AR165" s="108" t="s">
        <v>7</v>
      </c>
      <c r="AS165" s="108" t="s">
        <v>7</v>
      </c>
      <c r="AT165" s="108" t="s">
        <v>7</v>
      </c>
      <c r="AU165" s="108" t="s">
        <v>7</v>
      </c>
      <c r="AV165" s="108" t="s">
        <v>7</v>
      </c>
      <c r="AW165" s="108" t="s">
        <v>7</v>
      </c>
      <c r="AX165" s="108" t="s">
        <v>7</v>
      </c>
      <c r="AY165" s="108" t="s">
        <v>7</v>
      </c>
      <c r="AZ165" s="108" t="s">
        <v>7</v>
      </c>
    </row>
    <row r="166" ht="12.75" customHeight="1">
      <c r="A166" s="238" t="s">
        <v>116</v>
      </c>
      <c r="B166" s="211">
        <f t="shared" ref="B166:AN166" si="17">IF(B164="Wet",$J176,IF(B164="Dry",$N176,$L176))</f>
        <v>11071</v>
      </c>
      <c r="C166" s="211">
        <f t="shared" si="17"/>
        <v>11071</v>
      </c>
      <c r="D166" s="211">
        <f t="shared" si="17"/>
        <v>16863</v>
      </c>
      <c r="E166" s="211">
        <f t="shared" si="17"/>
        <v>16863</v>
      </c>
      <c r="F166" s="211">
        <f t="shared" si="17"/>
        <v>16863</v>
      </c>
      <c r="G166" s="236">
        <f t="shared" si="17"/>
        <v>11071</v>
      </c>
      <c r="H166" s="211">
        <f t="shared" si="17"/>
        <v>16863</v>
      </c>
      <c r="I166" s="211">
        <f t="shared" si="17"/>
        <v>16863</v>
      </c>
      <c r="J166" s="211">
        <f t="shared" si="17"/>
        <v>11071</v>
      </c>
      <c r="K166" s="211">
        <f t="shared" si="17"/>
        <v>16863</v>
      </c>
      <c r="L166" s="211">
        <f t="shared" si="17"/>
        <v>16863</v>
      </c>
      <c r="M166" s="211">
        <f t="shared" si="17"/>
        <v>16863</v>
      </c>
      <c r="N166" s="211">
        <f t="shared" si="17"/>
        <v>11071</v>
      </c>
      <c r="O166" s="211">
        <f t="shared" si="17"/>
        <v>16863</v>
      </c>
      <c r="P166" s="211">
        <f t="shared" si="17"/>
        <v>16863</v>
      </c>
      <c r="Q166" s="211">
        <f t="shared" si="17"/>
        <v>16863</v>
      </c>
      <c r="R166" s="211">
        <f t="shared" si="17"/>
        <v>16863</v>
      </c>
      <c r="S166" s="211">
        <f t="shared" si="17"/>
        <v>16863</v>
      </c>
      <c r="T166" s="211">
        <f t="shared" si="17"/>
        <v>16863</v>
      </c>
      <c r="U166" s="211">
        <f t="shared" si="17"/>
        <v>17221</v>
      </c>
      <c r="V166" s="211">
        <f t="shared" si="17"/>
        <v>16863</v>
      </c>
      <c r="W166" s="211">
        <f t="shared" si="17"/>
        <v>16863</v>
      </c>
      <c r="X166" s="211">
        <f t="shared" si="17"/>
        <v>16863</v>
      </c>
      <c r="Y166" s="211">
        <f t="shared" si="17"/>
        <v>16863</v>
      </c>
      <c r="Z166" s="211">
        <f t="shared" si="17"/>
        <v>11071</v>
      </c>
      <c r="AA166" s="211">
        <f t="shared" si="17"/>
        <v>11071</v>
      </c>
      <c r="AB166" s="211">
        <f t="shared" si="17"/>
        <v>11071</v>
      </c>
      <c r="AC166" s="211">
        <f t="shared" si="17"/>
        <v>11071</v>
      </c>
      <c r="AD166" s="211">
        <f t="shared" si="17"/>
        <v>16863</v>
      </c>
      <c r="AE166" s="211">
        <f t="shared" si="17"/>
        <v>16863</v>
      </c>
      <c r="AF166" s="211">
        <f t="shared" si="17"/>
        <v>16863</v>
      </c>
      <c r="AG166" s="211">
        <f t="shared" si="17"/>
        <v>17221</v>
      </c>
      <c r="AH166" s="211">
        <f t="shared" si="17"/>
        <v>17221</v>
      </c>
      <c r="AI166" s="211">
        <f t="shared" si="17"/>
        <v>17221</v>
      </c>
      <c r="AJ166" s="211">
        <f t="shared" si="17"/>
        <v>17221</v>
      </c>
      <c r="AK166" s="211">
        <f t="shared" si="17"/>
        <v>17221</v>
      </c>
      <c r="AL166" s="211">
        <f t="shared" si="17"/>
        <v>16863</v>
      </c>
      <c r="AM166" s="211">
        <f t="shared" si="17"/>
        <v>16863</v>
      </c>
      <c r="AN166" s="237">
        <f t="shared" si="17"/>
        <v>17221</v>
      </c>
      <c r="AO166" s="239"/>
      <c r="AP166" s="239"/>
      <c r="AQ166" s="239"/>
      <c r="AR166" s="239"/>
      <c r="AS166" s="239"/>
      <c r="AT166" s="239"/>
      <c r="AU166" s="239"/>
      <c r="AV166" s="239"/>
      <c r="AW166" s="239"/>
      <c r="AX166" s="239"/>
      <c r="AY166" s="239"/>
      <c r="AZ166" s="239"/>
    </row>
    <row r="167" ht="12.75" customHeight="1">
      <c r="A167" s="117" t="s">
        <v>1</v>
      </c>
      <c r="B167" s="118"/>
      <c r="C167" s="118"/>
      <c r="D167" s="118"/>
      <c r="E167" s="118"/>
      <c r="F167" s="118"/>
      <c r="G167" s="119"/>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18"/>
      <c r="AJ167" s="118"/>
      <c r="AK167" s="118"/>
      <c r="AL167" s="118"/>
      <c r="AM167" s="118"/>
      <c r="AN167" s="121"/>
      <c r="AO167" s="118"/>
      <c r="AP167" s="118"/>
      <c r="AQ167" s="118"/>
      <c r="AR167" s="118"/>
      <c r="AS167" s="118"/>
      <c r="AT167" s="118"/>
      <c r="AU167" s="118"/>
      <c r="AV167" s="118"/>
      <c r="AW167" s="118"/>
      <c r="AX167" s="118"/>
      <c r="AY167" s="118"/>
      <c r="AZ167" s="122"/>
    </row>
    <row r="168" ht="12.75" customHeight="1">
      <c r="A168" s="123" t="s">
        <v>62</v>
      </c>
      <c r="B168" s="213" t="s">
        <v>7</v>
      </c>
      <c r="C168" s="213" t="s">
        <v>7</v>
      </c>
      <c r="D168" s="213" t="s">
        <v>7</v>
      </c>
      <c r="E168" s="213" t="s">
        <v>7</v>
      </c>
      <c r="F168" s="213" t="s">
        <v>7</v>
      </c>
      <c r="G168" s="125">
        <f>'NDVI Acreage'!H20</f>
        <v>14695.5</v>
      </c>
      <c r="H168" s="127">
        <f>'NDVI Acreage'!I20</f>
        <v>44550.5</v>
      </c>
      <c r="I168" s="127">
        <f>'NDVI Acreage'!J20</f>
        <v>31264</v>
      </c>
      <c r="J168" s="127">
        <f>'NDVI Acreage'!K20</f>
        <v>16700.5</v>
      </c>
      <c r="K168" s="127">
        <f>'NDVI Acreage'!L20</f>
        <v>18870.5</v>
      </c>
      <c r="L168" s="127">
        <f>'NDVI Acreage'!M20</f>
        <v>22392.5</v>
      </c>
      <c r="M168" s="127">
        <f>'NDVI Acreage'!N20</f>
        <v>56871.5</v>
      </c>
      <c r="N168" s="127">
        <f>'NDVI Acreage'!O20</f>
        <v>14496</v>
      </c>
      <c r="O168" s="127">
        <f>'NDVI Acreage'!P20</f>
        <v>69056.5</v>
      </c>
      <c r="P168" s="127">
        <f>'NDVI Acreage'!Q20</f>
        <v>25042.5</v>
      </c>
      <c r="Q168" s="127">
        <f>'NDVI Acreage'!R20</f>
        <v>67422.5</v>
      </c>
      <c r="R168" s="127">
        <f>'NDVI Acreage'!S20</f>
        <v>45749.5</v>
      </c>
      <c r="S168" s="127">
        <f>'NDVI Acreage'!T20</f>
        <v>46206.5</v>
      </c>
      <c r="T168" s="127">
        <f>'NDVI Acreage'!U20</f>
        <v>56968.5</v>
      </c>
      <c r="U168" s="127">
        <f>'NDVI Acreage'!V20</f>
        <v>79285</v>
      </c>
      <c r="V168" s="127">
        <f>'NDVI Acreage'!W20</f>
        <v>23704</v>
      </c>
      <c r="W168" s="127">
        <f>'NDVI Acreage'!X20</f>
        <v>36939</v>
      </c>
      <c r="X168" s="127">
        <f>'NDVI Acreage'!Y20</f>
        <v>27329</v>
      </c>
      <c r="Y168" s="127">
        <f>'NDVI Acreage'!Z20</f>
        <v>31898</v>
      </c>
      <c r="Z168" s="127">
        <f>'NDVI Acreage'!AA20</f>
        <v>22466</v>
      </c>
      <c r="AA168" s="127">
        <f>'NDVI Acreage'!AB20</f>
        <v>35544</v>
      </c>
      <c r="AB168" s="127">
        <f>'NDVI Acreage'!AC20</f>
        <v>22913</v>
      </c>
      <c r="AC168" s="127">
        <f>'NDVI Acreage'!AD20</f>
        <v>29211</v>
      </c>
      <c r="AD168" s="127">
        <f>'NDVI Acreage'!AE20</f>
        <v>42728.5</v>
      </c>
      <c r="AE168" s="127">
        <f>'NDVI Acreage'!AF20</f>
        <v>40696</v>
      </c>
      <c r="AF168" s="127">
        <f>'NDVI Acreage'!AG20</f>
        <v>54456</v>
      </c>
      <c r="AG168" s="127">
        <f>'NDVI Acreage'!AH20</f>
        <v>48207</v>
      </c>
      <c r="AH168" s="127">
        <f>'NDVI Acreage'!AI20</f>
        <v>21238</v>
      </c>
      <c r="AI168" s="127">
        <f>'NDVI Acreage'!AJ20</f>
        <v>53230</v>
      </c>
      <c r="AJ168" s="127">
        <f>'NDVI Acreage'!AK20</f>
        <v>60751.5</v>
      </c>
      <c r="AK168" s="127">
        <f>'NDVI Acreage'!AL20</f>
        <v>61221</v>
      </c>
      <c r="AL168" s="127">
        <f>'NDVI Acreage'!AM20</f>
        <v>38474</v>
      </c>
      <c r="AM168" s="127">
        <f>'NDVI Acreage'!AN20</f>
        <v>39330</v>
      </c>
      <c r="AN168" s="133">
        <f>'NDVI Acreage'!AO20</f>
        <v>94101.5</v>
      </c>
      <c r="AO168" s="127" t="str">
        <f>'NDVI Acreage'!AP20</f>
        <v>#DIV/0!</v>
      </c>
      <c r="AP168" s="127" t="str">
        <f>'NDVI Acreage'!AQ20</f>
        <v>#DIV/0!</v>
      </c>
      <c r="AQ168" s="127" t="str">
        <f>'NDVI Acreage'!AR20</f>
        <v>#DIV/0!</v>
      </c>
      <c r="AR168" s="127" t="str">
        <f>'NDVI Acreage'!AS20</f>
        <v>#DIV/0!</v>
      </c>
      <c r="AS168" s="127" t="str">
        <f>'NDVI Acreage'!AT20</f>
        <v>#DIV/0!</v>
      </c>
      <c r="AT168" s="127" t="str">
        <f>'NDVI Acreage'!AU20</f>
        <v>#DIV/0!</v>
      </c>
      <c r="AU168" s="127" t="str">
        <f>'NDVI Acreage'!AV20</f>
        <v>#DIV/0!</v>
      </c>
      <c r="AV168" s="127" t="str">
        <f>'NDVI Acreage'!AW20</f>
        <v>#DIV/0!</v>
      </c>
      <c r="AW168" s="127" t="str">
        <f>'NDVI Acreage'!AX20</f>
        <v>#DIV/0!</v>
      </c>
      <c r="AX168" s="127" t="str">
        <f>'NDVI Acreage'!AY20</f>
        <v>#DIV/0!</v>
      </c>
      <c r="AY168" s="127" t="str">
        <f>'NDVI Acreage'!AZ20</f>
        <v>#DIV/0!</v>
      </c>
      <c r="AZ168" s="127" t="str">
        <f>'NDVI Acreage'!BA20</f>
        <v>#DIV/0!</v>
      </c>
    </row>
    <row r="169" ht="12.75" customHeight="1">
      <c r="A169" s="141" t="s">
        <v>67</v>
      </c>
      <c r="B169" s="218" t="s">
        <v>7</v>
      </c>
      <c r="C169" s="218" t="s">
        <v>7</v>
      </c>
      <c r="D169" s="218" t="s">
        <v>7</v>
      </c>
      <c r="E169" s="218" t="s">
        <v>7</v>
      </c>
      <c r="F169" s="218" t="s">
        <v>7</v>
      </c>
      <c r="G169" s="241">
        <f t="shared" ref="G169:AN169" si="18">SUM(G170:G171)</f>
        <v>25248.33855</v>
      </c>
      <c r="H169" s="242">
        <f t="shared" si="18"/>
        <v>76542.21405</v>
      </c>
      <c r="I169" s="242">
        <f t="shared" si="18"/>
        <v>53714.6784</v>
      </c>
      <c r="J169" s="242">
        <f t="shared" si="18"/>
        <v>28693.12905</v>
      </c>
      <c r="K169" s="242">
        <f t="shared" si="18"/>
        <v>32421.40605</v>
      </c>
      <c r="L169" s="242">
        <f t="shared" si="18"/>
        <v>38472.55425</v>
      </c>
      <c r="M169" s="242">
        <f t="shared" si="18"/>
        <v>97710.92415</v>
      </c>
      <c r="N169" s="242">
        <f t="shared" si="18"/>
        <v>24905.5776</v>
      </c>
      <c r="O169" s="242">
        <f t="shared" si="18"/>
        <v>118645.9727</v>
      </c>
      <c r="P169" s="242">
        <f t="shared" si="18"/>
        <v>43025.51925</v>
      </c>
      <c r="Q169" s="242">
        <f t="shared" si="18"/>
        <v>115838.5973</v>
      </c>
      <c r="R169" s="242">
        <f t="shared" si="18"/>
        <v>78602.21595</v>
      </c>
      <c r="S169" s="242">
        <f t="shared" si="18"/>
        <v>79387.38765</v>
      </c>
      <c r="T169" s="242">
        <f t="shared" si="18"/>
        <v>97877.57985</v>
      </c>
      <c r="U169" s="242">
        <f t="shared" si="18"/>
        <v>136219.5585</v>
      </c>
      <c r="V169" s="242">
        <f t="shared" si="18"/>
        <v>40725.8424</v>
      </c>
      <c r="W169" s="242">
        <f t="shared" si="18"/>
        <v>63464.8959</v>
      </c>
      <c r="X169" s="242">
        <f t="shared" si="18"/>
        <v>46953.9549</v>
      </c>
      <c r="Y169" s="242">
        <f t="shared" si="18"/>
        <v>54803.9538</v>
      </c>
      <c r="Z169" s="242">
        <f t="shared" si="18"/>
        <v>38598.8346</v>
      </c>
      <c r="AA169" s="242">
        <f t="shared" si="18"/>
        <v>61068.1464</v>
      </c>
      <c r="AB169" s="242">
        <f t="shared" si="18"/>
        <v>39366.8253</v>
      </c>
      <c r="AC169" s="242">
        <f t="shared" si="18"/>
        <v>50187.4191</v>
      </c>
      <c r="AD169" s="242">
        <f t="shared" si="18"/>
        <v>73411.83585</v>
      </c>
      <c r="AE169" s="242">
        <f t="shared" si="18"/>
        <v>69919.7976</v>
      </c>
      <c r="AF169" s="242">
        <f t="shared" si="18"/>
        <v>93560.8536</v>
      </c>
      <c r="AG169" s="242">
        <f t="shared" si="18"/>
        <v>82824.4467</v>
      </c>
      <c r="AH169" s="242">
        <f t="shared" si="18"/>
        <v>36489.0078</v>
      </c>
      <c r="AI169" s="242">
        <f t="shared" si="18"/>
        <v>91454.463</v>
      </c>
      <c r="AJ169" s="242">
        <f t="shared" si="18"/>
        <v>104377.1522</v>
      </c>
      <c r="AK169" s="242">
        <f t="shared" si="18"/>
        <v>105183.8001</v>
      </c>
      <c r="AL169" s="242">
        <f t="shared" si="18"/>
        <v>66102.1794</v>
      </c>
      <c r="AM169" s="242">
        <f t="shared" si="18"/>
        <v>67572.873</v>
      </c>
      <c r="AN169" s="245">
        <f t="shared" si="18"/>
        <v>161675.7872</v>
      </c>
      <c r="AO169" s="145" t="str">
        <f t="shared" ref="AO169:AZ169" si="19">AO168*$C175</f>
        <v>#DIV/0!</v>
      </c>
      <c r="AP169" s="145" t="str">
        <f t="shared" si="19"/>
        <v>#DIV/0!</v>
      </c>
      <c r="AQ169" s="145" t="str">
        <f t="shared" si="19"/>
        <v>#DIV/0!</v>
      </c>
      <c r="AR169" s="145" t="str">
        <f t="shared" si="19"/>
        <v>#DIV/0!</v>
      </c>
      <c r="AS169" s="145" t="str">
        <f t="shared" si="19"/>
        <v>#DIV/0!</v>
      </c>
      <c r="AT169" s="145" t="str">
        <f t="shared" si="19"/>
        <v>#DIV/0!</v>
      </c>
      <c r="AU169" s="145" t="str">
        <f t="shared" si="19"/>
        <v>#DIV/0!</v>
      </c>
      <c r="AV169" s="145" t="str">
        <f t="shared" si="19"/>
        <v>#DIV/0!</v>
      </c>
      <c r="AW169" s="145" t="str">
        <f t="shared" si="19"/>
        <v>#DIV/0!</v>
      </c>
      <c r="AX169" s="145" t="str">
        <f t="shared" si="19"/>
        <v>#DIV/0!</v>
      </c>
      <c r="AY169" s="145" t="str">
        <f t="shared" si="19"/>
        <v>#DIV/0!</v>
      </c>
      <c r="AZ169" s="145" t="str">
        <f t="shared" si="19"/>
        <v>#DIV/0!</v>
      </c>
    </row>
    <row r="170" ht="12.75" customHeight="1">
      <c r="A170" s="150" t="s">
        <v>70</v>
      </c>
      <c r="B170" s="230" t="s">
        <v>7</v>
      </c>
      <c r="C170" s="230" t="s">
        <v>7</v>
      </c>
      <c r="D170" s="230" t="s">
        <v>7</v>
      </c>
      <c r="E170" s="230" t="s">
        <v>7</v>
      </c>
      <c r="F170" s="230" t="s">
        <v>7</v>
      </c>
      <c r="G170" s="151">
        <f t="shared" ref="G170:AN170" si="20">G168*$C175</f>
        <v>20448.78825</v>
      </c>
      <c r="H170" s="152">
        <f t="shared" si="20"/>
        <v>61992.02075</v>
      </c>
      <c r="I170" s="152">
        <f t="shared" si="20"/>
        <v>43503.856</v>
      </c>
      <c r="J170" s="152">
        <f t="shared" si="20"/>
        <v>23238.74575</v>
      </c>
      <c r="K170" s="152">
        <f t="shared" si="20"/>
        <v>26258.30075</v>
      </c>
      <c r="L170" s="152">
        <f t="shared" si="20"/>
        <v>31159.16375</v>
      </c>
      <c r="M170" s="152">
        <f t="shared" si="20"/>
        <v>79136.69225</v>
      </c>
      <c r="N170" s="152">
        <f t="shared" si="20"/>
        <v>20171.184</v>
      </c>
      <c r="O170" s="152">
        <f t="shared" si="20"/>
        <v>96092.11975</v>
      </c>
      <c r="P170" s="152">
        <f t="shared" si="20"/>
        <v>34846.63875</v>
      </c>
      <c r="Q170" s="152">
        <f t="shared" si="20"/>
        <v>93818.40875</v>
      </c>
      <c r="R170" s="152">
        <f t="shared" si="20"/>
        <v>63660.42925</v>
      </c>
      <c r="S170" s="152">
        <f t="shared" si="20"/>
        <v>64296.34475</v>
      </c>
      <c r="T170" s="152">
        <f t="shared" si="20"/>
        <v>79271.66775</v>
      </c>
      <c r="U170" s="152">
        <f t="shared" si="20"/>
        <v>110325.0775</v>
      </c>
      <c r="V170" s="152">
        <f t="shared" si="20"/>
        <v>32984.116</v>
      </c>
      <c r="W170" s="152">
        <f t="shared" si="20"/>
        <v>51400.6185</v>
      </c>
      <c r="X170" s="152">
        <f t="shared" si="20"/>
        <v>38028.3035</v>
      </c>
      <c r="Y170" s="152">
        <f t="shared" si="20"/>
        <v>44386.067</v>
      </c>
      <c r="Z170" s="152">
        <f t="shared" si="20"/>
        <v>31261.439</v>
      </c>
      <c r="AA170" s="152">
        <f t="shared" si="20"/>
        <v>49459.476</v>
      </c>
      <c r="AB170" s="152">
        <f t="shared" si="20"/>
        <v>31883.4395</v>
      </c>
      <c r="AC170" s="152">
        <f t="shared" si="20"/>
        <v>40647.1065</v>
      </c>
      <c r="AD170" s="152">
        <f t="shared" si="20"/>
        <v>59456.70775</v>
      </c>
      <c r="AE170" s="152">
        <f t="shared" si="20"/>
        <v>56628.484</v>
      </c>
      <c r="AF170" s="152">
        <f t="shared" si="20"/>
        <v>75775.524</v>
      </c>
      <c r="AG170" s="152">
        <f t="shared" si="20"/>
        <v>67080.0405</v>
      </c>
      <c r="AH170" s="152">
        <f t="shared" si="20"/>
        <v>29552.677</v>
      </c>
      <c r="AI170" s="152">
        <f t="shared" si="20"/>
        <v>74069.545</v>
      </c>
      <c r="AJ170" s="152">
        <f t="shared" si="20"/>
        <v>84535.71225</v>
      </c>
      <c r="AK170" s="152">
        <f t="shared" si="20"/>
        <v>85189.0215</v>
      </c>
      <c r="AL170" s="152">
        <f t="shared" si="20"/>
        <v>53536.571</v>
      </c>
      <c r="AM170" s="152">
        <f t="shared" si="20"/>
        <v>54727.695</v>
      </c>
      <c r="AN170" s="159">
        <f t="shared" si="20"/>
        <v>130942.2373</v>
      </c>
      <c r="AO170" s="152" t="str">
        <f t="shared" ref="AO170:AZ170" si="21">AO169*$B177</f>
        <v>#DIV/0!</v>
      </c>
      <c r="AP170" s="152" t="str">
        <f t="shared" si="21"/>
        <v>#DIV/0!</v>
      </c>
      <c r="AQ170" s="152" t="str">
        <f t="shared" si="21"/>
        <v>#DIV/0!</v>
      </c>
      <c r="AR170" s="152" t="str">
        <f t="shared" si="21"/>
        <v>#DIV/0!</v>
      </c>
      <c r="AS170" s="152" t="str">
        <f t="shared" si="21"/>
        <v>#DIV/0!</v>
      </c>
      <c r="AT170" s="152" t="str">
        <f t="shared" si="21"/>
        <v>#DIV/0!</v>
      </c>
      <c r="AU170" s="152" t="str">
        <f t="shared" si="21"/>
        <v>#DIV/0!</v>
      </c>
      <c r="AV170" s="152" t="str">
        <f t="shared" si="21"/>
        <v>#DIV/0!</v>
      </c>
      <c r="AW170" s="152" t="str">
        <f t="shared" si="21"/>
        <v>#DIV/0!</v>
      </c>
      <c r="AX170" s="152" t="str">
        <f t="shared" si="21"/>
        <v>#DIV/0!</v>
      </c>
      <c r="AY170" s="152" t="str">
        <f t="shared" si="21"/>
        <v>#DIV/0!</v>
      </c>
      <c r="AZ170" s="163" t="str">
        <f t="shared" si="21"/>
        <v>#DIV/0!</v>
      </c>
    </row>
    <row r="171" ht="12.75" customHeight="1">
      <c r="A171" s="165" t="s">
        <v>74</v>
      </c>
      <c r="B171" s="231" t="s">
        <v>7</v>
      </c>
      <c r="C171" s="231" t="s">
        <v>7</v>
      </c>
      <c r="D171" s="231" t="s">
        <v>7</v>
      </c>
      <c r="E171" s="231" t="s">
        <v>7</v>
      </c>
      <c r="F171" s="231" t="s">
        <v>7</v>
      </c>
      <c r="G171" s="168">
        <f t="shared" ref="G171:AN171" si="22">G168*$C176</f>
        <v>4799.5503</v>
      </c>
      <c r="H171" s="169">
        <f t="shared" si="22"/>
        <v>14550.1933</v>
      </c>
      <c r="I171" s="169">
        <f t="shared" si="22"/>
        <v>10210.8224</v>
      </c>
      <c r="J171" s="169">
        <f t="shared" si="22"/>
        <v>5454.3833</v>
      </c>
      <c r="K171" s="169">
        <f t="shared" si="22"/>
        <v>6163.1053</v>
      </c>
      <c r="L171" s="169">
        <f t="shared" si="22"/>
        <v>7313.3905</v>
      </c>
      <c r="M171" s="169">
        <f t="shared" si="22"/>
        <v>18574.2319</v>
      </c>
      <c r="N171" s="169">
        <f t="shared" si="22"/>
        <v>4734.3936</v>
      </c>
      <c r="O171" s="169">
        <f t="shared" si="22"/>
        <v>22553.8529</v>
      </c>
      <c r="P171" s="169">
        <f t="shared" si="22"/>
        <v>8178.8805</v>
      </c>
      <c r="Q171" s="169">
        <f t="shared" si="22"/>
        <v>22020.1885</v>
      </c>
      <c r="R171" s="169">
        <f t="shared" si="22"/>
        <v>14941.7867</v>
      </c>
      <c r="S171" s="169">
        <f t="shared" si="22"/>
        <v>15091.0429</v>
      </c>
      <c r="T171" s="169">
        <f t="shared" si="22"/>
        <v>18605.9121</v>
      </c>
      <c r="U171" s="169">
        <f t="shared" si="22"/>
        <v>25894.481</v>
      </c>
      <c r="V171" s="169">
        <f t="shared" si="22"/>
        <v>7741.7264</v>
      </c>
      <c r="W171" s="169">
        <f t="shared" si="22"/>
        <v>12064.2774</v>
      </c>
      <c r="X171" s="169">
        <f t="shared" si="22"/>
        <v>8925.6514</v>
      </c>
      <c r="Y171" s="169">
        <f t="shared" si="22"/>
        <v>10417.8868</v>
      </c>
      <c r="Z171" s="169">
        <f t="shared" si="22"/>
        <v>7337.3956</v>
      </c>
      <c r="AA171" s="169">
        <f t="shared" si="22"/>
        <v>11608.6704</v>
      </c>
      <c r="AB171" s="169">
        <f t="shared" si="22"/>
        <v>7483.3858</v>
      </c>
      <c r="AC171" s="169">
        <f t="shared" si="22"/>
        <v>9540.3126</v>
      </c>
      <c r="AD171" s="169">
        <f t="shared" si="22"/>
        <v>13955.1281</v>
      </c>
      <c r="AE171" s="169">
        <f t="shared" si="22"/>
        <v>13291.3136</v>
      </c>
      <c r="AF171" s="169">
        <f t="shared" si="22"/>
        <v>17785.3296</v>
      </c>
      <c r="AG171" s="169">
        <f t="shared" si="22"/>
        <v>15744.4062</v>
      </c>
      <c r="AH171" s="169">
        <f t="shared" si="22"/>
        <v>6936.3308</v>
      </c>
      <c r="AI171" s="169">
        <f t="shared" si="22"/>
        <v>17384.918</v>
      </c>
      <c r="AJ171" s="169">
        <f t="shared" si="22"/>
        <v>19841.4399</v>
      </c>
      <c r="AK171" s="169">
        <f t="shared" si="22"/>
        <v>19994.7786</v>
      </c>
      <c r="AL171" s="169">
        <f t="shared" si="22"/>
        <v>12565.6084</v>
      </c>
      <c r="AM171" s="169">
        <f t="shared" si="22"/>
        <v>12845.178</v>
      </c>
      <c r="AN171" s="173">
        <f t="shared" si="22"/>
        <v>30733.5499</v>
      </c>
      <c r="AO171" s="175" t="str">
        <f t="shared" ref="AO171:AZ171" si="23">AO169*#REF!</f>
        <v>#DIV/0!</v>
      </c>
      <c r="AP171" s="175" t="str">
        <f t="shared" si="23"/>
        <v>#DIV/0!</v>
      </c>
      <c r="AQ171" s="175" t="str">
        <f t="shared" si="23"/>
        <v>#DIV/0!</v>
      </c>
      <c r="AR171" s="175" t="str">
        <f t="shared" si="23"/>
        <v>#DIV/0!</v>
      </c>
      <c r="AS171" s="175" t="str">
        <f t="shared" si="23"/>
        <v>#DIV/0!</v>
      </c>
      <c r="AT171" s="175" t="str">
        <f t="shared" si="23"/>
        <v>#DIV/0!</v>
      </c>
      <c r="AU171" s="175" t="str">
        <f t="shared" si="23"/>
        <v>#DIV/0!</v>
      </c>
      <c r="AV171" s="175" t="str">
        <f t="shared" si="23"/>
        <v>#DIV/0!</v>
      </c>
      <c r="AW171" s="175" t="str">
        <f t="shared" si="23"/>
        <v>#DIV/0!</v>
      </c>
      <c r="AX171" s="175" t="str">
        <f t="shared" si="23"/>
        <v>#DIV/0!</v>
      </c>
      <c r="AY171" s="175" t="str">
        <f t="shared" si="23"/>
        <v>#DIV/0!</v>
      </c>
      <c r="AZ171" s="179" t="str">
        <f t="shared" si="23"/>
        <v>#DIV/0!</v>
      </c>
    </row>
    <row r="172" ht="12.75" customHeight="1">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row>
    <row r="173" ht="12.75" customHeight="1">
      <c r="A173" s="89"/>
      <c r="B173" s="89"/>
      <c r="C173" s="182" t="s">
        <v>77</v>
      </c>
      <c r="D173" s="183"/>
      <c r="E173" s="89"/>
      <c r="F173" s="89"/>
      <c r="G173" s="184"/>
      <c r="I173" s="185"/>
      <c r="J173" s="186" t="s">
        <v>82</v>
      </c>
      <c r="K173" s="183"/>
      <c r="L173" s="186" t="s">
        <v>86</v>
      </c>
      <c r="M173" s="183"/>
      <c r="N173" s="186" t="s">
        <v>87</v>
      </c>
      <c r="O173" s="183"/>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row>
    <row r="174" ht="12.75" customHeight="1">
      <c r="A174" s="89"/>
      <c r="B174" s="89"/>
      <c r="C174" s="187" t="s">
        <v>89</v>
      </c>
      <c r="D174" s="187" t="s">
        <v>91</v>
      </c>
      <c r="E174" s="89"/>
      <c r="F174" s="89"/>
      <c r="G174" s="184" t="s">
        <v>94</v>
      </c>
      <c r="I174" s="185"/>
      <c r="J174" s="182">
        <v>7.0</v>
      </c>
      <c r="K174" s="183"/>
      <c r="L174" s="182">
        <f>34-J174-N174</f>
        <v>20</v>
      </c>
      <c r="M174" s="183"/>
      <c r="N174" s="182">
        <v>7.0</v>
      </c>
      <c r="O174" s="183"/>
      <c r="P174" s="89"/>
      <c r="Q174" s="89"/>
      <c r="R174" s="89"/>
      <c r="S174" s="89"/>
      <c r="T174" s="89" t="s">
        <v>57</v>
      </c>
      <c r="U174" s="89" t="s">
        <v>56</v>
      </c>
      <c r="V174" s="89" t="s">
        <v>58</v>
      </c>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row>
    <row r="175" ht="14.25" customHeight="1">
      <c r="A175" s="184" t="s">
        <v>117</v>
      </c>
      <c r="B175" s="185"/>
      <c r="C175" s="187">
        <v>1.3915</v>
      </c>
      <c r="D175" s="187">
        <v>0.0</v>
      </c>
      <c r="E175" s="89"/>
      <c r="F175" s="184" t="s">
        <v>118</v>
      </c>
      <c r="I175" s="185"/>
      <c r="J175" s="182">
        <v>71277.0</v>
      </c>
      <c r="K175" s="183"/>
      <c r="L175" s="182">
        <v>69451.0</v>
      </c>
      <c r="M175" s="183"/>
      <c r="N175" s="182">
        <v>65425.0</v>
      </c>
      <c r="O175" s="183"/>
      <c r="P175" s="89"/>
      <c r="Q175" s="89"/>
      <c r="R175" s="89"/>
      <c r="S175" s="89" t="s">
        <v>119</v>
      </c>
      <c r="T175" s="89">
        <v>11648.0</v>
      </c>
      <c r="U175" s="89">
        <v>10455.0</v>
      </c>
      <c r="V175" s="89">
        <v>9759.0</v>
      </c>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row>
    <row r="176" ht="14.25" customHeight="1">
      <c r="A176" s="184" t="s">
        <v>120</v>
      </c>
      <c r="B176" s="185"/>
      <c r="C176" s="187">
        <v>0.3266</v>
      </c>
      <c r="D176" s="187">
        <v>0.0</v>
      </c>
      <c r="E176" s="89"/>
      <c r="F176" s="184" t="s">
        <v>118</v>
      </c>
      <c r="I176" s="185"/>
      <c r="J176" s="182">
        <v>17221.0</v>
      </c>
      <c r="K176" s="183"/>
      <c r="L176" s="182">
        <v>16863.0</v>
      </c>
      <c r="M176" s="183"/>
      <c r="N176" s="182">
        <v>11071.0</v>
      </c>
      <c r="O176" s="183"/>
      <c r="P176" s="89"/>
      <c r="Q176" s="89"/>
      <c r="R176" s="89"/>
      <c r="S176" s="89" t="s">
        <v>121</v>
      </c>
      <c r="T176" s="89">
        <v>20310.0</v>
      </c>
      <c r="U176" s="89">
        <v>19526.0</v>
      </c>
      <c r="V176" s="89">
        <v>18157.0</v>
      </c>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row>
    <row r="177" ht="14.25" customHeight="1">
      <c r="A177" s="89"/>
      <c r="B177" s="230"/>
      <c r="C177" s="230"/>
      <c r="D177" s="89"/>
      <c r="E177" s="89"/>
      <c r="F177" s="184" t="s">
        <v>123</v>
      </c>
      <c r="I177" s="185"/>
      <c r="J177" s="189">
        <f t="shared" ref="J177:J178" si="24">AVERAGE(U170,AG170:AK170,AN170)</f>
        <v>83099.18729</v>
      </c>
      <c r="K177" s="183"/>
      <c r="L177" s="189">
        <f t="shared" ref="L177:L178" si="25">AVERAGE(H170:I170,K170:M170,O170:T170,V170:Y170,AD170:AF170,AL170:AM170)</f>
        <v>57047.98646</v>
      </c>
      <c r="M177" s="183"/>
      <c r="N177" s="189">
        <f t="shared" ref="N177:N178" si="26">AVERAGE(G170,J170,N170,Z170:AC170)</f>
        <v>31015.73986</v>
      </c>
      <c r="O177" s="183"/>
      <c r="P177" s="89"/>
      <c r="Q177" s="89"/>
      <c r="R177" s="89"/>
      <c r="S177" s="89" t="s">
        <v>124</v>
      </c>
      <c r="T177" s="89">
        <v>2115.0</v>
      </c>
      <c r="U177" s="89">
        <v>2350.0</v>
      </c>
      <c r="V177" s="89">
        <v>1937.0</v>
      </c>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row>
    <row r="178" ht="14.25" customHeight="1">
      <c r="A178" s="89"/>
      <c r="B178" s="230"/>
      <c r="C178" s="230"/>
      <c r="D178" s="89"/>
      <c r="E178" s="89"/>
      <c r="F178" s="184" t="s">
        <v>125</v>
      </c>
      <c r="I178" s="185"/>
      <c r="J178" s="189">
        <f t="shared" si="24"/>
        <v>19504.27206</v>
      </c>
      <c r="K178" s="183"/>
      <c r="L178" s="189">
        <f t="shared" si="25"/>
        <v>13389.77534</v>
      </c>
      <c r="M178" s="183"/>
      <c r="N178" s="189">
        <f t="shared" si="26"/>
        <v>7279.727371</v>
      </c>
      <c r="O178" s="183"/>
      <c r="P178" s="89"/>
      <c r="Q178" s="89"/>
      <c r="R178" s="89"/>
      <c r="S178" s="89" t="s">
        <v>126</v>
      </c>
      <c r="T178" s="89">
        <v>11269.0</v>
      </c>
      <c r="U178" s="89">
        <v>11640.0</v>
      </c>
      <c r="V178" s="89">
        <v>10437.0</v>
      </c>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row>
    <row r="179" ht="12.75" customHeight="1">
      <c r="A179" s="89"/>
      <c r="B179" s="184"/>
      <c r="C179" s="152"/>
      <c r="D179" s="152"/>
      <c r="E179" s="89"/>
      <c r="F179" s="89"/>
      <c r="G179" s="184" t="s">
        <v>127</v>
      </c>
      <c r="I179" s="185"/>
      <c r="J179" s="198">
        <f t="shared" ref="J179:J180" si="27">J177/J175-1</f>
        <v>0.1658625824</v>
      </c>
      <c r="K179" s="183"/>
      <c r="L179" s="198">
        <f t="shared" ref="L179:L180" si="28">L177/L175-1</f>
        <v>-0.1785865364</v>
      </c>
      <c r="M179" s="183"/>
      <c r="N179" s="198">
        <f t="shared" ref="N179:N180" si="29">N177/N175-1</f>
        <v>-0.5259344309</v>
      </c>
      <c r="O179" s="183"/>
      <c r="P179" s="89"/>
      <c r="Q179" s="89"/>
      <c r="R179" s="89"/>
      <c r="S179" s="89" t="s">
        <v>129</v>
      </c>
      <c r="T179" s="89">
        <v>24878.0</v>
      </c>
      <c r="U179" s="89">
        <v>24473.0</v>
      </c>
      <c r="V179" s="89">
        <v>24489.0</v>
      </c>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row>
    <row r="180" ht="12.75" customHeight="1">
      <c r="A180" s="89"/>
      <c r="B180" s="230"/>
      <c r="C180" s="230"/>
      <c r="D180" s="89"/>
      <c r="E180" s="89"/>
      <c r="F180" s="89"/>
      <c r="G180" s="184" t="s">
        <v>130</v>
      </c>
      <c r="I180" s="185"/>
      <c r="J180" s="198">
        <f t="shared" si="27"/>
        <v>0.1325864966</v>
      </c>
      <c r="K180" s="183"/>
      <c r="L180" s="198">
        <f t="shared" si="28"/>
        <v>-0.2059671864</v>
      </c>
      <c r="M180" s="183"/>
      <c r="N180" s="198">
        <f t="shared" si="29"/>
        <v>-0.3424507839</v>
      </c>
      <c r="O180" s="183"/>
      <c r="P180" s="89"/>
      <c r="Q180" s="89"/>
      <c r="R180" s="89"/>
      <c r="S180" s="89" t="s">
        <v>131</v>
      </c>
      <c r="T180" s="89">
        <v>1057.0</v>
      </c>
      <c r="U180" s="89">
        <v>1007.0</v>
      </c>
      <c r="V180" s="89">
        <v>646.0</v>
      </c>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row>
    <row r="181" ht="12.75" customHeight="1">
      <c r="A181" s="89"/>
      <c r="B181" s="89"/>
      <c r="C181" s="89"/>
      <c r="D181" s="89"/>
      <c r="E181" s="89"/>
      <c r="F181" s="89"/>
      <c r="G181" s="89"/>
      <c r="H181" s="89"/>
      <c r="I181" s="89"/>
      <c r="J181" s="89"/>
      <c r="K181" s="89"/>
      <c r="L181" s="89"/>
      <c r="M181" s="89"/>
      <c r="N181" s="89"/>
      <c r="O181" s="89"/>
      <c r="P181" s="89"/>
      <c r="Q181" s="89"/>
      <c r="R181" s="89"/>
      <c r="S181" s="89" t="s">
        <v>132</v>
      </c>
      <c r="T181" s="89">
        <f t="shared" ref="T181:V181" si="30">SUM(T175:T180)</f>
        <v>71277</v>
      </c>
      <c r="U181" s="89">
        <f t="shared" si="30"/>
        <v>69451</v>
      </c>
      <c r="V181" s="89">
        <f t="shared" si="30"/>
        <v>65425</v>
      </c>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row>
    <row r="182" ht="12.75" customHeight="1">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row>
    <row r="183" ht="12.75" customHeight="1">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row>
    <row r="184" ht="12.75" customHeight="1">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row>
    <row r="185" ht="12.75" customHeight="1">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row>
    <row r="186" ht="12.75" customHeight="1">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row>
    <row r="187" ht="12.75" customHeight="1">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row>
    <row r="188" ht="12.75" customHeight="1">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row>
    <row r="189" ht="12.75" customHeight="1">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row>
    <row r="190" ht="12.75" customHeight="1">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row>
    <row r="191" ht="12.75" customHeight="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row>
    <row r="192" ht="12.75" customHeight="1">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row>
    <row r="193" ht="12.75" customHeight="1">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row>
    <row r="194" ht="12.75" customHeight="1">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row>
    <row r="195" ht="12.75" customHeight="1">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row>
    <row r="196" ht="12.75" customHeight="1">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row>
    <row r="197" ht="12.75" customHeight="1">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row>
    <row r="198" ht="12.75" customHeight="1">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row>
    <row r="199" ht="12.75" customHeight="1">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row>
    <row r="200" ht="12.75" customHeight="1">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row>
    <row r="201" ht="12.75" customHeight="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row>
    <row r="202" ht="12.75" customHeight="1">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row>
    <row r="203" ht="12.75" customHeight="1">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row>
    <row r="204" ht="12.75" customHeight="1">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row>
    <row r="205" ht="12.75" customHeight="1">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row>
    <row r="206" ht="12.75" customHeight="1">
      <c r="A206" s="91" t="s">
        <v>13</v>
      </c>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2"/>
    </row>
    <row r="207" ht="12.75" customHeight="1">
      <c r="A207" s="93" t="s">
        <v>53</v>
      </c>
      <c r="B207" s="94">
        <v>1980.0</v>
      </c>
      <c r="C207" s="94">
        <v>1981.0</v>
      </c>
      <c r="D207" s="94">
        <v>1982.0</v>
      </c>
      <c r="E207" s="94">
        <v>1983.0</v>
      </c>
      <c r="F207" s="94">
        <v>1984.0</v>
      </c>
      <c r="G207" s="95">
        <v>1985.0</v>
      </c>
      <c r="H207" s="96">
        <v>1986.0</v>
      </c>
      <c r="I207" s="96">
        <v>1987.0</v>
      </c>
      <c r="J207" s="96">
        <v>1988.0</v>
      </c>
      <c r="K207" s="96">
        <v>1989.0</v>
      </c>
      <c r="L207" s="96">
        <v>1990.0</v>
      </c>
      <c r="M207" s="96">
        <v>1991.0</v>
      </c>
      <c r="N207" s="96">
        <v>1992.0</v>
      </c>
      <c r="O207" s="96">
        <v>1993.0</v>
      </c>
      <c r="P207" s="96">
        <v>1994.0</v>
      </c>
      <c r="Q207" s="96">
        <v>1995.0</v>
      </c>
      <c r="R207" s="96">
        <v>1996.0</v>
      </c>
      <c r="S207" s="96">
        <v>1997.0</v>
      </c>
      <c r="T207" s="96">
        <v>1998.0</v>
      </c>
      <c r="U207" s="96">
        <v>1999.0</v>
      </c>
      <c r="V207" s="96">
        <v>2000.0</v>
      </c>
      <c r="W207" s="96">
        <v>2001.0</v>
      </c>
      <c r="X207" s="96">
        <v>2002.0</v>
      </c>
      <c r="Y207" s="96">
        <v>2003.0</v>
      </c>
      <c r="Z207" s="96">
        <v>2004.0</v>
      </c>
      <c r="AA207" s="96">
        <v>2005.0</v>
      </c>
      <c r="AB207" s="96">
        <v>2006.0</v>
      </c>
      <c r="AC207" s="96">
        <v>2007.0</v>
      </c>
      <c r="AD207" s="96">
        <v>2008.0</v>
      </c>
      <c r="AE207" s="96">
        <v>2009.0</v>
      </c>
      <c r="AF207" s="97">
        <v>2010.0</v>
      </c>
      <c r="AG207" s="94">
        <v>2011.0</v>
      </c>
      <c r="AH207" s="94">
        <v>2012.0</v>
      </c>
      <c r="AI207" s="94">
        <v>2013.0</v>
      </c>
      <c r="AJ207" s="94">
        <v>2014.0</v>
      </c>
      <c r="AK207" s="94">
        <v>2015.0</v>
      </c>
      <c r="AL207" s="94">
        <v>2016.0</v>
      </c>
      <c r="AM207" s="94">
        <v>2017.0</v>
      </c>
      <c r="AN207" s="94">
        <v>2018.0</v>
      </c>
      <c r="AO207" s="94">
        <v>2019.0</v>
      </c>
      <c r="AP207" s="94">
        <v>2020.0</v>
      </c>
      <c r="AQ207" s="94">
        <v>2021.0</v>
      </c>
      <c r="AR207" s="94">
        <v>2022.0</v>
      </c>
      <c r="AS207" s="94">
        <v>2023.0</v>
      </c>
      <c r="AT207" s="94">
        <v>2024.0</v>
      </c>
      <c r="AU207" s="94">
        <v>2025.0</v>
      </c>
      <c r="AV207" s="94">
        <v>2026.0</v>
      </c>
      <c r="AW207" s="94">
        <v>2027.0</v>
      </c>
      <c r="AX207" s="94">
        <v>2028.0</v>
      </c>
      <c r="AY207" s="94">
        <v>2029.0</v>
      </c>
      <c r="AZ207" s="99">
        <v>2030.0</v>
      </c>
    </row>
    <row r="208" ht="12.75" customHeight="1">
      <c r="A208" s="205"/>
      <c r="B208" s="257" t="s">
        <v>56</v>
      </c>
      <c r="C208" s="257" t="s">
        <v>56</v>
      </c>
      <c r="D208" s="258" t="s">
        <v>57</v>
      </c>
      <c r="E208" s="257" t="s">
        <v>56</v>
      </c>
      <c r="F208" s="257" t="s">
        <v>56</v>
      </c>
      <c r="G208" s="260" t="s">
        <v>56</v>
      </c>
      <c r="H208" s="257" t="s">
        <v>56</v>
      </c>
      <c r="I208" s="261" t="s">
        <v>58</v>
      </c>
      <c r="J208" s="261" t="s">
        <v>58</v>
      </c>
      <c r="K208" s="257" t="s">
        <v>56</v>
      </c>
      <c r="L208" s="257" t="s">
        <v>56</v>
      </c>
      <c r="M208" s="257" t="s">
        <v>56</v>
      </c>
      <c r="N208" s="261" t="s">
        <v>58</v>
      </c>
      <c r="O208" s="257" t="s">
        <v>56</v>
      </c>
      <c r="P208" s="261" t="s">
        <v>58</v>
      </c>
      <c r="Q208" s="257" t="s">
        <v>56</v>
      </c>
      <c r="R208" s="258" t="s">
        <v>57</v>
      </c>
      <c r="S208" s="258" t="s">
        <v>57</v>
      </c>
      <c r="T208" s="257" t="s">
        <v>56</v>
      </c>
      <c r="U208" s="258" t="s">
        <v>57</v>
      </c>
      <c r="V208" s="257" t="s">
        <v>56</v>
      </c>
      <c r="W208" s="261" t="s">
        <v>58</v>
      </c>
      <c r="X208" s="257" t="s">
        <v>56</v>
      </c>
      <c r="Y208" s="257" t="s">
        <v>56</v>
      </c>
      <c r="Z208" s="261" t="s">
        <v>58</v>
      </c>
      <c r="AA208" s="257" t="s">
        <v>56</v>
      </c>
      <c r="AB208" s="257" t="s">
        <v>56</v>
      </c>
      <c r="AC208" s="261" t="s">
        <v>58</v>
      </c>
      <c r="AD208" s="257" t="s">
        <v>56</v>
      </c>
      <c r="AE208" s="258" t="s">
        <v>57</v>
      </c>
      <c r="AF208" s="263" t="s">
        <v>56</v>
      </c>
      <c r="AG208" s="257" t="s">
        <v>4</v>
      </c>
      <c r="AH208" s="257" t="s">
        <v>4</v>
      </c>
      <c r="AI208" s="257" t="s">
        <v>4</v>
      </c>
      <c r="AJ208" s="257" t="s">
        <v>4</v>
      </c>
      <c r="AK208" s="257" t="s">
        <v>4</v>
      </c>
      <c r="AL208" s="257" t="s">
        <v>4</v>
      </c>
      <c r="AM208" s="257" t="s">
        <v>4</v>
      </c>
      <c r="AN208" s="257" t="s">
        <v>4</v>
      </c>
      <c r="AO208" s="257" t="s">
        <v>4</v>
      </c>
      <c r="AP208" s="257" t="s">
        <v>4</v>
      </c>
      <c r="AQ208" s="257" t="s">
        <v>4</v>
      </c>
      <c r="AR208" s="257" t="s">
        <v>4</v>
      </c>
      <c r="AS208" s="257" t="s">
        <v>4</v>
      </c>
      <c r="AT208" s="257" t="s">
        <v>4</v>
      </c>
      <c r="AU208" s="257" t="s">
        <v>4</v>
      </c>
      <c r="AV208" s="257" t="s">
        <v>4</v>
      </c>
      <c r="AW208" s="257" t="s">
        <v>4</v>
      </c>
      <c r="AX208" s="257" t="s">
        <v>4</v>
      </c>
      <c r="AY208" s="257" t="s">
        <v>4</v>
      </c>
      <c r="AZ208" s="257" t="s">
        <v>4</v>
      </c>
    </row>
    <row r="209" ht="12.75" customHeight="1">
      <c r="A209" s="107"/>
      <c r="B209" s="264">
        <f t="shared" ref="B209:AF209" si="31">IF(B208="Wet",$H218,IF(B208="Dry",$L218,$J218))</f>
        <v>80747</v>
      </c>
      <c r="C209" s="264">
        <f t="shared" si="31"/>
        <v>80747</v>
      </c>
      <c r="D209" s="264">
        <f t="shared" si="31"/>
        <v>80763</v>
      </c>
      <c r="E209" s="264">
        <f t="shared" si="31"/>
        <v>80747</v>
      </c>
      <c r="F209" s="264">
        <f t="shared" si="31"/>
        <v>80747</v>
      </c>
      <c r="G209" s="265">
        <f t="shared" si="31"/>
        <v>80747</v>
      </c>
      <c r="H209" s="264">
        <f t="shared" si="31"/>
        <v>80747</v>
      </c>
      <c r="I209" s="264">
        <f t="shared" si="31"/>
        <v>80405</v>
      </c>
      <c r="J209" s="264">
        <f t="shared" si="31"/>
        <v>80405</v>
      </c>
      <c r="K209" s="264">
        <f t="shared" si="31"/>
        <v>80747</v>
      </c>
      <c r="L209" s="264">
        <f t="shared" si="31"/>
        <v>80747</v>
      </c>
      <c r="M209" s="264">
        <f t="shared" si="31"/>
        <v>80747</v>
      </c>
      <c r="N209" s="264">
        <f t="shared" si="31"/>
        <v>80405</v>
      </c>
      <c r="O209" s="264">
        <f t="shared" si="31"/>
        <v>80747</v>
      </c>
      <c r="P209" s="264">
        <f t="shared" si="31"/>
        <v>80405</v>
      </c>
      <c r="Q209" s="264">
        <f t="shared" si="31"/>
        <v>80747</v>
      </c>
      <c r="R209" s="264">
        <f t="shared" si="31"/>
        <v>80763</v>
      </c>
      <c r="S209" s="264">
        <f t="shared" si="31"/>
        <v>80763</v>
      </c>
      <c r="T209" s="264">
        <f t="shared" si="31"/>
        <v>80747</v>
      </c>
      <c r="U209" s="264">
        <f t="shared" si="31"/>
        <v>80763</v>
      </c>
      <c r="V209" s="264">
        <f t="shared" si="31"/>
        <v>80747</v>
      </c>
      <c r="W209" s="264">
        <f t="shared" si="31"/>
        <v>80405</v>
      </c>
      <c r="X209" s="264">
        <f t="shared" si="31"/>
        <v>80747</v>
      </c>
      <c r="Y209" s="264">
        <f t="shared" si="31"/>
        <v>80747</v>
      </c>
      <c r="Z209" s="264">
        <f t="shared" si="31"/>
        <v>80405</v>
      </c>
      <c r="AA209" s="264">
        <f t="shared" si="31"/>
        <v>80747</v>
      </c>
      <c r="AB209" s="264">
        <f t="shared" si="31"/>
        <v>80747</v>
      </c>
      <c r="AC209" s="264">
        <f t="shared" si="31"/>
        <v>80405</v>
      </c>
      <c r="AD209" s="264">
        <f t="shared" si="31"/>
        <v>80747</v>
      </c>
      <c r="AE209" s="264">
        <f t="shared" si="31"/>
        <v>80763</v>
      </c>
      <c r="AF209" s="266">
        <f t="shared" si="31"/>
        <v>80747</v>
      </c>
      <c r="AG209" s="108" t="s">
        <v>7</v>
      </c>
      <c r="AH209" s="108" t="s">
        <v>7</v>
      </c>
      <c r="AI209" s="108" t="s">
        <v>7</v>
      </c>
      <c r="AJ209" s="108" t="s">
        <v>7</v>
      </c>
      <c r="AK209" s="108" t="s">
        <v>7</v>
      </c>
      <c r="AL209" s="108" t="s">
        <v>7</v>
      </c>
      <c r="AM209" s="108" t="s">
        <v>7</v>
      </c>
      <c r="AN209" s="108" t="s">
        <v>7</v>
      </c>
      <c r="AO209" s="108" t="s">
        <v>7</v>
      </c>
      <c r="AP209" s="108" t="s">
        <v>7</v>
      </c>
      <c r="AQ209" s="108" t="s">
        <v>7</v>
      </c>
      <c r="AR209" s="108" t="s">
        <v>7</v>
      </c>
      <c r="AS209" s="108" t="s">
        <v>7</v>
      </c>
      <c r="AT209" s="108" t="s">
        <v>7</v>
      </c>
      <c r="AU209" s="108" t="s">
        <v>7</v>
      </c>
      <c r="AV209" s="108" t="s">
        <v>7</v>
      </c>
      <c r="AW209" s="108" t="s">
        <v>7</v>
      </c>
      <c r="AX209" s="108" t="s">
        <v>7</v>
      </c>
      <c r="AY209" s="108" t="s">
        <v>7</v>
      </c>
      <c r="AZ209" s="108" t="s">
        <v>7</v>
      </c>
    </row>
    <row r="210" ht="12.75" customHeight="1">
      <c r="A210" s="117" t="s">
        <v>1</v>
      </c>
      <c r="B210" s="118"/>
      <c r="C210" s="118"/>
      <c r="D210" s="118"/>
      <c r="E210" s="118"/>
      <c r="F210" s="118"/>
      <c r="G210" s="119"/>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21"/>
      <c r="AG210" s="118"/>
      <c r="AH210" s="118"/>
      <c r="AI210" s="118"/>
      <c r="AJ210" s="118"/>
      <c r="AK210" s="118"/>
      <c r="AL210" s="118"/>
      <c r="AM210" s="118"/>
      <c r="AN210" s="118"/>
      <c r="AO210" s="118"/>
      <c r="AP210" s="118"/>
      <c r="AQ210" s="118"/>
      <c r="AR210" s="118"/>
      <c r="AS210" s="118"/>
      <c r="AT210" s="118"/>
      <c r="AU210" s="118"/>
      <c r="AV210" s="118"/>
      <c r="AW210" s="118"/>
      <c r="AX210" s="118"/>
      <c r="AY210" s="118"/>
      <c r="AZ210" s="122"/>
    </row>
    <row r="211" ht="12.75" customHeight="1">
      <c r="A211" s="123" t="s">
        <v>62</v>
      </c>
      <c r="B211" s="213" t="s">
        <v>7</v>
      </c>
      <c r="C211" s="213" t="s">
        <v>7</v>
      </c>
      <c r="D211" s="213" t="s">
        <v>7</v>
      </c>
      <c r="E211" s="213" t="s">
        <v>7</v>
      </c>
      <c r="F211" s="213" t="s">
        <v>7</v>
      </c>
      <c r="G211" s="125">
        <f>'NDVI Acreage'!H24</f>
        <v>64912</v>
      </c>
      <c r="H211" s="127">
        <f>'NDVI Acreage'!I24</f>
        <v>111656.5</v>
      </c>
      <c r="I211" s="127">
        <f>'NDVI Acreage'!J24</f>
        <v>91502</v>
      </c>
      <c r="J211" s="127">
        <f>'NDVI Acreage'!K24</f>
        <v>48945</v>
      </c>
      <c r="K211" s="127">
        <f>'NDVI Acreage'!L24</f>
        <v>84425.5</v>
      </c>
      <c r="L211" s="127">
        <f>'NDVI Acreage'!M24</f>
        <v>84481.5</v>
      </c>
      <c r="M211" s="127">
        <f>'NDVI Acreage'!N24</f>
        <v>97010.5</v>
      </c>
      <c r="N211" s="127">
        <f>'NDVI Acreage'!O24</f>
        <v>71827.5</v>
      </c>
      <c r="O211" s="127">
        <f>'NDVI Acreage'!P24</f>
        <v>115159.5</v>
      </c>
      <c r="P211" s="127">
        <f>'NDVI Acreage'!Q24</f>
        <v>61467</v>
      </c>
      <c r="Q211" s="127">
        <f>'NDVI Acreage'!R24</f>
        <v>117702.5</v>
      </c>
      <c r="R211" s="127">
        <f>'NDVI Acreage'!S24</f>
        <v>84349</v>
      </c>
      <c r="S211" s="127">
        <f>'NDVI Acreage'!T24</f>
        <v>117052</v>
      </c>
      <c r="T211" s="127">
        <f>'NDVI Acreage'!U24</f>
        <v>111378</v>
      </c>
      <c r="U211" s="127">
        <f>'NDVI Acreage'!V24</f>
        <v>94668</v>
      </c>
      <c r="V211" s="127">
        <f>'NDVI Acreage'!W24</f>
        <v>73338</v>
      </c>
      <c r="W211" s="127">
        <f>'NDVI Acreage'!X24</f>
        <v>46333.5</v>
      </c>
      <c r="X211" s="127">
        <f>'NDVI Acreage'!Y24</f>
        <v>77064</v>
      </c>
      <c r="Y211" s="127">
        <f>'NDVI Acreage'!Z24</f>
        <v>63095.5</v>
      </c>
      <c r="Z211" s="127">
        <f>'NDVI Acreage'!AA24</f>
        <v>97685.5</v>
      </c>
      <c r="AA211" s="127">
        <f>'NDVI Acreage'!AB24</f>
        <v>90731.5</v>
      </c>
      <c r="AB211" s="127">
        <f>'NDVI Acreage'!AC24</f>
        <v>73815.5</v>
      </c>
      <c r="AC211" s="127">
        <f>'NDVI Acreage'!AD24</f>
        <v>63814</v>
      </c>
      <c r="AD211" s="127">
        <f>'NDVI Acreage'!AE24</f>
        <v>83574.5</v>
      </c>
      <c r="AE211" s="127">
        <f>'NDVI Acreage'!AF24</f>
        <v>96863.5</v>
      </c>
      <c r="AF211" s="133">
        <f>'NDVI Acreage'!AG24</f>
        <v>80497.5</v>
      </c>
      <c r="AG211" s="127">
        <f>'NDVI Acreage'!AH24</f>
        <v>96092.5</v>
      </c>
      <c r="AH211" s="127">
        <f>'NDVI Acreage'!AI24</f>
        <v>64030</v>
      </c>
      <c r="AI211" s="127">
        <f>'NDVI Acreage'!AJ24</f>
        <v>78797</v>
      </c>
      <c r="AJ211" s="127">
        <f>'NDVI Acreage'!AK24</f>
        <v>80767.5</v>
      </c>
      <c r="AK211" s="127">
        <f>'NDVI Acreage'!AL24</f>
        <v>93305</v>
      </c>
      <c r="AL211" s="127">
        <f>'NDVI Acreage'!AM24</f>
        <v>88978.5</v>
      </c>
      <c r="AM211" s="127">
        <f>'NDVI Acreage'!AN24</f>
        <v>76570.5</v>
      </c>
      <c r="AN211" s="127">
        <f>'NDVI Acreage'!AO24</f>
        <v>84034.5</v>
      </c>
      <c r="AO211" s="127" t="str">
        <f>'NDVI Acreage'!AP24</f>
        <v>#DIV/0!</v>
      </c>
      <c r="AP211" s="127" t="str">
        <f>'NDVI Acreage'!AQ24</f>
        <v>#DIV/0!</v>
      </c>
      <c r="AQ211" s="127" t="str">
        <f>'NDVI Acreage'!AR24</f>
        <v>#DIV/0!</v>
      </c>
      <c r="AR211" s="127" t="str">
        <f>'NDVI Acreage'!AS24</f>
        <v>#DIV/0!</v>
      </c>
      <c r="AS211" s="127" t="str">
        <f>'NDVI Acreage'!AT24</f>
        <v>#DIV/0!</v>
      </c>
      <c r="AT211" s="127" t="str">
        <f>'NDVI Acreage'!AU24</f>
        <v>#DIV/0!</v>
      </c>
      <c r="AU211" s="127" t="str">
        <f>'NDVI Acreage'!AV24</f>
        <v>#DIV/0!</v>
      </c>
      <c r="AV211" s="127" t="str">
        <f>'NDVI Acreage'!AW24</f>
        <v>#DIV/0!</v>
      </c>
      <c r="AW211" s="127" t="str">
        <f>'NDVI Acreage'!AX24</f>
        <v>#DIV/0!</v>
      </c>
      <c r="AX211" s="127" t="str">
        <f>'NDVI Acreage'!AY24</f>
        <v>#DIV/0!</v>
      </c>
      <c r="AY211" s="127" t="str">
        <f>'NDVI Acreage'!AZ24</f>
        <v>#DIV/0!</v>
      </c>
      <c r="AZ211" s="127" t="str">
        <f>'NDVI Acreage'!BA24</f>
        <v>#DIV/0!</v>
      </c>
    </row>
    <row r="212" ht="12.75" customHeight="1">
      <c r="A212" s="141" t="s">
        <v>67</v>
      </c>
      <c r="B212" s="218" t="s">
        <v>7</v>
      </c>
      <c r="C212" s="218" t="s">
        <v>7</v>
      </c>
      <c r="D212" s="218" t="s">
        <v>7</v>
      </c>
      <c r="E212" s="218" t="s">
        <v>7</v>
      </c>
      <c r="F212" s="218" t="s">
        <v>7</v>
      </c>
      <c r="G212" s="144">
        <f t="shared" ref="G212:AZ212" si="32">G211*$B218</f>
        <v>58583.08</v>
      </c>
      <c r="H212" s="145">
        <f t="shared" si="32"/>
        <v>100769.9913</v>
      </c>
      <c r="I212" s="145">
        <f t="shared" si="32"/>
        <v>82580.555</v>
      </c>
      <c r="J212" s="145">
        <f t="shared" si="32"/>
        <v>44172.8625</v>
      </c>
      <c r="K212" s="145">
        <f t="shared" si="32"/>
        <v>76194.01375</v>
      </c>
      <c r="L212" s="145">
        <f t="shared" si="32"/>
        <v>76244.55375</v>
      </c>
      <c r="M212" s="145">
        <f t="shared" si="32"/>
        <v>87551.97625</v>
      </c>
      <c r="N212" s="145">
        <f t="shared" si="32"/>
        <v>64824.31875</v>
      </c>
      <c r="O212" s="145">
        <f t="shared" si="32"/>
        <v>103931.4488</v>
      </c>
      <c r="P212" s="145">
        <f t="shared" si="32"/>
        <v>55473.9675</v>
      </c>
      <c r="Q212" s="145">
        <f t="shared" si="32"/>
        <v>106226.5063</v>
      </c>
      <c r="R212" s="145">
        <f t="shared" si="32"/>
        <v>76124.9725</v>
      </c>
      <c r="S212" s="145">
        <f t="shared" si="32"/>
        <v>105639.43</v>
      </c>
      <c r="T212" s="145">
        <f t="shared" si="32"/>
        <v>100518.645</v>
      </c>
      <c r="U212" s="145">
        <f t="shared" si="32"/>
        <v>85437.87</v>
      </c>
      <c r="V212" s="145">
        <f t="shared" si="32"/>
        <v>66187.545</v>
      </c>
      <c r="W212" s="145">
        <f t="shared" si="32"/>
        <v>41815.98375</v>
      </c>
      <c r="X212" s="145">
        <f t="shared" si="32"/>
        <v>69550.26</v>
      </c>
      <c r="Y212" s="145">
        <f t="shared" si="32"/>
        <v>56943.68875</v>
      </c>
      <c r="Z212" s="145">
        <f t="shared" si="32"/>
        <v>88161.16375</v>
      </c>
      <c r="AA212" s="145">
        <f t="shared" si="32"/>
        <v>81885.17875</v>
      </c>
      <c r="AB212" s="145">
        <f t="shared" si="32"/>
        <v>66618.48875</v>
      </c>
      <c r="AC212" s="145">
        <f t="shared" si="32"/>
        <v>57592.135</v>
      </c>
      <c r="AD212" s="145">
        <f t="shared" si="32"/>
        <v>75425.98625</v>
      </c>
      <c r="AE212" s="145">
        <f t="shared" si="32"/>
        <v>87419.30875</v>
      </c>
      <c r="AF212" s="146">
        <f t="shared" si="32"/>
        <v>72648.99375</v>
      </c>
      <c r="AG212" s="145">
        <f t="shared" si="32"/>
        <v>86723.48125</v>
      </c>
      <c r="AH212" s="145">
        <f t="shared" si="32"/>
        <v>57787.075</v>
      </c>
      <c r="AI212" s="145">
        <f t="shared" si="32"/>
        <v>71114.2925</v>
      </c>
      <c r="AJ212" s="145">
        <f t="shared" si="32"/>
        <v>72892.66875</v>
      </c>
      <c r="AK212" s="145">
        <f t="shared" si="32"/>
        <v>84207.7625</v>
      </c>
      <c r="AL212" s="145">
        <f t="shared" si="32"/>
        <v>80303.09625</v>
      </c>
      <c r="AM212" s="145">
        <f t="shared" si="32"/>
        <v>69104.87625</v>
      </c>
      <c r="AN212" s="145">
        <f t="shared" si="32"/>
        <v>75841.13625</v>
      </c>
      <c r="AO212" s="145" t="str">
        <f t="shared" si="32"/>
        <v>#DIV/0!</v>
      </c>
      <c r="AP212" s="145" t="str">
        <f t="shared" si="32"/>
        <v>#DIV/0!</v>
      </c>
      <c r="AQ212" s="145" t="str">
        <f t="shared" si="32"/>
        <v>#DIV/0!</v>
      </c>
      <c r="AR212" s="145" t="str">
        <f t="shared" si="32"/>
        <v>#DIV/0!</v>
      </c>
      <c r="AS212" s="145" t="str">
        <f t="shared" si="32"/>
        <v>#DIV/0!</v>
      </c>
      <c r="AT212" s="145" t="str">
        <f t="shared" si="32"/>
        <v>#DIV/0!</v>
      </c>
      <c r="AU212" s="145" t="str">
        <f t="shared" si="32"/>
        <v>#DIV/0!</v>
      </c>
      <c r="AV212" s="145" t="str">
        <f t="shared" si="32"/>
        <v>#DIV/0!</v>
      </c>
      <c r="AW212" s="145" t="str">
        <f t="shared" si="32"/>
        <v>#DIV/0!</v>
      </c>
      <c r="AX212" s="145" t="str">
        <f t="shared" si="32"/>
        <v>#DIV/0!</v>
      </c>
      <c r="AY212" s="145" t="str">
        <f t="shared" si="32"/>
        <v>#DIV/0!</v>
      </c>
      <c r="AZ212" s="145" t="str">
        <f t="shared" si="32"/>
        <v>#DIV/0!</v>
      </c>
    </row>
    <row r="213" ht="12.75" customHeight="1">
      <c r="A213" s="150" t="s">
        <v>70</v>
      </c>
      <c r="B213" s="230" t="s">
        <v>7</v>
      </c>
      <c r="C213" s="230" t="s">
        <v>7</v>
      </c>
      <c r="D213" s="230" t="s">
        <v>7</v>
      </c>
      <c r="E213" s="230" t="s">
        <v>7</v>
      </c>
      <c r="F213" s="230" t="s">
        <v>7</v>
      </c>
      <c r="G213" s="151">
        <f t="shared" ref="G213:AZ213" si="33">G212*$B219</f>
        <v>58189.82863</v>
      </c>
      <c r="H213" s="152">
        <f t="shared" si="33"/>
        <v>100093.5513</v>
      </c>
      <c r="I213" s="152">
        <f t="shared" si="33"/>
        <v>82026.21548</v>
      </c>
      <c r="J213" s="152">
        <f t="shared" si="33"/>
        <v>43876.34278</v>
      </c>
      <c r="K213" s="152">
        <f t="shared" si="33"/>
        <v>75682.54525</v>
      </c>
      <c r="L213" s="152">
        <f t="shared" si="33"/>
        <v>75732.74599</v>
      </c>
      <c r="M213" s="152">
        <f t="shared" si="33"/>
        <v>86964.26501</v>
      </c>
      <c r="N213" s="152">
        <f t="shared" si="33"/>
        <v>64389.17174</v>
      </c>
      <c r="O213" s="152">
        <f t="shared" si="33"/>
        <v>103233.7868</v>
      </c>
      <c r="P213" s="152">
        <f t="shared" si="33"/>
        <v>55101.58671</v>
      </c>
      <c r="Q213" s="152">
        <f t="shared" si="33"/>
        <v>105513.4383</v>
      </c>
      <c r="R213" s="152">
        <f t="shared" si="33"/>
        <v>75613.96745</v>
      </c>
      <c r="S213" s="152">
        <f t="shared" si="33"/>
        <v>104930.3029</v>
      </c>
      <c r="T213" s="152">
        <f t="shared" si="33"/>
        <v>99843.89224</v>
      </c>
      <c r="U213" s="152">
        <f t="shared" si="33"/>
        <v>84864.35015</v>
      </c>
      <c r="V213" s="152">
        <f t="shared" si="33"/>
        <v>65743.24704</v>
      </c>
      <c r="W213" s="152">
        <f t="shared" si="33"/>
        <v>41535.28508</v>
      </c>
      <c r="X213" s="152">
        <f t="shared" si="33"/>
        <v>69083.38911</v>
      </c>
      <c r="Y213" s="152">
        <f t="shared" si="33"/>
        <v>56561.44214</v>
      </c>
      <c r="Z213" s="152">
        <f t="shared" si="33"/>
        <v>87569.36321</v>
      </c>
      <c r="AA213" s="152">
        <f t="shared" si="33"/>
        <v>81335.50709</v>
      </c>
      <c r="AB213" s="152">
        <f t="shared" si="33"/>
        <v>66171.29799</v>
      </c>
      <c r="AC213" s="152">
        <f t="shared" si="33"/>
        <v>57205.53556</v>
      </c>
      <c r="AD213" s="152">
        <f t="shared" si="33"/>
        <v>74919.67329</v>
      </c>
      <c r="AE213" s="152">
        <f t="shared" si="33"/>
        <v>86832.48807</v>
      </c>
      <c r="AF213" s="159">
        <f t="shared" si="33"/>
        <v>72161.32195</v>
      </c>
      <c r="AG213" s="152">
        <f t="shared" si="33"/>
        <v>86141.33146</v>
      </c>
      <c r="AH213" s="152">
        <f t="shared" si="33"/>
        <v>57399.16698</v>
      </c>
      <c r="AI213" s="152">
        <f t="shared" si="33"/>
        <v>70636.9227</v>
      </c>
      <c r="AJ213" s="152">
        <f t="shared" si="33"/>
        <v>72403.36123</v>
      </c>
      <c r="AK213" s="152">
        <f t="shared" si="33"/>
        <v>83642.50001</v>
      </c>
      <c r="AL213" s="152">
        <f t="shared" si="33"/>
        <v>79764.04466</v>
      </c>
      <c r="AM213" s="152">
        <f t="shared" si="33"/>
        <v>68640.99509</v>
      </c>
      <c r="AN213" s="152">
        <f t="shared" si="33"/>
        <v>75332.03651</v>
      </c>
      <c r="AO213" s="152" t="str">
        <f t="shared" si="33"/>
        <v>#DIV/0!</v>
      </c>
      <c r="AP213" s="152" t="str">
        <f t="shared" si="33"/>
        <v>#DIV/0!</v>
      </c>
      <c r="AQ213" s="152" t="str">
        <f t="shared" si="33"/>
        <v>#DIV/0!</v>
      </c>
      <c r="AR213" s="152" t="str">
        <f t="shared" si="33"/>
        <v>#DIV/0!</v>
      </c>
      <c r="AS213" s="152" t="str">
        <f t="shared" si="33"/>
        <v>#DIV/0!</v>
      </c>
      <c r="AT213" s="152" t="str">
        <f t="shared" si="33"/>
        <v>#DIV/0!</v>
      </c>
      <c r="AU213" s="152" t="str">
        <f t="shared" si="33"/>
        <v>#DIV/0!</v>
      </c>
      <c r="AV213" s="152" t="str">
        <f t="shared" si="33"/>
        <v>#DIV/0!</v>
      </c>
      <c r="AW213" s="152" t="str">
        <f t="shared" si="33"/>
        <v>#DIV/0!</v>
      </c>
      <c r="AX213" s="152" t="str">
        <f t="shared" si="33"/>
        <v>#DIV/0!</v>
      </c>
      <c r="AY213" s="152" t="str">
        <f t="shared" si="33"/>
        <v>#DIV/0!</v>
      </c>
      <c r="AZ213" s="163" t="str">
        <f t="shared" si="33"/>
        <v>#DIV/0!</v>
      </c>
    </row>
    <row r="214" ht="12.75" customHeight="1">
      <c r="A214" s="165" t="s">
        <v>74</v>
      </c>
      <c r="B214" s="231" t="s">
        <v>7</v>
      </c>
      <c r="C214" s="231" t="s">
        <v>7</v>
      </c>
      <c r="D214" s="231" t="s">
        <v>7</v>
      </c>
      <c r="E214" s="231" t="s">
        <v>7</v>
      </c>
      <c r="F214" s="231" t="s">
        <v>7</v>
      </c>
      <c r="G214" s="168">
        <f t="shared" ref="G214:AZ214" si="34">G212*$B220</f>
        <v>393.2513694</v>
      </c>
      <c r="H214" s="169">
        <f t="shared" si="34"/>
        <v>676.439973</v>
      </c>
      <c r="I214" s="169">
        <f t="shared" si="34"/>
        <v>554.3395182</v>
      </c>
      <c r="J214" s="169">
        <f t="shared" si="34"/>
        <v>296.5197232</v>
      </c>
      <c r="K214" s="169">
        <f t="shared" si="34"/>
        <v>511.4685033</v>
      </c>
      <c r="L214" s="169">
        <f t="shared" si="34"/>
        <v>511.8077638</v>
      </c>
      <c r="M214" s="169">
        <f t="shared" si="34"/>
        <v>587.7112394</v>
      </c>
      <c r="N214" s="169">
        <f t="shared" si="34"/>
        <v>435.1470103</v>
      </c>
      <c r="O214" s="169">
        <f t="shared" si="34"/>
        <v>697.6619281</v>
      </c>
      <c r="P214" s="169">
        <f t="shared" si="34"/>
        <v>372.3807913</v>
      </c>
      <c r="Q214" s="169">
        <f t="shared" si="34"/>
        <v>713.0679891</v>
      </c>
      <c r="R214" s="169">
        <f t="shared" si="34"/>
        <v>511.0050493</v>
      </c>
      <c r="S214" s="169">
        <f t="shared" si="34"/>
        <v>709.127115</v>
      </c>
      <c r="T214" s="169">
        <f t="shared" si="34"/>
        <v>674.7527579</v>
      </c>
      <c r="U214" s="169">
        <f t="shared" si="34"/>
        <v>573.5198521</v>
      </c>
      <c r="V214" s="169">
        <f t="shared" si="34"/>
        <v>444.2979561</v>
      </c>
      <c r="W214" s="169">
        <f t="shared" si="34"/>
        <v>280.698674</v>
      </c>
      <c r="X214" s="169">
        <f t="shared" si="34"/>
        <v>466.8708949</v>
      </c>
      <c r="Y214" s="169">
        <f t="shared" si="34"/>
        <v>382.2466074</v>
      </c>
      <c r="Z214" s="169">
        <f t="shared" si="34"/>
        <v>591.8005399</v>
      </c>
      <c r="AA214" s="169">
        <f t="shared" si="34"/>
        <v>549.6716574</v>
      </c>
      <c r="AB214" s="169">
        <f t="shared" si="34"/>
        <v>447.1907576</v>
      </c>
      <c r="AC214" s="169">
        <f t="shared" si="34"/>
        <v>386.5994406</v>
      </c>
      <c r="AD214" s="169">
        <f t="shared" si="34"/>
        <v>506.3129556</v>
      </c>
      <c r="AE214" s="169">
        <f t="shared" si="34"/>
        <v>586.8206806</v>
      </c>
      <c r="AF214" s="173">
        <f t="shared" si="34"/>
        <v>487.6718035</v>
      </c>
      <c r="AG214" s="175">
        <f t="shared" si="34"/>
        <v>582.1497907</v>
      </c>
      <c r="AH214" s="175">
        <f t="shared" si="34"/>
        <v>387.9080167</v>
      </c>
      <c r="AI214" s="175">
        <f t="shared" si="34"/>
        <v>477.3697953</v>
      </c>
      <c r="AJ214" s="175">
        <f t="shared" si="34"/>
        <v>489.3075237</v>
      </c>
      <c r="AK214" s="175">
        <f t="shared" si="34"/>
        <v>565.2624942</v>
      </c>
      <c r="AL214" s="175">
        <f t="shared" si="34"/>
        <v>539.0515925</v>
      </c>
      <c r="AM214" s="175">
        <f t="shared" si="34"/>
        <v>463.8811619</v>
      </c>
      <c r="AN214" s="175">
        <f t="shared" si="34"/>
        <v>509.0997381</v>
      </c>
      <c r="AO214" s="175" t="str">
        <f t="shared" si="34"/>
        <v>#DIV/0!</v>
      </c>
      <c r="AP214" s="175" t="str">
        <f t="shared" si="34"/>
        <v>#DIV/0!</v>
      </c>
      <c r="AQ214" s="175" t="str">
        <f t="shared" si="34"/>
        <v>#DIV/0!</v>
      </c>
      <c r="AR214" s="175" t="str">
        <f t="shared" si="34"/>
        <v>#DIV/0!</v>
      </c>
      <c r="AS214" s="175" t="str">
        <f t="shared" si="34"/>
        <v>#DIV/0!</v>
      </c>
      <c r="AT214" s="175" t="str">
        <f t="shared" si="34"/>
        <v>#DIV/0!</v>
      </c>
      <c r="AU214" s="175" t="str">
        <f t="shared" si="34"/>
        <v>#DIV/0!</v>
      </c>
      <c r="AV214" s="175" t="str">
        <f t="shared" si="34"/>
        <v>#DIV/0!</v>
      </c>
      <c r="AW214" s="175" t="str">
        <f t="shared" si="34"/>
        <v>#DIV/0!</v>
      </c>
      <c r="AX214" s="175" t="str">
        <f t="shared" si="34"/>
        <v>#DIV/0!</v>
      </c>
      <c r="AY214" s="175" t="str">
        <f t="shared" si="34"/>
        <v>#DIV/0!</v>
      </c>
      <c r="AZ214" s="179" t="str">
        <f t="shared" si="34"/>
        <v>#DIV/0!</v>
      </c>
    </row>
    <row r="215" ht="12.75" customHeight="1">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row>
    <row r="216" ht="12.75" customHeight="1">
      <c r="A216" s="89"/>
      <c r="B216" s="182" t="s">
        <v>77</v>
      </c>
      <c r="C216" s="183"/>
      <c r="D216" s="89"/>
      <c r="E216" s="184"/>
      <c r="G216" s="185"/>
      <c r="H216" s="186" t="s">
        <v>82</v>
      </c>
      <c r="I216" s="183"/>
      <c r="J216" s="186" t="s">
        <v>86</v>
      </c>
      <c r="K216" s="183"/>
      <c r="L216" s="186" t="s">
        <v>87</v>
      </c>
      <c r="M216" s="183"/>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row>
    <row r="217" ht="12.75" customHeight="1">
      <c r="A217" s="89"/>
      <c r="B217" s="187" t="s">
        <v>89</v>
      </c>
      <c r="C217" s="187" t="s">
        <v>91</v>
      </c>
      <c r="D217" s="89"/>
      <c r="E217" s="184" t="s">
        <v>94</v>
      </c>
      <c r="G217" s="185"/>
      <c r="H217" s="182">
        <v>4.0</v>
      </c>
      <c r="I217" s="183"/>
      <c r="J217" s="182">
        <f>26-H217-L217</f>
        <v>15</v>
      </c>
      <c r="K217" s="183"/>
      <c r="L217" s="182">
        <v>7.0</v>
      </c>
      <c r="M217" s="183"/>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row>
    <row r="218" ht="12.75" customHeight="1">
      <c r="A218" s="188" t="s">
        <v>98</v>
      </c>
      <c r="B218" s="187">
        <v>0.9025</v>
      </c>
      <c r="C218" s="187">
        <v>0.0</v>
      </c>
      <c r="D218" s="89"/>
      <c r="E218" s="184" t="s">
        <v>101</v>
      </c>
      <c r="G218" s="185"/>
      <c r="H218" s="267">
        <v>80763.0</v>
      </c>
      <c r="I218" s="183"/>
      <c r="J218" s="267">
        <v>80747.0</v>
      </c>
      <c r="K218" s="183"/>
      <c r="L218" s="267">
        <v>80405.0</v>
      </c>
      <c r="M218" s="183"/>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row>
    <row r="219" ht="12.75" customHeight="1">
      <c r="A219" s="188" t="s">
        <v>103</v>
      </c>
      <c r="B219" s="194">
        <f>1-B220</f>
        <v>0.9932872876</v>
      </c>
      <c r="C219" s="183"/>
      <c r="D219" s="89"/>
      <c r="E219" s="184" t="s">
        <v>67</v>
      </c>
      <c r="G219" s="185"/>
      <c r="H219" s="189">
        <f>AVERAGE(R212:S212,U212,AE212)</f>
        <v>88655.39531</v>
      </c>
      <c r="I219" s="183"/>
      <c r="J219" s="189">
        <f>AVERAGE(G212:H212,K212:L212,M212,O212,Q212,T212,V212,X212:Y212,AA212:AB212,AD212,AF212)</f>
        <v>79952.02375</v>
      </c>
      <c r="K219" s="183"/>
      <c r="L219" s="189">
        <f>AVERAGE(AC212,Z212,W212,P212,N212,I212:J212)</f>
        <v>62088.71232</v>
      </c>
      <c r="M219" s="183"/>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row>
    <row r="220" ht="12.75" customHeight="1">
      <c r="A220" s="188" t="s">
        <v>107</v>
      </c>
      <c r="B220" s="194">
        <f>650/(H218*0.2+J218*0.8+L218*0.2)</f>
        <v>0.006712712432</v>
      </c>
      <c r="C220" s="183"/>
      <c r="D220" s="89"/>
      <c r="E220" s="184" t="s">
        <v>108</v>
      </c>
      <c r="G220" s="185"/>
      <c r="H220" s="198">
        <f>H219/H218-1</f>
        <v>0.09772290916</v>
      </c>
      <c r="I220" s="183"/>
      <c r="J220" s="198">
        <f>J219/J218-1</f>
        <v>-0.009845272889</v>
      </c>
      <c r="K220" s="183"/>
      <c r="L220" s="198">
        <f>L219/L218-1</f>
        <v>-0.2278003567</v>
      </c>
      <c r="M220" s="183"/>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row>
    <row r="221" ht="12.75" customHeight="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row>
    <row r="222" ht="12.75" customHeight="1">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row>
    <row r="223" ht="12.75" customHeight="1">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row>
    <row r="224" ht="12.75" customHeight="1">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row>
    <row r="225" ht="12.75" customHeight="1">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row>
    <row r="226" ht="12.75" customHeight="1">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row>
    <row r="227" ht="12.75" customHeight="1">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row>
    <row r="228" ht="12.75" customHeight="1">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row>
    <row r="229" ht="12.75" customHeight="1">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row>
    <row r="230" ht="12.75" customHeight="1">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row>
    <row r="231" ht="12.75" customHeight="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row>
    <row r="232" ht="12.75" customHeight="1">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row>
    <row r="233" ht="12.75" customHeight="1">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row>
    <row r="234" ht="12.75" customHeight="1">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row>
    <row r="235" ht="12.75" customHeight="1">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row>
    <row r="236" ht="12.75" customHeight="1">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row>
    <row r="237" ht="12.75" customHeight="1">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row>
    <row r="238" ht="12.75" customHeight="1">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row>
    <row r="239" ht="12.75" customHeight="1">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row>
    <row r="240" ht="12.75" customHeight="1">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row>
    <row r="241" ht="12.75" customHeight="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row>
    <row r="242" ht="12.75" customHeight="1">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row>
    <row r="243" ht="12.75" customHeight="1">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row>
    <row r="244" ht="12.75" customHeight="1">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row>
    <row r="245" ht="12.75" customHeight="1">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row>
    <row r="246" ht="12.75" customHeight="1">
      <c r="A246" s="91" t="s">
        <v>14</v>
      </c>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2"/>
    </row>
    <row r="247" ht="12.75" customHeight="1">
      <c r="A247" s="93" t="s">
        <v>53</v>
      </c>
      <c r="B247" s="94">
        <v>1980.0</v>
      </c>
      <c r="C247" s="94">
        <v>1981.0</v>
      </c>
      <c r="D247" s="94">
        <v>1982.0</v>
      </c>
      <c r="E247" s="94">
        <v>1983.0</v>
      </c>
      <c r="F247" s="94">
        <v>1984.0</v>
      </c>
      <c r="G247" s="95">
        <v>1985.0</v>
      </c>
      <c r="H247" s="96">
        <v>1986.0</v>
      </c>
      <c r="I247" s="96">
        <v>1987.0</v>
      </c>
      <c r="J247" s="96">
        <v>1988.0</v>
      </c>
      <c r="K247" s="96">
        <v>1989.0</v>
      </c>
      <c r="L247" s="96">
        <v>1990.0</v>
      </c>
      <c r="M247" s="96">
        <v>1991.0</v>
      </c>
      <c r="N247" s="96">
        <v>1992.0</v>
      </c>
      <c r="O247" s="96">
        <v>1993.0</v>
      </c>
      <c r="P247" s="96">
        <v>1994.0</v>
      </c>
      <c r="Q247" s="96">
        <v>1995.0</v>
      </c>
      <c r="R247" s="96">
        <v>1996.0</v>
      </c>
      <c r="S247" s="96">
        <v>1997.0</v>
      </c>
      <c r="T247" s="96">
        <v>1998.0</v>
      </c>
      <c r="U247" s="96">
        <v>1999.0</v>
      </c>
      <c r="V247" s="96">
        <v>2000.0</v>
      </c>
      <c r="W247" s="96">
        <v>2001.0</v>
      </c>
      <c r="X247" s="96">
        <v>2002.0</v>
      </c>
      <c r="Y247" s="96">
        <v>2003.0</v>
      </c>
      <c r="Z247" s="96">
        <v>2004.0</v>
      </c>
      <c r="AA247" s="96">
        <v>2005.0</v>
      </c>
      <c r="AB247" s="96">
        <v>2006.0</v>
      </c>
      <c r="AC247" s="96">
        <v>2007.0</v>
      </c>
      <c r="AD247" s="97">
        <v>2008.0</v>
      </c>
      <c r="AE247" s="94">
        <v>2009.0</v>
      </c>
      <c r="AF247" s="94">
        <v>2010.0</v>
      </c>
      <c r="AG247" s="94">
        <v>2011.0</v>
      </c>
      <c r="AH247" s="94">
        <v>2012.0</v>
      </c>
      <c r="AI247" s="94">
        <v>2013.0</v>
      </c>
      <c r="AJ247" s="94">
        <v>2014.0</v>
      </c>
      <c r="AK247" s="94">
        <v>2015.0</v>
      </c>
      <c r="AL247" s="94">
        <v>2016.0</v>
      </c>
      <c r="AM247" s="94">
        <v>2017.0</v>
      </c>
      <c r="AN247" s="94">
        <v>2018.0</v>
      </c>
      <c r="AO247" s="94">
        <v>2019.0</v>
      </c>
      <c r="AP247" s="94">
        <v>2020.0</v>
      </c>
      <c r="AQ247" s="94">
        <v>2021.0</v>
      </c>
      <c r="AR247" s="94">
        <v>2022.0</v>
      </c>
      <c r="AS247" s="94">
        <v>2023.0</v>
      </c>
      <c r="AT247" s="94">
        <v>2024.0</v>
      </c>
      <c r="AU247" s="94">
        <v>2025.0</v>
      </c>
      <c r="AV247" s="94">
        <v>2026.0</v>
      </c>
      <c r="AW247" s="94">
        <v>2027.0</v>
      </c>
      <c r="AX247" s="94">
        <v>2028.0</v>
      </c>
      <c r="AY247" s="94">
        <v>2029.0</v>
      </c>
      <c r="AZ247" s="99">
        <v>2030.0</v>
      </c>
    </row>
    <row r="248" ht="12.75" customHeight="1">
      <c r="A248" s="205"/>
      <c r="B248" s="268" t="s">
        <v>56</v>
      </c>
      <c r="C248" s="257" t="s">
        <v>56</v>
      </c>
      <c r="D248" s="257" t="s">
        <v>56</v>
      </c>
      <c r="E248" s="258" t="s">
        <v>57</v>
      </c>
      <c r="F248" s="257" t="s">
        <v>56</v>
      </c>
      <c r="G248" s="269" t="s">
        <v>58</v>
      </c>
      <c r="H248" s="258" t="s">
        <v>57</v>
      </c>
      <c r="I248" s="257" t="s">
        <v>56</v>
      </c>
      <c r="J248" s="261" t="s">
        <v>58</v>
      </c>
      <c r="K248" s="257" t="s">
        <v>56</v>
      </c>
      <c r="L248" s="257" t="s">
        <v>56</v>
      </c>
      <c r="M248" s="257" t="s">
        <v>56</v>
      </c>
      <c r="N248" s="257" t="s">
        <v>56</v>
      </c>
      <c r="O248" s="257" t="s">
        <v>56</v>
      </c>
      <c r="P248" s="261" t="s">
        <v>58</v>
      </c>
      <c r="Q248" s="258" t="s">
        <v>57</v>
      </c>
      <c r="R248" s="258" t="s">
        <v>57</v>
      </c>
      <c r="S248" s="258" t="s">
        <v>57</v>
      </c>
      <c r="T248" s="257" t="s">
        <v>56</v>
      </c>
      <c r="U248" s="258" t="s">
        <v>57</v>
      </c>
      <c r="V248" s="257" t="s">
        <v>56</v>
      </c>
      <c r="W248" s="261" t="s">
        <v>58</v>
      </c>
      <c r="X248" s="261" t="s">
        <v>58</v>
      </c>
      <c r="Y248" s="257" t="s">
        <v>56</v>
      </c>
      <c r="Z248" s="261" t="s">
        <v>58</v>
      </c>
      <c r="AA248" s="257" t="s">
        <v>56</v>
      </c>
      <c r="AB248" s="257" t="s">
        <v>56</v>
      </c>
      <c r="AC248" s="261" t="s">
        <v>58</v>
      </c>
      <c r="AD248" s="263" t="s">
        <v>56</v>
      </c>
      <c r="AE248" s="257" t="s">
        <v>4</v>
      </c>
      <c r="AF248" s="257" t="s">
        <v>4</v>
      </c>
      <c r="AG248" s="257" t="s">
        <v>4</v>
      </c>
      <c r="AH248" s="257" t="s">
        <v>4</v>
      </c>
      <c r="AI248" s="257" t="s">
        <v>4</v>
      </c>
      <c r="AJ248" s="257" t="s">
        <v>4</v>
      </c>
      <c r="AK248" s="257" t="s">
        <v>4</v>
      </c>
      <c r="AL248" s="257" t="s">
        <v>4</v>
      </c>
      <c r="AM248" s="257" t="s">
        <v>4</v>
      </c>
      <c r="AN248" s="257" t="s">
        <v>4</v>
      </c>
      <c r="AO248" s="257" t="s">
        <v>4</v>
      </c>
      <c r="AP248" s="257" t="s">
        <v>4</v>
      </c>
      <c r="AQ248" s="257" t="s">
        <v>4</v>
      </c>
      <c r="AR248" s="257" t="s">
        <v>4</v>
      </c>
      <c r="AS248" s="257" t="s">
        <v>4</v>
      </c>
      <c r="AT248" s="257" t="s">
        <v>4</v>
      </c>
      <c r="AU248" s="257" t="s">
        <v>4</v>
      </c>
      <c r="AV248" s="257" t="s">
        <v>4</v>
      </c>
      <c r="AW248" s="257" t="s">
        <v>4</v>
      </c>
      <c r="AX248" s="257" t="s">
        <v>4</v>
      </c>
      <c r="AY248" s="257" t="s">
        <v>4</v>
      </c>
      <c r="AZ248" s="225" t="s">
        <v>4</v>
      </c>
    </row>
    <row r="249" ht="12.75" customHeight="1">
      <c r="A249" s="107"/>
      <c r="B249" s="264">
        <f t="shared" ref="B249:AD249" si="35">IF(B248="Wet",$H258,IF(B248="Dry",$L258,$J258))</f>
        <v>1080000</v>
      </c>
      <c r="C249" s="264">
        <f t="shared" si="35"/>
        <v>1080000</v>
      </c>
      <c r="D249" s="264">
        <f t="shared" si="35"/>
        <v>1080000</v>
      </c>
      <c r="E249" s="264">
        <f t="shared" si="35"/>
        <v>1106700</v>
      </c>
      <c r="F249" s="264">
        <f t="shared" si="35"/>
        <v>1080000</v>
      </c>
      <c r="G249" s="265">
        <f t="shared" si="35"/>
        <v>1017500</v>
      </c>
      <c r="H249" s="264">
        <f t="shared" si="35"/>
        <v>1106700</v>
      </c>
      <c r="I249" s="264">
        <f t="shared" si="35"/>
        <v>1080000</v>
      </c>
      <c r="J249" s="264">
        <f t="shared" si="35"/>
        <v>1017500</v>
      </c>
      <c r="K249" s="264">
        <f t="shared" si="35"/>
        <v>1080000</v>
      </c>
      <c r="L249" s="264">
        <f t="shared" si="35"/>
        <v>1080000</v>
      </c>
      <c r="M249" s="264">
        <f t="shared" si="35"/>
        <v>1080000</v>
      </c>
      <c r="N249" s="264">
        <f t="shared" si="35"/>
        <v>1080000</v>
      </c>
      <c r="O249" s="264">
        <f t="shared" si="35"/>
        <v>1080000</v>
      </c>
      <c r="P249" s="264">
        <f t="shared" si="35"/>
        <v>1017500</v>
      </c>
      <c r="Q249" s="264">
        <f t="shared" si="35"/>
        <v>1106700</v>
      </c>
      <c r="R249" s="264">
        <f t="shared" si="35"/>
        <v>1106700</v>
      </c>
      <c r="S249" s="264">
        <f t="shared" si="35"/>
        <v>1106700</v>
      </c>
      <c r="T249" s="264">
        <f t="shared" si="35"/>
        <v>1080000</v>
      </c>
      <c r="U249" s="264">
        <f t="shared" si="35"/>
        <v>1106700</v>
      </c>
      <c r="V249" s="264">
        <f t="shared" si="35"/>
        <v>1080000</v>
      </c>
      <c r="W249" s="264">
        <f t="shared" si="35"/>
        <v>1017500</v>
      </c>
      <c r="X249" s="264">
        <f t="shared" si="35"/>
        <v>1017500</v>
      </c>
      <c r="Y249" s="264">
        <f t="shared" si="35"/>
        <v>1080000</v>
      </c>
      <c r="Z249" s="264">
        <f t="shared" si="35"/>
        <v>1017500</v>
      </c>
      <c r="AA249" s="264">
        <f t="shared" si="35"/>
        <v>1080000</v>
      </c>
      <c r="AB249" s="264">
        <f t="shared" si="35"/>
        <v>1080000</v>
      </c>
      <c r="AC249" s="264">
        <f t="shared" si="35"/>
        <v>1017500</v>
      </c>
      <c r="AD249" s="266">
        <f t="shared" si="35"/>
        <v>1080000</v>
      </c>
      <c r="AE249" s="108" t="s">
        <v>7</v>
      </c>
      <c r="AF249" s="108" t="s">
        <v>7</v>
      </c>
      <c r="AG249" s="108" t="s">
        <v>7</v>
      </c>
      <c r="AH249" s="108" t="s">
        <v>7</v>
      </c>
      <c r="AI249" s="108" t="s">
        <v>7</v>
      </c>
      <c r="AJ249" s="108" t="s">
        <v>7</v>
      </c>
      <c r="AK249" s="108" t="s">
        <v>7</v>
      </c>
      <c r="AL249" s="108" t="s">
        <v>7</v>
      </c>
      <c r="AM249" s="108" t="s">
        <v>7</v>
      </c>
      <c r="AN249" s="108" t="s">
        <v>7</v>
      </c>
      <c r="AO249" s="108" t="s">
        <v>7</v>
      </c>
      <c r="AP249" s="108" t="s">
        <v>7</v>
      </c>
      <c r="AQ249" s="108" t="s">
        <v>7</v>
      </c>
      <c r="AR249" s="108" t="s">
        <v>7</v>
      </c>
      <c r="AS249" s="108" t="s">
        <v>7</v>
      </c>
      <c r="AT249" s="108" t="s">
        <v>7</v>
      </c>
      <c r="AU249" s="108" t="s">
        <v>7</v>
      </c>
      <c r="AV249" s="108" t="s">
        <v>7</v>
      </c>
      <c r="AW249" s="108" t="s">
        <v>7</v>
      </c>
      <c r="AX249" s="108" t="s">
        <v>7</v>
      </c>
      <c r="AY249" s="108" t="s">
        <v>7</v>
      </c>
      <c r="AZ249" s="116" t="s">
        <v>7</v>
      </c>
    </row>
    <row r="250" ht="12.75" customHeight="1">
      <c r="A250" s="117" t="s">
        <v>1</v>
      </c>
      <c r="B250" s="118"/>
      <c r="C250" s="118"/>
      <c r="D250" s="118"/>
      <c r="E250" s="118"/>
      <c r="F250" s="118"/>
      <c r="G250" s="119"/>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c r="AD250" s="121"/>
      <c r="AE250" s="118"/>
      <c r="AF250" s="118"/>
      <c r="AG250" s="118"/>
      <c r="AH250" s="118"/>
      <c r="AI250" s="118"/>
      <c r="AJ250" s="118"/>
      <c r="AK250" s="118"/>
      <c r="AL250" s="118"/>
      <c r="AM250" s="118"/>
      <c r="AN250" s="118"/>
      <c r="AO250" s="118"/>
      <c r="AP250" s="118"/>
      <c r="AQ250" s="118"/>
      <c r="AR250" s="118"/>
      <c r="AS250" s="118"/>
      <c r="AT250" s="118"/>
      <c r="AU250" s="118"/>
      <c r="AV250" s="118"/>
      <c r="AW250" s="118"/>
      <c r="AX250" s="118"/>
      <c r="AY250" s="118"/>
      <c r="AZ250" s="122"/>
    </row>
    <row r="251" ht="12.75" customHeight="1">
      <c r="A251" s="123" t="s">
        <v>62</v>
      </c>
      <c r="B251" s="213" t="s">
        <v>7</v>
      </c>
      <c r="C251" s="213" t="s">
        <v>7</v>
      </c>
      <c r="D251" s="213" t="s">
        <v>7</v>
      </c>
      <c r="E251" s="213" t="s">
        <v>7</v>
      </c>
      <c r="F251" s="213" t="s">
        <v>7</v>
      </c>
      <c r="G251" s="125">
        <f>'NDVI Acreage'!H28</f>
        <v>313947.5</v>
      </c>
      <c r="H251" s="127">
        <f>'NDVI Acreage'!I28</f>
        <v>329068</v>
      </c>
      <c r="I251" s="127">
        <f>'NDVI Acreage'!J28</f>
        <v>340801</v>
      </c>
      <c r="J251" s="127">
        <f>'NDVI Acreage'!K28</f>
        <v>228461</v>
      </c>
      <c r="K251" s="127">
        <f>'NDVI Acreage'!L28</f>
        <v>350010.5</v>
      </c>
      <c r="L251" s="127">
        <f>'NDVI Acreage'!M28</f>
        <v>346997.5</v>
      </c>
      <c r="M251" s="127">
        <f>'NDVI Acreage'!N28</f>
        <v>410033</v>
      </c>
      <c r="N251" s="127">
        <f>'NDVI Acreage'!O28</f>
        <v>310886.5</v>
      </c>
      <c r="O251" s="127">
        <f>'NDVI Acreage'!P28</f>
        <v>380252.5</v>
      </c>
      <c r="P251" s="127">
        <f>'NDVI Acreage'!Q28</f>
        <v>331492.5</v>
      </c>
      <c r="Q251" s="127">
        <f>'NDVI Acreage'!R28</f>
        <v>422285</v>
      </c>
      <c r="R251" s="127">
        <f>'NDVI Acreage'!S28</f>
        <v>371305</v>
      </c>
      <c r="S251" s="127">
        <f>'NDVI Acreage'!T28</f>
        <v>420386</v>
      </c>
      <c r="T251" s="127">
        <f>'NDVI Acreage'!U28</f>
        <v>426439.5</v>
      </c>
      <c r="U251" s="127">
        <f>'NDVI Acreage'!V28</f>
        <v>394694</v>
      </c>
      <c r="V251" s="127">
        <f>'NDVI Acreage'!W28</f>
        <v>287192.5</v>
      </c>
      <c r="W251" s="127">
        <f>'NDVI Acreage'!X28</f>
        <v>295982.5</v>
      </c>
      <c r="X251" s="127">
        <f>'NDVI Acreage'!Y28</f>
        <v>255190</v>
      </c>
      <c r="Y251" s="127">
        <f>'NDVI Acreage'!Z28</f>
        <v>333912.5</v>
      </c>
      <c r="Z251" s="127">
        <f>'NDVI Acreage'!AA28</f>
        <v>340828.5</v>
      </c>
      <c r="AA251" s="127">
        <f>'NDVI Acreage'!AB28</f>
        <v>355431.5</v>
      </c>
      <c r="AB251" s="127">
        <f>'NDVI Acreage'!AC28</f>
        <v>294729</v>
      </c>
      <c r="AC251" s="127">
        <f>'NDVI Acreage'!AD28</f>
        <v>322471.5</v>
      </c>
      <c r="AD251" s="133">
        <f>'NDVI Acreage'!AE28</f>
        <v>338483</v>
      </c>
      <c r="AE251" s="127">
        <f>'NDVI Acreage'!AF28</f>
        <v>366183</v>
      </c>
      <c r="AF251" s="127">
        <f>'NDVI Acreage'!AG28</f>
        <v>322394</v>
      </c>
      <c r="AG251" s="127">
        <f>'NDVI Acreage'!AH28</f>
        <v>329154</v>
      </c>
      <c r="AH251" s="127">
        <f>'NDVI Acreage'!AI28</f>
        <v>280446.5</v>
      </c>
      <c r="AI251" s="127">
        <f>'NDVI Acreage'!AJ28</f>
        <v>319230</v>
      </c>
      <c r="AJ251" s="127">
        <f>'NDVI Acreage'!AK28</f>
        <v>382397</v>
      </c>
      <c r="AK251" s="127">
        <f>'NDVI Acreage'!AL28</f>
        <v>367311.5</v>
      </c>
      <c r="AL251" s="127">
        <f>'NDVI Acreage'!AM28</f>
        <v>423394</v>
      </c>
      <c r="AM251" s="127">
        <f>'NDVI Acreage'!AN28</f>
        <v>435017.5</v>
      </c>
      <c r="AN251" s="127">
        <f>'NDVI Acreage'!AO28</f>
        <v>467109.5</v>
      </c>
      <c r="AO251" s="127" t="str">
        <f>'NDVI Acreage'!AP28</f>
        <v>#DIV/0!</v>
      </c>
      <c r="AP251" s="127" t="str">
        <f>'NDVI Acreage'!AQ28</f>
        <v>#DIV/0!</v>
      </c>
      <c r="AQ251" s="127" t="str">
        <f>'NDVI Acreage'!AR28</f>
        <v>#DIV/0!</v>
      </c>
      <c r="AR251" s="127" t="str">
        <f>'NDVI Acreage'!AS28</f>
        <v>#DIV/0!</v>
      </c>
      <c r="AS251" s="127" t="str">
        <f>'NDVI Acreage'!AT28</f>
        <v>#DIV/0!</v>
      </c>
      <c r="AT251" s="127" t="str">
        <f>'NDVI Acreage'!AU28</f>
        <v>#DIV/0!</v>
      </c>
      <c r="AU251" s="127" t="str">
        <f>'NDVI Acreage'!AV28</f>
        <v>#DIV/0!</v>
      </c>
      <c r="AV251" s="127" t="str">
        <f>'NDVI Acreage'!AW28</f>
        <v>#DIV/0!</v>
      </c>
      <c r="AW251" s="127" t="str">
        <f>'NDVI Acreage'!AX28</f>
        <v>#DIV/0!</v>
      </c>
      <c r="AX251" s="127" t="str">
        <f>'NDVI Acreage'!AY28</f>
        <v>#DIV/0!</v>
      </c>
      <c r="AY251" s="127" t="str">
        <f>'NDVI Acreage'!AZ28</f>
        <v>#DIV/0!</v>
      </c>
      <c r="AZ251" s="127" t="str">
        <f>'NDVI Acreage'!BA28</f>
        <v>#DIV/0!</v>
      </c>
    </row>
    <row r="252" ht="12.75" customHeight="1">
      <c r="A252" s="141" t="s">
        <v>67</v>
      </c>
      <c r="B252" s="218" t="s">
        <v>7</v>
      </c>
      <c r="C252" s="218" t="s">
        <v>7</v>
      </c>
      <c r="D252" s="218" t="s">
        <v>7</v>
      </c>
      <c r="E252" s="218" t="s">
        <v>7</v>
      </c>
      <c r="F252" s="218" t="s">
        <v>7</v>
      </c>
      <c r="G252" s="144">
        <f t="shared" ref="G252:AZ252" si="36">G251*$B258</f>
        <v>962782.7983</v>
      </c>
      <c r="H252" s="145">
        <f t="shared" si="36"/>
        <v>1009152.836</v>
      </c>
      <c r="I252" s="145">
        <f t="shared" si="36"/>
        <v>1045134.427</v>
      </c>
      <c r="J252" s="145">
        <f t="shared" si="36"/>
        <v>700621.3487</v>
      </c>
      <c r="K252" s="145">
        <f t="shared" si="36"/>
        <v>1073377.2</v>
      </c>
      <c r="L252" s="145">
        <f t="shared" si="36"/>
        <v>1064137.233</v>
      </c>
      <c r="M252" s="145">
        <f t="shared" si="36"/>
        <v>1257448.201</v>
      </c>
      <c r="N252" s="145">
        <f t="shared" si="36"/>
        <v>953395.6296</v>
      </c>
      <c r="O252" s="145">
        <f t="shared" si="36"/>
        <v>1166120.342</v>
      </c>
      <c r="P252" s="145">
        <f t="shared" si="36"/>
        <v>1016588.05</v>
      </c>
      <c r="Q252" s="145">
        <f t="shared" si="36"/>
        <v>1295021.41</v>
      </c>
      <c r="R252" s="145">
        <f t="shared" si="36"/>
        <v>1138681.044</v>
      </c>
      <c r="S252" s="145">
        <f t="shared" si="36"/>
        <v>1289197.746</v>
      </c>
      <c r="T252" s="145">
        <f t="shared" si="36"/>
        <v>1307762.015</v>
      </c>
      <c r="U252" s="145">
        <f t="shared" si="36"/>
        <v>1210408.09</v>
      </c>
      <c r="V252" s="145">
        <f t="shared" si="36"/>
        <v>880733.2398</v>
      </c>
      <c r="W252" s="145">
        <f t="shared" si="36"/>
        <v>907689.5328</v>
      </c>
      <c r="X252" s="145">
        <f t="shared" si="36"/>
        <v>782591.173</v>
      </c>
      <c r="Y252" s="145">
        <f t="shared" si="36"/>
        <v>1024009.464</v>
      </c>
      <c r="Z252" s="145">
        <f t="shared" si="36"/>
        <v>1045218.761</v>
      </c>
      <c r="AA252" s="145">
        <f t="shared" si="36"/>
        <v>1090001.781</v>
      </c>
      <c r="AB252" s="145">
        <f t="shared" si="36"/>
        <v>903845.4243</v>
      </c>
      <c r="AC252" s="145">
        <f t="shared" si="36"/>
        <v>988923.3491</v>
      </c>
      <c r="AD252" s="146">
        <f t="shared" si="36"/>
        <v>1038025.816</v>
      </c>
      <c r="AE252" s="145">
        <f t="shared" si="36"/>
        <v>1122973.406</v>
      </c>
      <c r="AF252" s="145">
        <f t="shared" si="36"/>
        <v>988685.6798</v>
      </c>
      <c r="AG252" s="145">
        <f t="shared" si="36"/>
        <v>1009416.572</v>
      </c>
      <c r="AH252" s="145">
        <f t="shared" si="36"/>
        <v>860045.2816</v>
      </c>
      <c r="AI252" s="145">
        <f t="shared" si="36"/>
        <v>978982.641</v>
      </c>
      <c r="AJ252" s="145">
        <f t="shared" si="36"/>
        <v>1172696.88</v>
      </c>
      <c r="AK252" s="145">
        <f t="shared" si="36"/>
        <v>1126434.177</v>
      </c>
      <c r="AL252" s="145">
        <f t="shared" si="36"/>
        <v>1298422.38</v>
      </c>
      <c r="AM252" s="145">
        <f t="shared" si="36"/>
        <v>1334068.167</v>
      </c>
      <c r="AN252" s="145">
        <f t="shared" si="36"/>
        <v>1432484.704</v>
      </c>
      <c r="AO252" s="145" t="str">
        <f t="shared" si="36"/>
        <v>#DIV/0!</v>
      </c>
      <c r="AP252" s="145" t="str">
        <f t="shared" si="36"/>
        <v>#DIV/0!</v>
      </c>
      <c r="AQ252" s="145" t="str">
        <f t="shared" si="36"/>
        <v>#DIV/0!</v>
      </c>
      <c r="AR252" s="145" t="str">
        <f t="shared" si="36"/>
        <v>#DIV/0!</v>
      </c>
      <c r="AS252" s="145" t="str">
        <f t="shared" si="36"/>
        <v>#DIV/0!</v>
      </c>
      <c r="AT252" s="145" t="str">
        <f t="shared" si="36"/>
        <v>#DIV/0!</v>
      </c>
      <c r="AU252" s="145" t="str">
        <f t="shared" si="36"/>
        <v>#DIV/0!</v>
      </c>
      <c r="AV252" s="145" t="str">
        <f t="shared" si="36"/>
        <v>#DIV/0!</v>
      </c>
      <c r="AW252" s="145" t="str">
        <f t="shared" si="36"/>
        <v>#DIV/0!</v>
      </c>
      <c r="AX252" s="145" t="str">
        <f t="shared" si="36"/>
        <v>#DIV/0!</v>
      </c>
      <c r="AY252" s="145" t="str">
        <f t="shared" si="36"/>
        <v>#DIV/0!</v>
      </c>
      <c r="AZ252" s="145" t="str">
        <f t="shared" si="36"/>
        <v>#DIV/0!</v>
      </c>
    </row>
    <row r="253" ht="12.75" customHeight="1">
      <c r="A253" s="150" t="s">
        <v>70</v>
      </c>
      <c r="B253" s="230" t="s">
        <v>7</v>
      </c>
      <c r="C253" s="230" t="s">
        <v>7</v>
      </c>
      <c r="D253" s="230" t="s">
        <v>7</v>
      </c>
      <c r="E253" s="230" t="s">
        <v>7</v>
      </c>
      <c r="F253" s="230" t="s">
        <v>7</v>
      </c>
      <c r="G253" s="151">
        <f t="shared" ref="G253:AZ253" si="37">G252*$B259</f>
        <v>956183.027</v>
      </c>
      <c r="H253" s="152">
        <f t="shared" si="37"/>
        <v>1002235.203</v>
      </c>
      <c r="I253" s="152">
        <f t="shared" si="37"/>
        <v>1037970.144</v>
      </c>
      <c r="J253" s="152">
        <f t="shared" si="37"/>
        <v>695818.6657</v>
      </c>
      <c r="K253" s="152">
        <f t="shared" si="37"/>
        <v>1066019.317</v>
      </c>
      <c r="L253" s="152">
        <f t="shared" si="37"/>
        <v>1056842.688</v>
      </c>
      <c r="M253" s="152">
        <f t="shared" si="37"/>
        <v>1248828.531</v>
      </c>
      <c r="N253" s="152">
        <f t="shared" si="37"/>
        <v>946860.2064</v>
      </c>
      <c r="O253" s="152">
        <f t="shared" si="37"/>
        <v>1158126.714</v>
      </c>
      <c r="P253" s="152">
        <f t="shared" si="37"/>
        <v>1009619.449</v>
      </c>
      <c r="Q253" s="152">
        <f t="shared" si="37"/>
        <v>1286144.179</v>
      </c>
      <c r="R253" s="152">
        <f t="shared" si="37"/>
        <v>1130875.509</v>
      </c>
      <c r="S253" s="152">
        <f t="shared" si="37"/>
        <v>1280360.436</v>
      </c>
      <c r="T253" s="152">
        <f t="shared" si="37"/>
        <v>1298797.448</v>
      </c>
      <c r="U253" s="152">
        <f t="shared" si="37"/>
        <v>1202110.874</v>
      </c>
      <c r="V253" s="152">
        <f t="shared" si="37"/>
        <v>874695.9093</v>
      </c>
      <c r="W253" s="152">
        <f t="shared" si="37"/>
        <v>901467.4199</v>
      </c>
      <c r="X253" s="152">
        <f t="shared" si="37"/>
        <v>777226.5957</v>
      </c>
      <c r="Y253" s="152">
        <f t="shared" si="37"/>
        <v>1016989.99</v>
      </c>
      <c r="Z253" s="152">
        <f t="shared" si="37"/>
        <v>1038053.9</v>
      </c>
      <c r="AA253" s="152">
        <f t="shared" si="37"/>
        <v>1082529.938</v>
      </c>
      <c r="AB253" s="152">
        <f t="shared" si="37"/>
        <v>897649.6624</v>
      </c>
      <c r="AC253" s="152">
        <f t="shared" si="37"/>
        <v>982144.3872</v>
      </c>
      <c r="AD253" s="159">
        <f t="shared" si="37"/>
        <v>1030910.262</v>
      </c>
      <c r="AE253" s="152">
        <f t="shared" si="37"/>
        <v>1115275.546</v>
      </c>
      <c r="AF253" s="152">
        <f t="shared" si="37"/>
        <v>981908.3472</v>
      </c>
      <c r="AG253" s="152">
        <f t="shared" si="37"/>
        <v>1002497.131</v>
      </c>
      <c r="AH253" s="152">
        <f t="shared" si="37"/>
        <v>854149.7648</v>
      </c>
      <c r="AI253" s="152">
        <f t="shared" si="37"/>
        <v>972271.8216</v>
      </c>
      <c r="AJ253" s="152">
        <f t="shared" si="37"/>
        <v>1164658.171</v>
      </c>
      <c r="AK253" s="152">
        <f t="shared" si="37"/>
        <v>1118712.593</v>
      </c>
      <c r="AL253" s="152">
        <f t="shared" si="37"/>
        <v>1289521.836</v>
      </c>
      <c r="AM253" s="152">
        <f t="shared" si="37"/>
        <v>1324923.275</v>
      </c>
      <c r="AN253" s="152">
        <f t="shared" si="37"/>
        <v>1422665.177</v>
      </c>
      <c r="AO253" s="152" t="str">
        <f t="shared" si="37"/>
        <v>#DIV/0!</v>
      </c>
      <c r="AP253" s="152" t="str">
        <f t="shared" si="37"/>
        <v>#DIV/0!</v>
      </c>
      <c r="AQ253" s="152" t="str">
        <f t="shared" si="37"/>
        <v>#DIV/0!</v>
      </c>
      <c r="AR253" s="152" t="str">
        <f t="shared" si="37"/>
        <v>#DIV/0!</v>
      </c>
      <c r="AS253" s="152" t="str">
        <f t="shared" si="37"/>
        <v>#DIV/0!</v>
      </c>
      <c r="AT253" s="152" t="str">
        <f t="shared" si="37"/>
        <v>#DIV/0!</v>
      </c>
      <c r="AU253" s="152" t="str">
        <f t="shared" si="37"/>
        <v>#DIV/0!</v>
      </c>
      <c r="AV253" s="152" t="str">
        <f t="shared" si="37"/>
        <v>#DIV/0!</v>
      </c>
      <c r="AW253" s="152" t="str">
        <f t="shared" si="37"/>
        <v>#DIV/0!</v>
      </c>
      <c r="AX253" s="152" t="str">
        <f t="shared" si="37"/>
        <v>#DIV/0!</v>
      </c>
      <c r="AY253" s="152" t="str">
        <f t="shared" si="37"/>
        <v>#DIV/0!</v>
      </c>
      <c r="AZ253" s="163" t="str">
        <f t="shared" si="37"/>
        <v>#DIV/0!</v>
      </c>
    </row>
    <row r="254" ht="12.75" customHeight="1">
      <c r="A254" s="165" t="s">
        <v>74</v>
      </c>
      <c r="B254" s="231" t="s">
        <v>7</v>
      </c>
      <c r="C254" s="231" t="s">
        <v>7</v>
      </c>
      <c r="D254" s="231" t="s">
        <v>7</v>
      </c>
      <c r="E254" s="231" t="s">
        <v>7</v>
      </c>
      <c r="F254" s="231" t="s">
        <v>7</v>
      </c>
      <c r="G254" s="168">
        <f t="shared" ref="G254:AZ254" si="38">G252*$B260</f>
        <v>6599.771215</v>
      </c>
      <c r="H254" s="169">
        <f t="shared" si="38"/>
        <v>6917.63277</v>
      </c>
      <c r="I254" s="169">
        <f t="shared" si="38"/>
        <v>7164.282658</v>
      </c>
      <c r="J254" s="169">
        <f t="shared" si="38"/>
        <v>4802.683033</v>
      </c>
      <c r="K254" s="169">
        <f t="shared" si="38"/>
        <v>7357.883795</v>
      </c>
      <c r="L254" s="169">
        <f t="shared" si="38"/>
        <v>7294.544827</v>
      </c>
      <c r="M254" s="169">
        <f t="shared" si="38"/>
        <v>8619.670456</v>
      </c>
      <c r="N254" s="169">
        <f t="shared" si="38"/>
        <v>6535.423196</v>
      </c>
      <c r="O254" s="169">
        <f t="shared" si="38"/>
        <v>7993.627927</v>
      </c>
      <c r="P254" s="169">
        <f t="shared" si="38"/>
        <v>6968.600353</v>
      </c>
      <c r="Q254" s="169">
        <f t="shared" si="38"/>
        <v>8877.230707</v>
      </c>
      <c r="R254" s="169">
        <f t="shared" si="38"/>
        <v>7805.534527</v>
      </c>
      <c r="S254" s="169">
        <f t="shared" si="38"/>
        <v>8837.310129</v>
      </c>
      <c r="T254" s="169">
        <f t="shared" si="38"/>
        <v>8964.566167</v>
      </c>
      <c r="U254" s="169">
        <f t="shared" si="38"/>
        <v>8297.215617</v>
      </c>
      <c r="V254" s="169">
        <f t="shared" si="38"/>
        <v>6037.330428</v>
      </c>
      <c r="W254" s="169">
        <f t="shared" si="38"/>
        <v>6222.11288</v>
      </c>
      <c r="X254" s="169">
        <f t="shared" si="38"/>
        <v>5364.57725</v>
      </c>
      <c r="Y254" s="169">
        <f t="shared" si="38"/>
        <v>7019.473338</v>
      </c>
      <c r="Z254" s="169">
        <f t="shared" si="38"/>
        <v>7164.86076</v>
      </c>
      <c r="AA254" s="169">
        <f t="shared" si="38"/>
        <v>7471.843485</v>
      </c>
      <c r="AB254" s="169">
        <f t="shared" si="38"/>
        <v>6195.761936</v>
      </c>
      <c r="AC254" s="169">
        <f t="shared" si="38"/>
        <v>6778.961843</v>
      </c>
      <c r="AD254" s="173">
        <f t="shared" si="38"/>
        <v>7115.553906</v>
      </c>
      <c r="AE254" s="175">
        <f t="shared" si="38"/>
        <v>7697.860383</v>
      </c>
      <c r="AF254" s="175">
        <f t="shared" si="38"/>
        <v>6777.332646</v>
      </c>
      <c r="AG254" s="175">
        <f t="shared" si="38"/>
        <v>6919.440653</v>
      </c>
      <c r="AH254" s="175">
        <f t="shared" si="38"/>
        <v>5895.516728</v>
      </c>
      <c r="AI254" s="175">
        <f t="shared" si="38"/>
        <v>6710.819372</v>
      </c>
      <c r="AJ254" s="175">
        <f t="shared" si="38"/>
        <v>8038.70938</v>
      </c>
      <c r="AK254" s="175">
        <f t="shared" si="38"/>
        <v>7721.583591</v>
      </c>
      <c r="AL254" s="175">
        <f t="shared" si="38"/>
        <v>8900.543988</v>
      </c>
      <c r="AM254" s="175">
        <f t="shared" si="38"/>
        <v>9144.891978</v>
      </c>
      <c r="AN254" s="175">
        <f t="shared" si="38"/>
        <v>9819.526616</v>
      </c>
      <c r="AO254" s="175" t="str">
        <f t="shared" si="38"/>
        <v>#DIV/0!</v>
      </c>
      <c r="AP254" s="175" t="str">
        <f t="shared" si="38"/>
        <v>#DIV/0!</v>
      </c>
      <c r="AQ254" s="175" t="str">
        <f t="shared" si="38"/>
        <v>#DIV/0!</v>
      </c>
      <c r="AR254" s="175" t="str">
        <f t="shared" si="38"/>
        <v>#DIV/0!</v>
      </c>
      <c r="AS254" s="175" t="str">
        <f t="shared" si="38"/>
        <v>#DIV/0!</v>
      </c>
      <c r="AT254" s="175" t="str">
        <f t="shared" si="38"/>
        <v>#DIV/0!</v>
      </c>
      <c r="AU254" s="175" t="str">
        <f t="shared" si="38"/>
        <v>#DIV/0!</v>
      </c>
      <c r="AV254" s="175" t="str">
        <f t="shared" si="38"/>
        <v>#DIV/0!</v>
      </c>
      <c r="AW254" s="175" t="str">
        <f t="shared" si="38"/>
        <v>#DIV/0!</v>
      </c>
      <c r="AX254" s="175" t="str">
        <f t="shared" si="38"/>
        <v>#DIV/0!</v>
      </c>
      <c r="AY254" s="175" t="str">
        <f t="shared" si="38"/>
        <v>#DIV/0!</v>
      </c>
      <c r="AZ254" s="179" t="str">
        <f t="shared" si="38"/>
        <v>#DIV/0!</v>
      </c>
    </row>
    <row r="255" ht="12.75" customHeight="1">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row>
    <row r="256" ht="12.75" customHeight="1">
      <c r="A256" s="89"/>
      <c r="B256" s="182" t="s">
        <v>77</v>
      </c>
      <c r="C256" s="183"/>
      <c r="D256" s="89"/>
      <c r="E256" s="184"/>
      <c r="G256" s="185"/>
      <c r="H256" s="186" t="s">
        <v>82</v>
      </c>
      <c r="I256" s="183"/>
      <c r="J256" s="186" t="s">
        <v>86</v>
      </c>
      <c r="K256" s="183"/>
      <c r="L256" s="186" t="s">
        <v>87</v>
      </c>
      <c r="M256" s="183"/>
      <c r="N256" s="89"/>
      <c r="O256" s="89"/>
      <c r="P256" s="89"/>
      <c r="Q256" s="89"/>
      <c r="R256" s="89"/>
      <c r="S256" s="89"/>
      <c r="T256" s="89"/>
      <c r="U256" s="89"/>
      <c r="V256" s="89"/>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row>
    <row r="257" ht="12.75" customHeight="1">
      <c r="A257" s="89"/>
      <c r="B257" s="187" t="s">
        <v>89</v>
      </c>
      <c r="C257" s="187" t="s">
        <v>91</v>
      </c>
      <c r="D257" s="89"/>
      <c r="E257" s="184" t="s">
        <v>94</v>
      </c>
      <c r="G257" s="185"/>
      <c r="H257" s="182">
        <v>5.0</v>
      </c>
      <c r="I257" s="183"/>
      <c r="J257" s="182">
        <f>24-H257-L257</f>
        <v>12</v>
      </c>
      <c r="K257" s="183"/>
      <c r="L257" s="182">
        <v>7.0</v>
      </c>
      <c r="M257" s="183"/>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row>
    <row r="258" ht="12.75" customHeight="1">
      <c r="A258" s="188" t="s">
        <v>98</v>
      </c>
      <c r="B258" s="187">
        <v>3.0667</v>
      </c>
      <c r="C258" s="187">
        <v>0.0</v>
      </c>
      <c r="D258" s="89"/>
      <c r="E258" s="184" t="s">
        <v>101</v>
      </c>
      <c r="G258" s="185"/>
      <c r="H258" s="189">
        <v>1106700.0</v>
      </c>
      <c r="I258" s="183"/>
      <c r="J258" s="189">
        <v>1080000.0</v>
      </c>
      <c r="K258" s="183"/>
      <c r="L258" s="189">
        <v>1017500.0</v>
      </c>
      <c r="M258" s="183"/>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row>
    <row r="259" ht="12.75" customHeight="1">
      <c r="A259" s="188" t="s">
        <v>103</v>
      </c>
      <c r="B259" s="194">
        <f>1-B260</f>
        <v>0.9931451089</v>
      </c>
      <c r="C259" s="183"/>
      <c r="D259" s="89"/>
      <c r="E259" s="184" t="s">
        <v>67</v>
      </c>
      <c r="G259" s="185"/>
      <c r="H259" s="189">
        <f>AVERAGE(H252,Q252:S252,U252)</f>
        <v>1188492.225</v>
      </c>
      <c r="I259" s="183"/>
      <c r="J259" s="189">
        <f>AVERAGE(I252,K252:O252,T252,V252,Y252,AA252:AB252,AD252)</f>
        <v>1066999.231</v>
      </c>
      <c r="K259" s="183"/>
      <c r="L259" s="189">
        <f>AVERAGE(G252,J252,P252,W252:X252,Z252,AC252)</f>
        <v>914916.4304</v>
      </c>
      <c r="M259" s="183"/>
      <c r="N259" s="89"/>
      <c r="O259" s="89"/>
      <c r="P259" s="89"/>
      <c r="Q259" s="89"/>
      <c r="R259" s="89"/>
      <c r="S259" s="89"/>
      <c r="T259" s="89"/>
      <c r="U259" s="89"/>
      <c r="V259" s="89"/>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row>
    <row r="260" ht="12.75" customHeight="1">
      <c r="A260" s="188" t="s">
        <v>107</v>
      </c>
      <c r="B260" s="194">
        <f>4328/(4328+627046)</f>
        <v>0.006854891079</v>
      </c>
      <c r="C260" s="183"/>
      <c r="D260" s="89"/>
      <c r="E260" s="184" t="s">
        <v>108</v>
      </c>
      <c r="G260" s="185"/>
      <c r="H260" s="198">
        <f>H259/H258-1</f>
        <v>0.07390641088</v>
      </c>
      <c r="I260" s="183"/>
      <c r="J260" s="198">
        <f>J259/J258-1</f>
        <v>-0.01203774905</v>
      </c>
      <c r="K260" s="183"/>
      <c r="L260" s="198">
        <f>L259/L258-1</f>
        <v>-0.1008192331</v>
      </c>
      <c r="M260" s="183"/>
      <c r="N260" s="89"/>
      <c r="O260" s="89"/>
      <c r="P260" s="89"/>
      <c r="Q260" s="89"/>
      <c r="R260" s="89"/>
      <c r="S260" s="89"/>
      <c r="T260" s="89"/>
      <c r="U260" s="89"/>
      <c r="V260" s="89"/>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row>
    <row r="261" ht="12.75" customHeight="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row>
    <row r="262" ht="12.75" customHeight="1">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row>
    <row r="263" ht="12.75" customHeight="1">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row>
    <row r="264" ht="12.75" customHeight="1">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row>
    <row r="265" ht="12.75" customHeight="1">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row>
    <row r="266" ht="12.75" customHeight="1">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row>
    <row r="267" ht="12.75" customHeight="1">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row>
    <row r="268" ht="12.75" customHeight="1">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row>
    <row r="269" ht="12.75" customHeight="1">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row>
    <row r="270" ht="12.75" customHeight="1">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row>
    <row r="271" ht="12.75" customHeight="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row>
    <row r="272" ht="12.75" customHeight="1">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row>
    <row r="273" ht="12.75" customHeight="1">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row>
    <row r="274" ht="12.75" customHeight="1">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row>
    <row r="275" ht="12.75" customHeight="1">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row>
    <row r="276" ht="12.75" customHeight="1">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row>
    <row r="277" ht="12.75" customHeight="1">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row>
    <row r="278" ht="12.75" customHeight="1">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row>
    <row r="279" ht="12.75" customHeight="1">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row>
    <row r="280" ht="12.75" customHeight="1">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row>
    <row r="281" ht="12.75" customHeight="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row>
    <row r="282" ht="12.75" customHeight="1">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row>
    <row r="283" ht="12.75" customHeight="1">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row>
    <row r="284" ht="12.75" customHeight="1">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row>
    <row r="285" ht="12.75" customHeight="1">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row>
    <row r="286" ht="12.75" customHeight="1">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row>
    <row r="287" ht="12.75" customHeight="1">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row>
    <row r="288" ht="12.75" customHeight="1">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row>
    <row r="289" ht="12.75" customHeight="1">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row>
    <row r="290" ht="12.75" customHeight="1">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row>
    <row r="291" ht="12.75" customHeight="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row>
    <row r="292" ht="12.75" customHeight="1">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row>
    <row r="293" ht="12.75" customHeight="1">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row>
    <row r="294" ht="12.75" customHeight="1">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row>
    <row r="295" ht="12.75" customHeight="1">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row>
    <row r="296" ht="12.75" customHeight="1">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row>
    <row r="297" ht="12.75" customHeight="1">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row>
    <row r="298" ht="12.75" customHeight="1">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row>
    <row r="299" ht="12.75" customHeight="1">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row>
    <row r="300" ht="12.75" customHeight="1">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row>
    <row r="301" ht="12.75" customHeight="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row>
    <row r="302" ht="12.75" customHeight="1">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row>
    <row r="303" ht="12.75" customHeight="1">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row>
    <row r="304" ht="12.75" customHeight="1">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row>
    <row r="305" ht="12.75" customHeight="1">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row>
    <row r="306" ht="12.75" customHeight="1">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row>
    <row r="307" ht="12.75" customHeight="1">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row>
    <row r="308" ht="12.75" customHeight="1">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row>
    <row r="309" ht="12.75" customHeight="1">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row>
    <row r="310" ht="12.75" customHeight="1">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row>
    <row r="311" ht="12.75" customHeight="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row>
    <row r="312" ht="12.75" customHeight="1">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row>
    <row r="313" ht="12.75" customHeight="1">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row>
    <row r="314" ht="12.75" customHeight="1">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row>
    <row r="315" ht="12.75" customHeight="1">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row>
    <row r="316" ht="12.75" customHeight="1">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row>
    <row r="317" ht="12.75" customHeight="1">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row>
    <row r="318" ht="12.75" customHeight="1">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row>
    <row r="319" ht="12.75" customHeight="1">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row>
    <row r="320" ht="12.75" customHeight="1">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row>
    <row r="321" ht="12.75" customHeight="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row>
    <row r="322" ht="12.75" customHeight="1">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row>
    <row r="323" ht="12.75" customHeight="1">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row>
    <row r="324" ht="12.75" customHeight="1">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row>
    <row r="325" ht="12.75" customHeight="1">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row>
    <row r="326" ht="12.75" customHeight="1">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row>
    <row r="327" ht="12.75" customHeight="1">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row>
    <row r="328" ht="12.75" customHeight="1">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row>
    <row r="329" ht="12.75" customHeight="1">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row>
    <row r="330" ht="12.75" customHeight="1">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row>
    <row r="331" ht="12.75" customHeight="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row>
    <row r="332" ht="12.75" customHeight="1">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row>
    <row r="333" ht="12.75" customHeight="1">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row>
    <row r="334" ht="12.75" customHeight="1">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row>
    <row r="335" ht="12.75" customHeight="1">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row>
    <row r="336" ht="12.75" customHeight="1">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row>
    <row r="337" ht="12.75" customHeight="1">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row>
    <row r="338" ht="12.75" customHeight="1">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row>
    <row r="339" ht="12.75" customHeight="1">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row>
    <row r="340" ht="12.75" customHeight="1">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row>
    <row r="341" ht="12.75" customHeight="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row>
    <row r="342" ht="12.75" customHeight="1">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row>
    <row r="343" ht="12.75" customHeight="1">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row>
    <row r="344" ht="12.75" customHeight="1">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row>
    <row r="345" ht="12.75" customHeight="1">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row>
    <row r="346" ht="12.75" customHeight="1">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row>
    <row r="347" ht="12.75" customHeight="1">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row>
    <row r="348" ht="12.75" customHeight="1">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row>
    <row r="349" ht="12.75" customHeight="1">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row>
    <row r="350" ht="12.75" customHeight="1">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row>
    <row r="351" ht="12.75" customHeight="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row>
    <row r="352" ht="12.75" customHeight="1">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row>
    <row r="353" ht="12.75" customHeight="1">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row>
    <row r="354" ht="12.75" customHeight="1">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row>
    <row r="355" ht="12.75" customHeight="1">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row>
    <row r="356" ht="12.75" customHeight="1">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row>
    <row r="357" ht="12.75" customHeight="1">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row>
    <row r="358" ht="12.75" customHeight="1">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row>
    <row r="359" ht="12.75" customHeight="1">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row>
    <row r="360" ht="12.75" customHeight="1">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row>
    <row r="361" ht="12.75" customHeight="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row>
    <row r="362" ht="12.75" customHeight="1">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row>
    <row r="363" ht="12.75" customHeight="1">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row>
    <row r="364" ht="12.75" customHeight="1">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row>
    <row r="365" ht="12.75" customHeight="1">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row>
    <row r="366" ht="12.75" customHeight="1">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row>
    <row r="367" ht="12.75" customHeight="1">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row>
    <row r="368" ht="12.75" customHeight="1">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row>
    <row r="369" ht="12.75" customHeight="1">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row>
    <row r="370" ht="12.75" customHeight="1">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row>
    <row r="371" ht="12.75" customHeight="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row>
    <row r="372" ht="12.75" customHeight="1">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row>
    <row r="373" ht="12.75" customHeight="1">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row>
    <row r="374" ht="12.75" customHeight="1">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row>
    <row r="375" ht="12.75" customHeight="1">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row>
    <row r="376" ht="12.75" customHeight="1">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row>
    <row r="377" ht="12.75" customHeight="1">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row>
    <row r="378" ht="12.75" customHeight="1">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row>
    <row r="379" ht="12.75" customHeight="1">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c r="AG379" s="89"/>
      <c r="AH379" s="89"/>
      <c r="AI379" s="89"/>
      <c r="AJ379" s="89"/>
      <c r="AK379" s="89"/>
      <c r="AL379" s="89"/>
      <c r="AM379" s="89"/>
      <c r="AN379" s="89"/>
      <c r="AO379" s="89"/>
      <c r="AP379" s="89"/>
      <c r="AQ379" s="89"/>
      <c r="AR379" s="89"/>
      <c r="AS379" s="89"/>
      <c r="AT379" s="89"/>
      <c r="AU379" s="89"/>
      <c r="AV379" s="89"/>
      <c r="AW379" s="89"/>
      <c r="AX379" s="89"/>
      <c r="AY379" s="89"/>
      <c r="AZ379" s="89"/>
    </row>
    <row r="380" ht="12.75" customHeight="1">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c r="AG380" s="89"/>
      <c r="AH380" s="89"/>
      <c r="AI380" s="89"/>
      <c r="AJ380" s="89"/>
      <c r="AK380" s="89"/>
      <c r="AL380" s="89"/>
      <c r="AM380" s="89"/>
      <c r="AN380" s="89"/>
      <c r="AO380" s="89"/>
      <c r="AP380" s="89"/>
      <c r="AQ380" s="89"/>
      <c r="AR380" s="89"/>
      <c r="AS380" s="89"/>
      <c r="AT380" s="89"/>
      <c r="AU380" s="89"/>
      <c r="AV380" s="89"/>
      <c r="AW380" s="89"/>
      <c r="AX380" s="89"/>
      <c r="AY380" s="89"/>
      <c r="AZ380" s="89"/>
    </row>
    <row r="381" ht="12.75" customHeight="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row>
    <row r="382" ht="12.75" customHeight="1">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row>
    <row r="383" ht="12.75" customHeight="1">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row>
    <row r="384" ht="12.75" customHeight="1">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row>
    <row r="385" ht="12.75" customHeight="1">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row>
    <row r="386" ht="12.75" customHeight="1">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c r="AG386" s="89"/>
      <c r="AH386" s="89"/>
      <c r="AI386" s="89"/>
      <c r="AJ386" s="89"/>
      <c r="AK386" s="89"/>
      <c r="AL386" s="89"/>
      <c r="AM386" s="89"/>
      <c r="AN386" s="89"/>
      <c r="AO386" s="89"/>
      <c r="AP386" s="89"/>
      <c r="AQ386" s="89"/>
      <c r="AR386" s="89"/>
      <c r="AS386" s="89"/>
      <c r="AT386" s="89"/>
      <c r="AU386" s="89"/>
      <c r="AV386" s="89"/>
      <c r="AW386" s="89"/>
      <c r="AX386" s="89"/>
      <c r="AY386" s="89"/>
      <c r="AZ386" s="89"/>
    </row>
    <row r="387" ht="12.75" customHeight="1">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row>
    <row r="388" ht="12.75" customHeight="1">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row>
    <row r="389" ht="12.75" customHeight="1">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row>
    <row r="390" ht="12.75" customHeight="1">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c r="AG390" s="89"/>
      <c r="AH390" s="89"/>
      <c r="AI390" s="89"/>
      <c r="AJ390" s="89"/>
      <c r="AK390" s="89"/>
      <c r="AL390" s="89"/>
      <c r="AM390" s="89"/>
      <c r="AN390" s="89"/>
      <c r="AO390" s="89"/>
      <c r="AP390" s="89"/>
      <c r="AQ390" s="89"/>
      <c r="AR390" s="89"/>
      <c r="AS390" s="89"/>
      <c r="AT390" s="89"/>
      <c r="AU390" s="89"/>
      <c r="AV390" s="89"/>
      <c r="AW390" s="89"/>
      <c r="AX390" s="89"/>
      <c r="AY390" s="89"/>
      <c r="AZ390" s="89"/>
    </row>
    <row r="391" ht="12.75" customHeight="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row>
    <row r="392" ht="12.75" customHeight="1">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row>
    <row r="393" ht="12.75" customHeight="1">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row>
    <row r="394" ht="12.75" customHeight="1">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row>
    <row r="395" ht="12.75" customHeight="1">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row>
    <row r="396" ht="12.75" customHeight="1">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row>
    <row r="397" ht="12.75" customHeight="1">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row>
    <row r="398" ht="12.75" customHeight="1">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row>
    <row r="399" ht="12.75" customHeight="1">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row>
    <row r="400" ht="12.75" customHeight="1">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row>
    <row r="401" ht="12.75" customHeight="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row>
    <row r="402" ht="12.75" customHeight="1">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row>
    <row r="403" ht="12.75" customHeight="1">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row>
    <row r="404" ht="12.75" customHeight="1">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row>
    <row r="405" ht="12.75" customHeight="1">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row>
    <row r="406" ht="12.75" customHeight="1">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row>
    <row r="407" ht="12.75" customHeight="1">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row>
    <row r="408" ht="12.75" customHeight="1">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c r="AG408" s="89"/>
      <c r="AH408" s="89"/>
      <c r="AI408" s="89"/>
      <c r="AJ408" s="89"/>
      <c r="AK408" s="89"/>
      <c r="AL408" s="89"/>
      <c r="AM408" s="89"/>
      <c r="AN408" s="89"/>
      <c r="AO408" s="89"/>
      <c r="AP408" s="89"/>
      <c r="AQ408" s="89"/>
      <c r="AR408" s="89"/>
      <c r="AS408" s="89"/>
      <c r="AT408" s="89"/>
      <c r="AU408" s="89"/>
      <c r="AV408" s="89"/>
      <c r="AW408" s="89"/>
      <c r="AX408" s="89"/>
      <c r="AY408" s="89"/>
      <c r="AZ408" s="89"/>
    </row>
    <row r="409" ht="12.75" customHeight="1">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c r="AT409" s="89"/>
      <c r="AU409" s="89"/>
      <c r="AV409" s="89"/>
      <c r="AW409" s="89"/>
      <c r="AX409" s="89"/>
      <c r="AY409" s="89"/>
      <c r="AZ409" s="89"/>
    </row>
    <row r="410" ht="12.75" customHeight="1">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c r="AG410" s="89"/>
      <c r="AH410" s="89"/>
      <c r="AI410" s="89"/>
      <c r="AJ410" s="89"/>
      <c r="AK410" s="89"/>
      <c r="AL410" s="89"/>
      <c r="AM410" s="89"/>
      <c r="AN410" s="89"/>
      <c r="AO410" s="89"/>
      <c r="AP410" s="89"/>
      <c r="AQ410" s="89"/>
      <c r="AR410" s="89"/>
      <c r="AS410" s="89"/>
      <c r="AT410" s="89"/>
      <c r="AU410" s="89"/>
      <c r="AV410" s="89"/>
      <c r="AW410" s="89"/>
      <c r="AX410" s="89"/>
      <c r="AY410" s="89"/>
      <c r="AZ410" s="89"/>
    </row>
    <row r="411" ht="12.75" customHeight="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row>
    <row r="412" ht="12.75" customHeight="1">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row>
    <row r="413" ht="12.75" customHeight="1">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c r="AG413" s="89"/>
      <c r="AH413" s="89"/>
      <c r="AI413" s="89"/>
      <c r="AJ413" s="89"/>
      <c r="AK413" s="89"/>
      <c r="AL413" s="89"/>
      <c r="AM413" s="89"/>
      <c r="AN413" s="89"/>
      <c r="AO413" s="89"/>
      <c r="AP413" s="89"/>
      <c r="AQ413" s="89"/>
      <c r="AR413" s="89"/>
      <c r="AS413" s="89"/>
      <c r="AT413" s="89"/>
      <c r="AU413" s="89"/>
      <c r="AV413" s="89"/>
      <c r="AW413" s="89"/>
      <c r="AX413" s="89"/>
      <c r="AY413" s="89"/>
      <c r="AZ413" s="89"/>
    </row>
    <row r="414" ht="12.75" customHeight="1">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c r="AG414" s="89"/>
      <c r="AH414" s="89"/>
      <c r="AI414" s="89"/>
      <c r="AJ414" s="89"/>
      <c r="AK414" s="89"/>
      <c r="AL414" s="89"/>
      <c r="AM414" s="89"/>
      <c r="AN414" s="89"/>
      <c r="AO414" s="89"/>
      <c r="AP414" s="89"/>
      <c r="AQ414" s="89"/>
      <c r="AR414" s="89"/>
      <c r="AS414" s="89"/>
      <c r="AT414" s="89"/>
      <c r="AU414" s="89"/>
      <c r="AV414" s="89"/>
      <c r="AW414" s="89"/>
      <c r="AX414" s="89"/>
      <c r="AY414" s="89"/>
      <c r="AZ414" s="89"/>
    </row>
    <row r="415" ht="12.75" customHeight="1">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c r="AG415" s="89"/>
      <c r="AH415" s="89"/>
      <c r="AI415" s="89"/>
      <c r="AJ415" s="89"/>
      <c r="AK415" s="89"/>
      <c r="AL415" s="89"/>
      <c r="AM415" s="89"/>
      <c r="AN415" s="89"/>
      <c r="AO415" s="89"/>
      <c r="AP415" s="89"/>
      <c r="AQ415" s="89"/>
      <c r="AR415" s="89"/>
      <c r="AS415" s="89"/>
      <c r="AT415" s="89"/>
      <c r="AU415" s="89"/>
      <c r="AV415" s="89"/>
      <c r="AW415" s="89"/>
      <c r="AX415" s="89"/>
      <c r="AY415" s="89"/>
      <c r="AZ415" s="89"/>
    </row>
    <row r="416" ht="12.75" customHeight="1">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c r="AG416" s="89"/>
      <c r="AH416" s="89"/>
      <c r="AI416" s="89"/>
      <c r="AJ416" s="89"/>
      <c r="AK416" s="89"/>
      <c r="AL416" s="89"/>
      <c r="AM416" s="89"/>
      <c r="AN416" s="89"/>
      <c r="AO416" s="89"/>
      <c r="AP416" s="89"/>
      <c r="AQ416" s="89"/>
      <c r="AR416" s="89"/>
      <c r="AS416" s="89"/>
      <c r="AT416" s="89"/>
      <c r="AU416" s="89"/>
      <c r="AV416" s="89"/>
      <c r="AW416" s="89"/>
      <c r="AX416" s="89"/>
      <c r="AY416" s="89"/>
      <c r="AZ416" s="89"/>
    </row>
    <row r="417" ht="12.75" customHeight="1">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c r="AG417" s="89"/>
      <c r="AH417" s="89"/>
      <c r="AI417" s="89"/>
      <c r="AJ417" s="89"/>
      <c r="AK417" s="89"/>
      <c r="AL417" s="89"/>
      <c r="AM417" s="89"/>
      <c r="AN417" s="89"/>
      <c r="AO417" s="89"/>
      <c r="AP417" s="89"/>
      <c r="AQ417" s="89"/>
      <c r="AR417" s="89"/>
      <c r="AS417" s="89"/>
      <c r="AT417" s="89"/>
      <c r="AU417" s="89"/>
      <c r="AV417" s="89"/>
      <c r="AW417" s="89"/>
      <c r="AX417" s="89"/>
      <c r="AY417" s="89"/>
      <c r="AZ417" s="89"/>
    </row>
    <row r="418" ht="12.75" customHeight="1">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row>
    <row r="419" ht="12.75" customHeight="1">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row>
    <row r="420" ht="12.75" customHeight="1">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row>
    <row r="421" ht="12.75" customHeight="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row>
    <row r="422" ht="12.75" customHeight="1">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row>
    <row r="423" ht="12.75" customHeight="1">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row>
    <row r="424" ht="12.75" customHeight="1">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row>
    <row r="425" ht="12.75" customHeight="1">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row>
    <row r="426" ht="12.75" customHeight="1">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row>
    <row r="427" ht="12.75" customHeight="1">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row>
    <row r="428" ht="12.75" customHeight="1">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row>
    <row r="429" ht="12.75" customHeight="1">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row>
    <row r="430" ht="12.75" customHeight="1">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c r="AG430" s="89"/>
      <c r="AH430" s="89"/>
      <c r="AI430" s="89"/>
      <c r="AJ430" s="89"/>
      <c r="AK430" s="89"/>
      <c r="AL430" s="89"/>
      <c r="AM430" s="89"/>
      <c r="AN430" s="89"/>
      <c r="AO430" s="89"/>
      <c r="AP430" s="89"/>
      <c r="AQ430" s="89"/>
      <c r="AR430" s="89"/>
      <c r="AS430" s="89"/>
      <c r="AT430" s="89"/>
      <c r="AU430" s="89"/>
      <c r="AV430" s="89"/>
      <c r="AW430" s="89"/>
      <c r="AX430" s="89"/>
      <c r="AY430" s="89"/>
      <c r="AZ430" s="89"/>
    </row>
    <row r="431" ht="12.75" customHeight="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c r="AG431" s="89"/>
      <c r="AH431" s="89"/>
      <c r="AI431" s="89"/>
      <c r="AJ431" s="89"/>
      <c r="AK431" s="89"/>
      <c r="AL431" s="89"/>
      <c r="AM431" s="89"/>
      <c r="AN431" s="89"/>
      <c r="AO431" s="89"/>
      <c r="AP431" s="89"/>
      <c r="AQ431" s="89"/>
      <c r="AR431" s="89"/>
      <c r="AS431" s="89"/>
      <c r="AT431" s="89"/>
      <c r="AU431" s="89"/>
      <c r="AV431" s="89"/>
      <c r="AW431" s="89"/>
      <c r="AX431" s="89"/>
      <c r="AY431" s="89"/>
      <c r="AZ431" s="89"/>
    </row>
    <row r="432" ht="12.75" customHeight="1">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c r="AG432" s="89"/>
      <c r="AH432" s="89"/>
      <c r="AI432" s="89"/>
      <c r="AJ432" s="89"/>
      <c r="AK432" s="89"/>
      <c r="AL432" s="89"/>
      <c r="AM432" s="89"/>
      <c r="AN432" s="89"/>
      <c r="AO432" s="89"/>
      <c r="AP432" s="89"/>
      <c r="AQ432" s="89"/>
      <c r="AR432" s="89"/>
      <c r="AS432" s="89"/>
      <c r="AT432" s="89"/>
      <c r="AU432" s="89"/>
      <c r="AV432" s="89"/>
      <c r="AW432" s="89"/>
      <c r="AX432" s="89"/>
      <c r="AY432" s="89"/>
      <c r="AZ432" s="89"/>
    </row>
    <row r="433" ht="12.75" customHeight="1">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c r="AG433" s="89"/>
      <c r="AH433" s="89"/>
      <c r="AI433" s="89"/>
      <c r="AJ433" s="89"/>
      <c r="AK433" s="89"/>
      <c r="AL433" s="89"/>
      <c r="AM433" s="89"/>
      <c r="AN433" s="89"/>
      <c r="AO433" s="89"/>
      <c r="AP433" s="89"/>
      <c r="AQ433" s="89"/>
      <c r="AR433" s="89"/>
      <c r="AS433" s="89"/>
      <c r="AT433" s="89"/>
      <c r="AU433" s="89"/>
      <c r="AV433" s="89"/>
      <c r="AW433" s="89"/>
      <c r="AX433" s="89"/>
      <c r="AY433" s="89"/>
      <c r="AZ433" s="89"/>
    </row>
    <row r="434" ht="12.75" customHeight="1">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c r="AG434" s="89"/>
      <c r="AH434" s="89"/>
      <c r="AI434" s="89"/>
      <c r="AJ434" s="89"/>
      <c r="AK434" s="89"/>
      <c r="AL434" s="89"/>
      <c r="AM434" s="89"/>
      <c r="AN434" s="89"/>
      <c r="AO434" s="89"/>
      <c r="AP434" s="89"/>
      <c r="AQ434" s="89"/>
      <c r="AR434" s="89"/>
      <c r="AS434" s="89"/>
      <c r="AT434" s="89"/>
      <c r="AU434" s="89"/>
      <c r="AV434" s="89"/>
      <c r="AW434" s="89"/>
      <c r="AX434" s="89"/>
      <c r="AY434" s="89"/>
      <c r="AZ434" s="89"/>
    </row>
    <row r="435" ht="12.75" customHeight="1">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c r="AG435" s="89"/>
      <c r="AH435" s="89"/>
      <c r="AI435" s="89"/>
      <c r="AJ435" s="89"/>
      <c r="AK435" s="89"/>
      <c r="AL435" s="89"/>
      <c r="AM435" s="89"/>
      <c r="AN435" s="89"/>
      <c r="AO435" s="89"/>
      <c r="AP435" s="89"/>
      <c r="AQ435" s="89"/>
      <c r="AR435" s="89"/>
      <c r="AS435" s="89"/>
      <c r="AT435" s="89"/>
      <c r="AU435" s="89"/>
      <c r="AV435" s="89"/>
      <c r="AW435" s="89"/>
      <c r="AX435" s="89"/>
      <c r="AY435" s="89"/>
      <c r="AZ435" s="89"/>
    </row>
    <row r="436" ht="12.75" customHeight="1">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c r="AG436" s="89"/>
      <c r="AH436" s="89"/>
      <c r="AI436" s="89"/>
      <c r="AJ436" s="89"/>
      <c r="AK436" s="89"/>
      <c r="AL436" s="89"/>
      <c r="AM436" s="89"/>
      <c r="AN436" s="89"/>
      <c r="AO436" s="89"/>
      <c r="AP436" s="89"/>
      <c r="AQ436" s="89"/>
      <c r="AR436" s="89"/>
      <c r="AS436" s="89"/>
      <c r="AT436" s="89"/>
      <c r="AU436" s="89"/>
      <c r="AV436" s="89"/>
      <c r="AW436" s="89"/>
      <c r="AX436" s="89"/>
      <c r="AY436" s="89"/>
      <c r="AZ436" s="89"/>
    </row>
    <row r="437" ht="12.75" customHeight="1">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c r="AG437" s="89"/>
      <c r="AH437" s="89"/>
      <c r="AI437" s="89"/>
      <c r="AJ437" s="89"/>
      <c r="AK437" s="89"/>
      <c r="AL437" s="89"/>
      <c r="AM437" s="89"/>
      <c r="AN437" s="89"/>
      <c r="AO437" s="89"/>
      <c r="AP437" s="89"/>
      <c r="AQ437" s="89"/>
      <c r="AR437" s="89"/>
      <c r="AS437" s="89"/>
      <c r="AT437" s="89"/>
      <c r="AU437" s="89"/>
      <c r="AV437" s="89"/>
      <c r="AW437" s="89"/>
      <c r="AX437" s="89"/>
      <c r="AY437" s="89"/>
      <c r="AZ437" s="89"/>
    </row>
    <row r="438" ht="12.75" customHeight="1">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c r="AG438" s="89"/>
      <c r="AH438" s="89"/>
      <c r="AI438" s="89"/>
      <c r="AJ438" s="89"/>
      <c r="AK438" s="89"/>
      <c r="AL438" s="89"/>
      <c r="AM438" s="89"/>
      <c r="AN438" s="89"/>
      <c r="AO438" s="89"/>
      <c r="AP438" s="89"/>
      <c r="AQ438" s="89"/>
      <c r="AR438" s="89"/>
      <c r="AS438" s="89"/>
      <c r="AT438" s="89"/>
      <c r="AU438" s="89"/>
      <c r="AV438" s="89"/>
      <c r="AW438" s="89"/>
      <c r="AX438" s="89"/>
      <c r="AY438" s="89"/>
      <c r="AZ438" s="89"/>
    </row>
    <row r="439" ht="12.75" customHeight="1">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c r="AG439" s="89"/>
      <c r="AH439" s="89"/>
      <c r="AI439" s="89"/>
      <c r="AJ439" s="89"/>
      <c r="AK439" s="89"/>
      <c r="AL439" s="89"/>
      <c r="AM439" s="89"/>
      <c r="AN439" s="89"/>
      <c r="AO439" s="89"/>
      <c r="AP439" s="89"/>
      <c r="AQ439" s="89"/>
      <c r="AR439" s="89"/>
      <c r="AS439" s="89"/>
      <c r="AT439" s="89"/>
      <c r="AU439" s="89"/>
      <c r="AV439" s="89"/>
      <c r="AW439" s="89"/>
      <c r="AX439" s="89"/>
      <c r="AY439" s="89"/>
      <c r="AZ439" s="89"/>
    </row>
    <row r="440" ht="12.75" customHeight="1">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c r="AG440" s="89"/>
      <c r="AH440" s="89"/>
      <c r="AI440" s="89"/>
      <c r="AJ440" s="89"/>
      <c r="AK440" s="89"/>
      <c r="AL440" s="89"/>
      <c r="AM440" s="89"/>
      <c r="AN440" s="89"/>
      <c r="AO440" s="89"/>
      <c r="AP440" s="89"/>
      <c r="AQ440" s="89"/>
      <c r="AR440" s="89"/>
      <c r="AS440" s="89"/>
      <c r="AT440" s="89"/>
      <c r="AU440" s="89"/>
      <c r="AV440" s="89"/>
      <c r="AW440" s="89"/>
      <c r="AX440" s="89"/>
      <c r="AY440" s="89"/>
      <c r="AZ440" s="89"/>
    </row>
    <row r="441" ht="12.75" customHeight="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c r="AG441" s="89"/>
      <c r="AH441" s="89"/>
      <c r="AI441" s="89"/>
      <c r="AJ441" s="89"/>
      <c r="AK441" s="89"/>
      <c r="AL441" s="89"/>
      <c r="AM441" s="89"/>
      <c r="AN441" s="89"/>
      <c r="AO441" s="89"/>
      <c r="AP441" s="89"/>
      <c r="AQ441" s="89"/>
      <c r="AR441" s="89"/>
      <c r="AS441" s="89"/>
      <c r="AT441" s="89"/>
      <c r="AU441" s="89"/>
      <c r="AV441" s="89"/>
      <c r="AW441" s="89"/>
      <c r="AX441" s="89"/>
      <c r="AY441" s="89"/>
      <c r="AZ441" s="89"/>
    </row>
    <row r="442" ht="12.75" customHeight="1">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c r="AG442" s="89"/>
      <c r="AH442" s="89"/>
      <c r="AI442" s="89"/>
      <c r="AJ442" s="89"/>
      <c r="AK442" s="89"/>
      <c r="AL442" s="89"/>
      <c r="AM442" s="89"/>
      <c r="AN442" s="89"/>
      <c r="AO442" s="89"/>
      <c r="AP442" s="89"/>
      <c r="AQ442" s="89"/>
      <c r="AR442" s="89"/>
      <c r="AS442" s="89"/>
      <c r="AT442" s="89"/>
      <c r="AU442" s="89"/>
      <c r="AV442" s="89"/>
      <c r="AW442" s="89"/>
      <c r="AX442" s="89"/>
      <c r="AY442" s="89"/>
      <c r="AZ442" s="89"/>
    </row>
    <row r="443" ht="12.75" customHeight="1">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row>
    <row r="444" ht="12.75" customHeight="1">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row>
    <row r="445" ht="12.75" customHeight="1">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row>
    <row r="446" ht="12.75" customHeight="1">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row>
    <row r="447" ht="12.75" customHeight="1">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row>
    <row r="448" ht="12.75" customHeight="1">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row>
    <row r="449" ht="12.75" customHeight="1">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row>
    <row r="450" ht="12.75" customHeight="1">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row>
    <row r="451" ht="12.75" customHeight="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row>
    <row r="452" ht="12.75" customHeight="1">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row>
    <row r="453" ht="12.75" customHeight="1">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row>
    <row r="454" ht="12.75" customHeight="1">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c r="AG454" s="89"/>
      <c r="AH454" s="89"/>
      <c r="AI454" s="89"/>
      <c r="AJ454" s="89"/>
      <c r="AK454" s="89"/>
      <c r="AL454" s="89"/>
      <c r="AM454" s="89"/>
      <c r="AN454" s="89"/>
      <c r="AO454" s="89"/>
      <c r="AP454" s="89"/>
      <c r="AQ454" s="89"/>
      <c r="AR454" s="89"/>
      <c r="AS454" s="89"/>
      <c r="AT454" s="89"/>
      <c r="AU454" s="89"/>
      <c r="AV454" s="89"/>
      <c r="AW454" s="89"/>
      <c r="AX454" s="89"/>
      <c r="AY454" s="89"/>
      <c r="AZ454" s="89"/>
    </row>
    <row r="455" ht="12.75" customHeight="1">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c r="AG455" s="89"/>
      <c r="AH455" s="89"/>
      <c r="AI455" s="89"/>
      <c r="AJ455" s="89"/>
      <c r="AK455" s="89"/>
      <c r="AL455" s="89"/>
      <c r="AM455" s="89"/>
      <c r="AN455" s="89"/>
      <c r="AO455" s="89"/>
      <c r="AP455" s="89"/>
      <c r="AQ455" s="89"/>
      <c r="AR455" s="89"/>
      <c r="AS455" s="89"/>
      <c r="AT455" s="89"/>
      <c r="AU455" s="89"/>
      <c r="AV455" s="89"/>
      <c r="AW455" s="89"/>
      <c r="AX455" s="89"/>
      <c r="AY455" s="89"/>
      <c r="AZ455" s="89"/>
    </row>
    <row r="456" ht="12.75" customHeight="1">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c r="AG456" s="89"/>
      <c r="AH456" s="89"/>
      <c r="AI456" s="89"/>
      <c r="AJ456" s="89"/>
      <c r="AK456" s="89"/>
      <c r="AL456" s="89"/>
      <c r="AM456" s="89"/>
      <c r="AN456" s="89"/>
      <c r="AO456" s="89"/>
      <c r="AP456" s="89"/>
      <c r="AQ456" s="89"/>
      <c r="AR456" s="89"/>
      <c r="AS456" s="89"/>
      <c r="AT456" s="89"/>
      <c r="AU456" s="89"/>
      <c r="AV456" s="89"/>
      <c r="AW456" s="89"/>
      <c r="AX456" s="89"/>
      <c r="AY456" s="89"/>
      <c r="AZ456" s="89"/>
    </row>
    <row r="457" ht="12.75" customHeight="1">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c r="AG457" s="89"/>
      <c r="AH457" s="89"/>
      <c r="AI457" s="89"/>
      <c r="AJ457" s="89"/>
      <c r="AK457" s="89"/>
      <c r="AL457" s="89"/>
      <c r="AM457" s="89"/>
      <c r="AN457" s="89"/>
      <c r="AO457" s="89"/>
      <c r="AP457" s="89"/>
      <c r="AQ457" s="89"/>
      <c r="AR457" s="89"/>
      <c r="AS457" s="89"/>
      <c r="AT457" s="89"/>
      <c r="AU457" s="89"/>
      <c r="AV457" s="89"/>
      <c r="AW457" s="89"/>
      <c r="AX457" s="89"/>
      <c r="AY457" s="89"/>
      <c r="AZ457" s="89"/>
    </row>
    <row r="458" ht="12.75" customHeight="1">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c r="AG458" s="89"/>
      <c r="AH458" s="89"/>
      <c r="AI458" s="89"/>
      <c r="AJ458" s="89"/>
      <c r="AK458" s="89"/>
      <c r="AL458" s="89"/>
      <c r="AM458" s="89"/>
      <c r="AN458" s="89"/>
      <c r="AO458" s="89"/>
      <c r="AP458" s="89"/>
      <c r="AQ458" s="89"/>
      <c r="AR458" s="89"/>
      <c r="AS458" s="89"/>
      <c r="AT458" s="89"/>
      <c r="AU458" s="89"/>
      <c r="AV458" s="89"/>
      <c r="AW458" s="89"/>
      <c r="AX458" s="89"/>
      <c r="AY458" s="89"/>
      <c r="AZ458" s="89"/>
    </row>
    <row r="459" ht="12.75" customHeight="1">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c r="AG459" s="89"/>
      <c r="AH459" s="89"/>
      <c r="AI459" s="89"/>
      <c r="AJ459" s="89"/>
      <c r="AK459" s="89"/>
      <c r="AL459" s="89"/>
      <c r="AM459" s="89"/>
      <c r="AN459" s="89"/>
      <c r="AO459" s="89"/>
      <c r="AP459" s="89"/>
      <c r="AQ459" s="89"/>
      <c r="AR459" s="89"/>
      <c r="AS459" s="89"/>
      <c r="AT459" s="89"/>
      <c r="AU459" s="89"/>
      <c r="AV459" s="89"/>
      <c r="AW459" s="89"/>
      <c r="AX459" s="89"/>
      <c r="AY459" s="89"/>
      <c r="AZ459" s="89"/>
    </row>
    <row r="460" ht="12.75" customHeight="1">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c r="AG460" s="89"/>
      <c r="AH460" s="89"/>
      <c r="AI460" s="89"/>
      <c r="AJ460" s="89"/>
      <c r="AK460" s="89"/>
      <c r="AL460" s="89"/>
      <c r="AM460" s="89"/>
      <c r="AN460" s="89"/>
      <c r="AO460" s="89"/>
      <c r="AP460" s="89"/>
      <c r="AQ460" s="89"/>
      <c r="AR460" s="89"/>
      <c r="AS460" s="89"/>
      <c r="AT460" s="89"/>
      <c r="AU460" s="89"/>
      <c r="AV460" s="89"/>
      <c r="AW460" s="89"/>
      <c r="AX460" s="89"/>
      <c r="AY460" s="89"/>
      <c r="AZ460" s="89"/>
    </row>
    <row r="461" ht="12.75" customHeight="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c r="AG461" s="89"/>
      <c r="AH461" s="89"/>
      <c r="AI461" s="89"/>
      <c r="AJ461" s="89"/>
      <c r="AK461" s="89"/>
      <c r="AL461" s="89"/>
      <c r="AM461" s="89"/>
      <c r="AN461" s="89"/>
      <c r="AO461" s="89"/>
      <c r="AP461" s="89"/>
      <c r="AQ461" s="89"/>
      <c r="AR461" s="89"/>
      <c r="AS461" s="89"/>
      <c r="AT461" s="89"/>
      <c r="AU461" s="89"/>
      <c r="AV461" s="89"/>
      <c r="AW461" s="89"/>
      <c r="AX461" s="89"/>
      <c r="AY461" s="89"/>
      <c r="AZ461" s="89"/>
    </row>
    <row r="462" ht="12.75" customHeight="1">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c r="AG462" s="89"/>
      <c r="AH462" s="89"/>
      <c r="AI462" s="89"/>
      <c r="AJ462" s="89"/>
      <c r="AK462" s="89"/>
      <c r="AL462" s="89"/>
      <c r="AM462" s="89"/>
      <c r="AN462" s="89"/>
      <c r="AO462" s="89"/>
      <c r="AP462" s="89"/>
      <c r="AQ462" s="89"/>
      <c r="AR462" s="89"/>
      <c r="AS462" s="89"/>
      <c r="AT462" s="89"/>
      <c r="AU462" s="89"/>
      <c r="AV462" s="89"/>
      <c r="AW462" s="89"/>
      <c r="AX462" s="89"/>
      <c r="AY462" s="89"/>
      <c r="AZ462" s="89"/>
    </row>
    <row r="463" ht="12.75" customHeight="1">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c r="AG463" s="89"/>
      <c r="AH463" s="89"/>
      <c r="AI463" s="89"/>
      <c r="AJ463" s="89"/>
      <c r="AK463" s="89"/>
      <c r="AL463" s="89"/>
      <c r="AM463" s="89"/>
      <c r="AN463" s="89"/>
      <c r="AO463" s="89"/>
      <c r="AP463" s="89"/>
      <c r="AQ463" s="89"/>
      <c r="AR463" s="89"/>
      <c r="AS463" s="89"/>
      <c r="AT463" s="89"/>
      <c r="AU463" s="89"/>
      <c r="AV463" s="89"/>
      <c r="AW463" s="89"/>
      <c r="AX463" s="89"/>
      <c r="AY463" s="89"/>
      <c r="AZ463" s="89"/>
    </row>
    <row r="464" ht="12.75" customHeight="1">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c r="AG464" s="89"/>
      <c r="AH464" s="89"/>
      <c r="AI464" s="89"/>
      <c r="AJ464" s="89"/>
      <c r="AK464" s="89"/>
      <c r="AL464" s="89"/>
      <c r="AM464" s="89"/>
      <c r="AN464" s="89"/>
      <c r="AO464" s="89"/>
      <c r="AP464" s="89"/>
      <c r="AQ464" s="89"/>
      <c r="AR464" s="89"/>
      <c r="AS464" s="89"/>
      <c r="AT464" s="89"/>
      <c r="AU464" s="89"/>
      <c r="AV464" s="89"/>
      <c r="AW464" s="89"/>
      <c r="AX464" s="89"/>
      <c r="AY464" s="89"/>
      <c r="AZ464" s="89"/>
    </row>
    <row r="465" ht="12.75" customHeight="1">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c r="AG465" s="89"/>
      <c r="AH465" s="89"/>
      <c r="AI465" s="89"/>
      <c r="AJ465" s="89"/>
      <c r="AK465" s="89"/>
      <c r="AL465" s="89"/>
      <c r="AM465" s="89"/>
      <c r="AN465" s="89"/>
      <c r="AO465" s="89"/>
      <c r="AP465" s="89"/>
      <c r="AQ465" s="89"/>
      <c r="AR465" s="89"/>
      <c r="AS465" s="89"/>
      <c r="AT465" s="89"/>
      <c r="AU465" s="89"/>
      <c r="AV465" s="89"/>
      <c r="AW465" s="89"/>
      <c r="AX465" s="89"/>
      <c r="AY465" s="89"/>
      <c r="AZ465" s="89"/>
    </row>
    <row r="466" ht="12.75" customHeight="1">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row>
    <row r="467" ht="12.75" customHeight="1">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c r="AG467" s="89"/>
      <c r="AH467" s="89"/>
      <c r="AI467" s="89"/>
      <c r="AJ467" s="89"/>
      <c r="AK467" s="89"/>
      <c r="AL467" s="89"/>
      <c r="AM467" s="89"/>
      <c r="AN467" s="89"/>
      <c r="AO467" s="89"/>
      <c r="AP467" s="89"/>
      <c r="AQ467" s="89"/>
      <c r="AR467" s="89"/>
      <c r="AS467" s="89"/>
      <c r="AT467" s="89"/>
      <c r="AU467" s="89"/>
      <c r="AV467" s="89"/>
      <c r="AW467" s="89"/>
      <c r="AX467" s="89"/>
      <c r="AY467" s="89"/>
      <c r="AZ467" s="89"/>
    </row>
    <row r="468" ht="12.75" customHeight="1">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row>
    <row r="469" ht="12.75" customHeight="1">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row>
    <row r="470" ht="12.75" customHeight="1">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row>
    <row r="471" ht="12.75" customHeight="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row>
    <row r="472" ht="12.75" customHeight="1">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row>
    <row r="473" ht="12.75" customHeight="1">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row>
    <row r="474" ht="12.75" customHeight="1">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row>
    <row r="475" ht="12.75" customHeight="1">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row>
    <row r="476" ht="12.75" customHeight="1">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row>
    <row r="477" ht="12.75" customHeight="1">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row>
    <row r="478" ht="12.75" customHeight="1">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row>
    <row r="479" ht="12.75" customHeight="1">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c r="AG479" s="89"/>
      <c r="AH479" s="89"/>
      <c r="AI479" s="89"/>
      <c r="AJ479" s="89"/>
      <c r="AK479" s="89"/>
      <c r="AL479" s="89"/>
      <c r="AM479" s="89"/>
      <c r="AN479" s="89"/>
      <c r="AO479" s="89"/>
      <c r="AP479" s="89"/>
      <c r="AQ479" s="89"/>
      <c r="AR479" s="89"/>
      <c r="AS479" s="89"/>
      <c r="AT479" s="89"/>
      <c r="AU479" s="89"/>
      <c r="AV479" s="89"/>
      <c r="AW479" s="89"/>
      <c r="AX479" s="89"/>
      <c r="AY479" s="89"/>
      <c r="AZ479" s="89"/>
    </row>
    <row r="480" ht="12.75" customHeight="1">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c r="AG480" s="89"/>
      <c r="AH480" s="89"/>
      <c r="AI480" s="89"/>
      <c r="AJ480" s="89"/>
      <c r="AK480" s="89"/>
      <c r="AL480" s="89"/>
      <c r="AM480" s="89"/>
      <c r="AN480" s="89"/>
      <c r="AO480" s="89"/>
      <c r="AP480" s="89"/>
      <c r="AQ480" s="89"/>
      <c r="AR480" s="89"/>
      <c r="AS480" s="89"/>
      <c r="AT480" s="89"/>
      <c r="AU480" s="89"/>
      <c r="AV480" s="89"/>
      <c r="AW480" s="89"/>
      <c r="AX480" s="89"/>
      <c r="AY480" s="89"/>
      <c r="AZ480" s="89"/>
    </row>
    <row r="481" ht="12.75" customHeight="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c r="AG481" s="89"/>
      <c r="AH481" s="89"/>
      <c r="AI481" s="89"/>
      <c r="AJ481" s="89"/>
      <c r="AK481" s="89"/>
      <c r="AL481" s="89"/>
      <c r="AM481" s="89"/>
      <c r="AN481" s="89"/>
      <c r="AO481" s="89"/>
      <c r="AP481" s="89"/>
      <c r="AQ481" s="89"/>
      <c r="AR481" s="89"/>
      <c r="AS481" s="89"/>
      <c r="AT481" s="89"/>
      <c r="AU481" s="89"/>
      <c r="AV481" s="89"/>
      <c r="AW481" s="89"/>
      <c r="AX481" s="89"/>
      <c r="AY481" s="89"/>
      <c r="AZ481" s="89"/>
    </row>
    <row r="482" ht="12.75" customHeight="1">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c r="AG482" s="89"/>
      <c r="AH482" s="89"/>
      <c r="AI482" s="89"/>
      <c r="AJ482" s="89"/>
      <c r="AK482" s="89"/>
      <c r="AL482" s="89"/>
      <c r="AM482" s="89"/>
      <c r="AN482" s="89"/>
      <c r="AO482" s="89"/>
      <c r="AP482" s="89"/>
      <c r="AQ482" s="89"/>
      <c r="AR482" s="89"/>
      <c r="AS482" s="89"/>
      <c r="AT482" s="89"/>
      <c r="AU482" s="89"/>
      <c r="AV482" s="89"/>
      <c r="AW482" s="89"/>
      <c r="AX482" s="89"/>
      <c r="AY482" s="89"/>
      <c r="AZ482" s="89"/>
    </row>
    <row r="483" ht="12.75" customHeight="1">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c r="AG483" s="89"/>
      <c r="AH483" s="89"/>
      <c r="AI483" s="89"/>
      <c r="AJ483" s="89"/>
      <c r="AK483" s="89"/>
      <c r="AL483" s="89"/>
      <c r="AM483" s="89"/>
      <c r="AN483" s="89"/>
      <c r="AO483" s="89"/>
      <c r="AP483" s="89"/>
      <c r="AQ483" s="89"/>
      <c r="AR483" s="89"/>
      <c r="AS483" s="89"/>
      <c r="AT483" s="89"/>
      <c r="AU483" s="89"/>
      <c r="AV483" s="89"/>
      <c r="AW483" s="89"/>
      <c r="AX483" s="89"/>
      <c r="AY483" s="89"/>
      <c r="AZ483" s="89"/>
    </row>
    <row r="484" ht="12.75" customHeight="1">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c r="AG484" s="89"/>
      <c r="AH484" s="89"/>
      <c r="AI484" s="89"/>
      <c r="AJ484" s="89"/>
      <c r="AK484" s="89"/>
      <c r="AL484" s="89"/>
      <c r="AM484" s="89"/>
      <c r="AN484" s="89"/>
      <c r="AO484" s="89"/>
      <c r="AP484" s="89"/>
      <c r="AQ484" s="89"/>
      <c r="AR484" s="89"/>
      <c r="AS484" s="89"/>
      <c r="AT484" s="89"/>
      <c r="AU484" s="89"/>
      <c r="AV484" s="89"/>
      <c r="AW484" s="89"/>
      <c r="AX484" s="89"/>
      <c r="AY484" s="89"/>
      <c r="AZ484" s="89"/>
    </row>
    <row r="485" ht="12.75" customHeight="1">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c r="AG485" s="89"/>
      <c r="AH485" s="89"/>
      <c r="AI485" s="89"/>
      <c r="AJ485" s="89"/>
      <c r="AK485" s="89"/>
      <c r="AL485" s="89"/>
      <c r="AM485" s="89"/>
      <c r="AN485" s="89"/>
      <c r="AO485" s="89"/>
      <c r="AP485" s="89"/>
      <c r="AQ485" s="89"/>
      <c r="AR485" s="89"/>
      <c r="AS485" s="89"/>
      <c r="AT485" s="89"/>
      <c r="AU485" s="89"/>
      <c r="AV485" s="89"/>
      <c r="AW485" s="89"/>
      <c r="AX485" s="89"/>
      <c r="AY485" s="89"/>
      <c r="AZ485" s="89"/>
    </row>
    <row r="486" ht="12.75" customHeight="1">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c r="AG486" s="89"/>
      <c r="AH486" s="89"/>
      <c r="AI486" s="89"/>
      <c r="AJ486" s="89"/>
      <c r="AK486" s="89"/>
      <c r="AL486" s="89"/>
      <c r="AM486" s="89"/>
      <c r="AN486" s="89"/>
      <c r="AO486" s="89"/>
      <c r="AP486" s="89"/>
      <c r="AQ486" s="89"/>
      <c r="AR486" s="89"/>
      <c r="AS486" s="89"/>
      <c r="AT486" s="89"/>
      <c r="AU486" s="89"/>
      <c r="AV486" s="89"/>
      <c r="AW486" s="89"/>
      <c r="AX486" s="89"/>
      <c r="AY486" s="89"/>
      <c r="AZ486" s="89"/>
    </row>
    <row r="487" ht="12.75" customHeight="1">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c r="AG487" s="89"/>
      <c r="AH487" s="89"/>
      <c r="AI487" s="89"/>
      <c r="AJ487" s="89"/>
      <c r="AK487" s="89"/>
      <c r="AL487" s="89"/>
      <c r="AM487" s="89"/>
      <c r="AN487" s="89"/>
      <c r="AO487" s="89"/>
      <c r="AP487" s="89"/>
      <c r="AQ487" s="89"/>
      <c r="AR487" s="89"/>
      <c r="AS487" s="89"/>
      <c r="AT487" s="89"/>
      <c r="AU487" s="89"/>
      <c r="AV487" s="89"/>
      <c r="AW487" s="89"/>
      <c r="AX487" s="89"/>
      <c r="AY487" s="89"/>
      <c r="AZ487" s="89"/>
    </row>
    <row r="488" ht="12.75" customHeight="1">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c r="AG488" s="89"/>
      <c r="AH488" s="89"/>
      <c r="AI488" s="89"/>
      <c r="AJ488" s="89"/>
      <c r="AK488" s="89"/>
      <c r="AL488" s="89"/>
      <c r="AM488" s="89"/>
      <c r="AN488" s="89"/>
      <c r="AO488" s="89"/>
      <c r="AP488" s="89"/>
      <c r="AQ488" s="89"/>
      <c r="AR488" s="89"/>
      <c r="AS488" s="89"/>
      <c r="AT488" s="89"/>
      <c r="AU488" s="89"/>
      <c r="AV488" s="89"/>
      <c r="AW488" s="89"/>
      <c r="AX488" s="89"/>
      <c r="AY488" s="89"/>
      <c r="AZ488" s="89"/>
    </row>
    <row r="489" ht="12.75" customHeight="1">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c r="AG489" s="89"/>
      <c r="AH489" s="89"/>
      <c r="AI489" s="89"/>
      <c r="AJ489" s="89"/>
      <c r="AK489" s="89"/>
      <c r="AL489" s="89"/>
      <c r="AM489" s="89"/>
      <c r="AN489" s="89"/>
      <c r="AO489" s="89"/>
      <c r="AP489" s="89"/>
      <c r="AQ489" s="89"/>
      <c r="AR489" s="89"/>
      <c r="AS489" s="89"/>
      <c r="AT489" s="89"/>
      <c r="AU489" s="89"/>
      <c r="AV489" s="89"/>
      <c r="AW489" s="89"/>
      <c r="AX489" s="89"/>
      <c r="AY489" s="89"/>
      <c r="AZ489" s="89"/>
    </row>
    <row r="490" ht="12.75" customHeight="1">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row>
    <row r="491" ht="12.75" customHeight="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c r="AG491" s="89"/>
      <c r="AH491" s="89"/>
      <c r="AI491" s="89"/>
      <c r="AJ491" s="89"/>
      <c r="AK491" s="89"/>
      <c r="AL491" s="89"/>
      <c r="AM491" s="89"/>
      <c r="AN491" s="89"/>
      <c r="AO491" s="89"/>
      <c r="AP491" s="89"/>
      <c r="AQ491" s="89"/>
      <c r="AR491" s="89"/>
      <c r="AS491" s="89"/>
      <c r="AT491" s="89"/>
      <c r="AU491" s="89"/>
      <c r="AV491" s="89"/>
      <c r="AW491" s="89"/>
      <c r="AX491" s="89"/>
      <c r="AY491" s="89"/>
      <c r="AZ491" s="89"/>
    </row>
    <row r="492" ht="12.75" customHeight="1">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c r="AG492" s="89"/>
      <c r="AH492" s="89"/>
      <c r="AI492" s="89"/>
      <c r="AJ492" s="89"/>
      <c r="AK492" s="89"/>
      <c r="AL492" s="89"/>
      <c r="AM492" s="89"/>
      <c r="AN492" s="89"/>
      <c r="AO492" s="89"/>
      <c r="AP492" s="89"/>
      <c r="AQ492" s="89"/>
      <c r="AR492" s="89"/>
      <c r="AS492" s="89"/>
      <c r="AT492" s="89"/>
      <c r="AU492" s="89"/>
      <c r="AV492" s="89"/>
      <c r="AW492" s="89"/>
      <c r="AX492" s="89"/>
      <c r="AY492" s="89"/>
      <c r="AZ492" s="89"/>
    </row>
    <row r="493" ht="12.75" customHeight="1">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row>
    <row r="494" ht="12.75" customHeight="1">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row>
    <row r="495" ht="12.75" customHeight="1">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row>
    <row r="496" ht="12.75" customHeight="1">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row>
    <row r="497" ht="12.75" customHeight="1">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row>
    <row r="498" ht="12.75" customHeight="1">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row>
    <row r="499" ht="12.75" customHeight="1">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row>
    <row r="500" ht="12.75" customHeight="1">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row>
    <row r="501" ht="12.75" customHeight="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row>
    <row r="502" ht="12.75" customHeight="1">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row>
    <row r="503" ht="12.75" customHeight="1">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row>
    <row r="504" ht="12.75" customHeight="1">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c r="AG504" s="89"/>
      <c r="AH504" s="89"/>
      <c r="AI504" s="89"/>
      <c r="AJ504" s="89"/>
      <c r="AK504" s="89"/>
      <c r="AL504" s="89"/>
      <c r="AM504" s="89"/>
      <c r="AN504" s="89"/>
      <c r="AO504" s="89"/>
      <c r="AP504" s="89"/>
      <c r="AQ504" s="89"/>
      <c r="AR504" s="89"/>
      <c r="AS504" s="89"/>
      <c r="AT504" s="89"/>
      <c r="AU504" s="89"/>
      <c r="AV504" s="89"/>
      <c r="AW504" s="89"/>
      <c r="AX504" s="89"/>
      <c r="AY504" s="89"/>
      <c r="AZ504" s="89"/>
    </row>
    <row r="505" ht="12.75" customHeight="1">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c r="AG505" s="89"/>
      <c r="AH505" s="89"/>
      <c r="AI505" s="89"/>
      <c r="AJ505" s="89"/>
      <c r="AK505" s="89"/>
      <c r="AL505" s="89"/>
      <c r="AM505" s="89"/>
      <c r="AN505" s="89"/>
      <c r="AO505" s="89"/>
      <c r="AP505" s="89"/>
      <c r="AQ505" s="89"/>
      <c r="AR505" s="89"/>
      <c r="AS505" s="89"/>
      <c r="AT505" s="89"/>
      <c r="AU505" s="89"/>
      <c r="AV505" s="89"/>
      <c r="AW505" s="89"/>
      <c r="AX505" s="89"/>
      <c r="AY505" s="89"/>
      <c r="AZ505" s="89"/>
    </row>
    <row r="506" ht="12.75" customHeight="1">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c r="AG506" s="89"/>
      <c r="AH506" s="89"/>
      <c r="AI506" s="89"/>
      <c r="AJ506" s="89"/>
      <c r="AK506" s="89"/>
      <c r="AL506" s="89"/>
      <c r="AM506" s="89"/>
      <c r="AN506" s="89"/>
      <c r="AO506" s="89"/>
      <c r="AP506" s="89"/>
      <c r="AQ506" s="89"/>
      <c r="AR506" s="89"/>
      <c r="AS506" s="89"/>
      <c r="AT506" s="89"/>
      <c r="AU506" s="89"/>
      <c r="AV506" s="89"/>
      <c r="AW506" s="89"/>
      <c r="AX506" s="89"/>
      <c r="AY506" s="89"/>
      <c r="AZ506" s="89"/>
    </row>
    <row r="507" ht="12.75" customHeight="1">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c r="AG507" s="89"/>
      <c r="AH507" s="89"/>
      <c r="AI507" s="89"/>
      <c r="AJ507" s="89"/>
      <c r="AK507" s="89"/>
      <c r="AL507" s="89"/>
      <c r="AM507" s="89"/>
      <c r="AN507" s="89"/>
      <c r="AO507" s="89"/>
      <c r="AP507" s="89"/>
      <c r="AQ507" s="89"/>
      <c r="AR507" s="89"/>
      <c r="AS507" s="89"/>
      <c r="AT507" s="89"/>
      <c r="AU507" s="89"/>
      <c r="AV507" s="89"/>
      <c r="AW507" s="89"/>
      <c r="AX507" s="89"/>
      <c r="AY507" s="89"/>
      <c r="AZ507" s="89"/>
    </row>
    <row r="508" ht="12.75" customHeight="1">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c r="AG508" s="89"/>
      <c r="AH508" s="89"/>
      <c r="AI508" s="89"/>
      <c r="AJ508" s="89"/>
      <c r="AK508" s="89"/>
      <c r="AL508" s="89"/>
      <c r="AM508" s="89"/>
      <c r="AN508" s="89"/>
      <c r="AO508" s="89"/>
      <c r="AP508" s="89"/>
      <c r="AQ508" s="89"/>
      <c r="AR508" s="89"/>
      <c r="AS508" s="89"/>
      <c r="AT508" s="89"/>
      <c r="AU508" s="89"/>
      <c r="AV508" s="89"/>
      <c r="AW508" s="89"/>
      <c r="AX508" s="89"/>
      <c r="AY508" s="89"/>
      <c r="AZ508" s="89"/>
    </row>
    <row r="509" ht="12.75" customHeight="1">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c r="AG509" s="89"/>
      <c r="AH509" s="89"/>
      <c r="AI509" s="89"/>
      <c r="AJ509" s="89"/>
      <c r="AK509" s="89"/>
      <c r="AL509" s="89"/>
      <c r="AM509" s="89"/>
      <c r="AN509" s="89"/>
      <c r="AO509" s="89"/>
      <c r="AP509" s="89"/>
      <c r="AQ509" s="89"/>
      <c r="AR509" s="89"/>
      <c r="AS509" s="89"/>
      <c r="AT509" s="89"/>
      <c r="AU509" s="89"/>
      <c r="AV509" s="89"/>
      <c r="AW509" s="89"/>
      <c r="AX509" s="89"/>
      <c r="AY509" s="89"/>
      <c r="AZ509" s="89"/>
    </row>
    <row r="510" ht="12.75" customHeight="1">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c r="AG510" s="89"/>
      <c r="AH510" s="89"/>
      <c r="AI510" s="89"/>
      <c r="AJ510" s="89"/>
      <c r="AK510" s="89"/>
      <c r="AL510" s="89"/>
      <c r="AM510" s="89"/>
      <c r="AN510" s="89"/>
      <c r="AO510" s="89"/>
      <c r="AP510" s="89"/>
      <c r="AQ510" s="89"/>
      <c r="AR510" s="89"/>
      <c r="AS510" s="89"/>
      <c r="AT510" s="89"/>
      <c r="AU510" s="89"/>
      <c r="AV510" s="89"/>
      <c r="AW510" s="89"/>
      <c r="AX510" s="89"/>
      <c r="AY510" s="89"/>
      <c r="AZ510" s="89"/>
    </row>
    <row r="511" ht="12.75" customHeight="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c r="AG511" s="89"/>
      <c r="AH511" s="89"/>
      <c r="AI511" s="89"/>
      <c r="AJ511" s="89"/>
      <c r="AK511" s="89"/>
      <c r="AL511" s="89"/>
      <c r="AM511" s="89"/>
      <c r="AN511" s="89"/>
      <c r="AO511" s="89"/>
      <c r="AP511" s="89"/>
      <c r="AQ511" s="89"/>
      <c r="AR511" s="89"/>
      <c r="AS511" s="89"/>
      <c r="AT511" s="89"/>
      <c r="AU511" s="89"/>
      <c r="AV511" s="89"/>
      <c r="AW511" s="89"/>
      <c r="AX511" s="89"/>
      <c r="AY511" s="89"/>
      <c r="AZ511" s="89"/>
    </row>
    <row r="512" ht="12.75" customHeight="1">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c r="AG512" s="89"/>
      <c r="AH512" s="89"/>
      <c r="AI512" s="89"/>
      <c r="AJ512" s="89"/>
      <c r="AK512" s="89"/>
      <c r="AL512" s="89"/>
      <c r="AM512" s="89"/>
      <c r="AN512" s="89"/>
      <c r="AO512" s="89"/>
      <c r="AP512" s="89"/>
      <c r="AQ512" s="89"/>
      <c r="AR512" s="89"/>
      <c r="AS512" s="89"/>
      <c r="AT512" s="89"/>
      <c r="AU512" s="89"/>
      <c r="AV512" s="89"/>
      <c r="AW512" s="89"/>
      <c r="AX512" s="89"/>
      <c r="AY512" s="89"/>
      <c r="AZ512" s="89"/>
    </row>
    <row r="513" ht="12.75" customHeight="1">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c r="AG513" s="89"/>
      <c r="AH513" s="89"/>
      <c r="AI513" s="89"/>
      <c r="AJ513" s="89"/>
      <c r="AK513" s="89"/>
      <c r="AL513" s="89"/>
      <c r="AM513" s="89"/>
      <c r="AN513" s="89"/>
      <c r="AO513" s="89"/>
      <c r="AP513" s="89"/>
      <c r="AQ513" s="89"/>
      <c r="AR513" s="89"/>
      <c r="AS513" s="89"/>
      <c r="AT513" s="89"/>
      <c r="AU513" s="89"/>
      <c r="AV513" s="89"/>
      <c r="AW513" s="89"/>
      <c r="AX513" s="89"/>
      <c r="AY513" s="89"/>
      <c r="AZ513" s="89"/>
    </row>
    <row r="514" ht="12.75" customHeight="1">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c r="AG514" s="89"/>
      <c r="AH514" s="89"/>
      <c r="AI514" s="89"/>
      <c r="AJ514" s="89"/>
      <c r="AK514" s="89"/>
      <c r="AL514" s="89"/>
      <c r="AM514" s="89"/>
      <c r="AN514" s="89"/>
      <c r="AO514" s="89"/>
      <c r="AP514" s="89"/>
      <c r="AQ514" s="89"/>
      <c r="AR514" s="89"/>
      <c r="AS514" s="89"/>
      <c r="AT514" s="89"/>
      <c r="AU514" s="89"/>
      <c r="AV514" s="89"/>
      <c r="AW514" s="89"/>
      <c r="AX514" s="89"/>
      <c r="AY514" s="89"/>
      <c r="AZ514" s="89"/>
    </row>
    <row r="515" ht="12.75" customHeight="1">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c r="AG515" s="89"/>
      <c r="AH515" s="89"/>
      <c r="AI515" s="89"/>
      <c r="AJ515" s="89"/>
      <c r="AK515" s="89"/>
      <c r="AL515" s="89"/>
      <c r="AM515" s="89"/>
      <c r="AN515" s="89"/>
      <c r="AO515" s="89"/>
      <c r="AP515" s="89"/>
      <c r="AQ515" s="89"/>
      <c r="AR515" s="89"/>
      <c r="AS515" s="89"/>
      <c r="AT515" s="89"/>
      <c r="AU515" s="89"/>
      <c r="AV515" s="89"/>
      <c r="AW515" s="89"/>
      <c r="AX515" s="89"/>
      <c r="AY515" s="89"/>
      <c r="AZ515" s="89"/>
    </row>
    <row r="516" ht="12.75" customHeight="1">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c r="AG516" s="89"/>
      <c r="AH516" s="89"/>
      <c r="AI516" s="89"/>
      <c r="AJ516" s="89"/>
      <c r="AK516" s="89"/>
      <c r="AL516" s="89"/>
      <c r="AM516" s="89"/>
      <c r="AN516" s="89"/>
      <c r="AO516" s="89"/>
      <c r="AP516" s="89"/>
      <c r="AQ516" s="89"/>
      <c r="AR516" s="89"/>
      <c r="AS516" s="89"/>
      <c r="AT516" s="89"/>
      <c r="AU516" s="89"/>
      <c r="AV516" s="89"/>
      <c r="AW516" s="89"/>
      <c r="AX516" s="89"/>
      <c r="AY516" s="89"/>
      <c r="AZ516" s="89"/>
    </row>
    <row r="517" ht="12.75" customHeight="1">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c r="AG517" s="89"/>
      <c r="AH517" s="89"/>
      <c r="AI517" s="89"/>
      <c r="AJ517" s="89"/>
      <c r="AK517" s="89"/>
      <c r="AL517" s="89"/>
      <c r="AM517" s="89"/>
      <c r="AN517" s="89"/>
      <c r="AO517" s="89"/>
      <c r="AP517" s="89"/>
      <c r="AQ517" s="89"/>
      <c r="AR517" s="89"/>
      <c r="AS517" s="89"/>
      <c r="AT517" s="89"/>
      <c r="AU517" s="89"/>
      <c r="AV517" s="89"/>
      <c r="AW517" s="89"/>
      <c r="AX517" s="89"/>
      <c r="AY517" s="89"/>
      <c r="AZ517" s="89"/>
    </row>
    <row r="518" ht="12.75" customHeight="1">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row>
    <row r="519" ht="12.75" customHeight="1">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row>
    <row r="520" ht="12.75" customHeight="1">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row>
    <row r="521" ht="12.75" customHeight="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row>
    <row r="522" ht="12.75" customHeight="1">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row>
    <row r="523" ht="12.75" customHeight="1">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row>
    <row r="524" ht="12.75" customHeight="1">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row>
    <row r="525" ht="12.75" customHeight="1">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row>
    <row r="526" ht="12.75" customHeight="1">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row>
    <row r="527" ht="12.75" customHeight="1">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row>
    <row r="528" ht="12.75" customHeight="1">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row>
    <row r="529" ht="12.75" customHeight="1">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c r="AG529" s="89"/>
      <c r="AH529" s="89"/>
      <c r="AI529" s="89"/>
      <c r="AJ529" s="89"/>
      <c r="AK529" s="89"/>
      <c r="AL529" s="89"/>
      <c r="AM529" s="89"/>
      <c r="AN529" s="89"/>
      <c r="AO529" s="89"/>
      <c r="AP529" s="89"/>
      <c r="AQ529" s="89"/>
      <c r="AR529" s="89"/>
      <c r="AS529" s="89"/>
      <c r="AT529" s="89"/>
      <c r="AU529" s="89"/>
      <c r="AV529" s="89"/>
      <c r="AW529" s="89"/>
      <c r="AX529" s="89"/>
      <c r="AY529" s="89"/>
      <c r="AZ529" s="89"/>
    </row>
    <row r="530" ht="12.75" customHeight="1">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row>
    <row r="531" ht="12.75" customHeight="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c r="AG531" s="89"/>
      <c r="AH531" s="89"/>
      <c r="AI531" s="89"/>
      <c r="AJ531" s="89"/>
      <c r="AK531" s="89"/>
      <c r="AL531" s="89"/>
      <c r="AM531" s="89"/>
      <c r="AN531" s="89"/>
      <c r="AO531" s="89"/>
      <c r="AP531" s="89"/>
      <c r="AQ531" s="89"/>
      <c r="AR531" s="89"/>
      <c r="AS531" s="89"/>
      <c r="AT531" s="89"/>
      <c r="AU531" s="89"/>
      <c r="AV531" s="89"/>
      <c r="AW531" s="89"/>
      <c r="AX531" s="89"/>
      <c r="AY531" s="89"/>
      <c r="AZ531" s="89"/>
    </row>
    <row r="532" ht="12.75" customHeight="1">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c r="AG532" s="89"/>
      <c r="AH532" s="89"/>
      <c r="AI532" s="89"/>
      <c r="AJ532" s="89"/>
      <c r="AK532" s="89"/>
      <c r="AL532" s="89"/>
      <c r="AM532" s="89"/>
      <c r="AN532" s="89"/>
      <c r="AO532" s="89"/>
      <c r="AP532" s="89"/>
      <c r="AQ532" s="89"/>
      <c r="AR532" s="89"/>
      <c r="AS532" s="89"/>
      <c r="AT532" s="89"/>
      <c r="AU532" s="89"/>
      <c r="AV532" s="89"/>
      <c r="AW532" s="89"/>
      <c r="AX532" s="89"/>
      <c r="AY532" s="89"/>
      <c r="AZ532" s="89"/>
    </row>
    <row r="533" ht="12.75" customHeight="1">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c r="AG533" s="89"/>
      <c r="AH533" s="89"/>
      <c r="AI533" s="89"/>
      <c r="AJ533" s="89"/>
      <c r="AK533" s="89"/>
      <c r="AL533" s="89"/>
      <c r="AM533" s="89"/>
      <c r="AN533" s="89"/>
      <c r="AO533" s="89"/>
      <c r="AP533" s="89"/>
      <c r="AQ533" s="89"/>
      <c r="AR533" s="89"/>
      <c r="AS533" s="89"/>
      <c r="AT533" s="89"/>
      <c r="AU533" s="89"/>
      <c r="AV533" s="89"/>
      <c r="AW533" s="89"/>
      <c r="AX533" s="89"/>
      <c r="AY533" s="89"/>
      <c r="AZ533" s="89"/>
    </row>
    <row r="534" ht="12.75" customHeight="1">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c r="AG534" s="89"/>
      <c r="AH534" s="89"/>
      <c r="AI534" s="89"/>
      <c r="AJ534" s="89"/>
      <c r="AK534" s="89"/>
      <c r="AL534" s="89"/>
      <c r="AM534" s="89"/>
      <c r="AN534" s="89"/>
      <c r="AO534" s="89"/>
      <c r="AP534" s="89"/>
      <c r="AQ534" s="89"/>
      <c r="AR534" s="89"/>
      <c r="AS534" s="89"/>
      <c r="AT534" s="89"/>
      <c r="AU534" s="89"/>
      <c r="AV534" s="89"/>
      <c r="AW534" s="89"/>
      <c r="AX534" s="89"/>
      <c r="AY534" s="89"/>
      <c r="AZ534" s="89"/>
    </row>
    <row r="535" ht="12.75" customHeight="1">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c r="AG535" s="89"/>
      <c r="AH535" s="89"/>
      <c r="AI535" s="89"/>
      <c r="AJ535" s="89"/>
      <c r="AK535" s="89"/>
      <c r="AL535" s="89"/>
      <c r="AM535" s="89"/>
      <c r="AN535" s="89"/>
      <c r="AO535" s="89"/>
      <c r="AP535" s="89"/>
      <c r="AQ535" s="89"/>
      <c r="AR535" s="89"/>
      <c r="AS535" s="89"/>
      <c r="AT535" s="89"/>
      <c r="AU535" s="89"/>
      <c r="AV535" s="89"/>
      <c r="AW535" s="89"/>
      <c r="AX535" s="89"/>
      <c r="AY535" s="89"/>
      <c r="AZ535" s="89"/>
    </row>
    <row r="536" ht="12.75" customHeight="1">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c r="AG536" s="89"/>
      <c r="AH536" s="89"/>
      <c r="AI536" s="89"/>
      <c r="AJ536" s="89"/>
      <c r="AK536" s="89"/>
      <c r="AL536" s="89"/>
      <c r="AM536" s="89"/>
      <c r="AN536" s="89"/>
      <c r="AO536" s="89"/>
      <c r="AP536" s="89"/>
      <c r="AQ536" s="89"/>
      <c r="AR536" s="89"/>
      <c r="AS536" s="89"/>
      <c r="AT536" s="89"/>
      <c r="AU536" s="89"/>
      <c r="AV536" s="89"/>
      <c r="AW536" s="89"/>
      <c r="AX536" s="89"/>
      <c r="AY536" s="89"/>
      <c r="AZ536" s="89"/>
    </row>
    <row r="537" ht="12.75" customHeight="1">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89"/>
      <c r="AK537" s="89"/>
      <c r="AL537" s="89"/>
      <c r="AM537" s="89"/>
      <c r="AN537" s="89"/>
      <c r="AO537" s="89"/>
      <c r="AP537" s="89"/>
      <c r="AQ537" s="89"/>
      <c r="AR537" s="89"/>
      <c r="AS537" s="89"/>
      <c r="AT537" s="89"/>
      <c r="AU537" s="89"/>
      <c r="AV537" s="89"/>
      <c r="AW537" s="89"/>
      <c r="AX537" s="89"/>
      <c r="AY537" s="89"/>
      <c r="AZ537" s="89"/>
    </row>
    <row r="538" ht="12.75" customHeight="1">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c r="AG538" s="89"/>
      <c r="AH538" s="89"/>
      <c r="AI538" s="89"/>
      <c r="AJ538" s="89"/>
      <c r="AK538" s="89"/>
      <c r="AL538" s="89"/>
      <c r="AM538" s="89"/>
      <c r="AN538" s="89"/>
      <c r="AO538" s="89"/>
      <c r="AP538" s="89"/>
      <c r="AQ538" s="89"/>
      <c r="AR538" s="89"/>
      <c r="AS538" s="89"/>
      <c r="AT538" s="89"/>
      <c r="AU538" s="89"/>
      <c r="AV538" s="89"/>
      <c r="AW538" s="89"/>
      <c r="AX538" s="89"/>
      <c r="AY538" s="89"/>
      <c r="AZ538" s="89"/>
    </row>
    <row r="539" ht="12.75" customHeight="1">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c r="AG539" s="89"/>
      <c r="AH539" s="89"/>
      <c r="AI539" s="89"/>
      <c r="AJ539" s="89"/>
      <c r="AK539" s="89"/>
      <c r="AL539" s="89"/>
      <c r="AM539" s="89"/>
      <c r="AN539" s="89"/>
      <c r="AO539" s="89"/>
      <c r="AP539" s="89"/>
      <c r="AQ539" s="89"/>
      <c r="AR539" s="89"/>
      <c r="AS539" s="89"/>
      <c r="AT539" s="89"/>
      <c r="AU539" s="89"/>
      <c r="AV539" s="89"/>
      <c r="AW539" s="89"/>
      <c r="AX539" s="89"/>
      <c r="AY539" s="89"/>
      <c r="AZ539" s="89"/>
    </row>
    <row r="540" ht="12.75" customHeight="1">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c r="AG540" s="89"/>
      <c r="AH540" s="89"/>
      <c r="AI540" s="89"/>
      <c r="AJ540" s="89"/>
      <c r="AK540" s="89"/>
      <c r="AL540" s="89"/>
      <c r="AM540" s="89"/>
      <c r="AN540" s="89"/>
      <c r="AO540" s="89"/>
      <c r="AP540" s="89"/>
      <c r="AQ540" s="89"/>
      <c r="AR540" s="89"/>
      <c r="AS540" s="89"/>
      <c r="AT540" s="89"/>
      <c r="AU540" s="89"/>
      <c r="AV540" s="89"/>
      <c r="AW540" s="89"/>
      <c r="AX540" s="89"/>
      <c r="AY540" s="89"/>
      <c r="AZ540" s="89"/>
    </row>
    <row r="541" ht="12.75" customHeight="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c r="AG541" s="89"/>
      <c r="AH541" s="89"/>
      <c r="AI541" s="89"/>
      <c r="AJ541" s="89"/>
      <c r="AK541" s="89"/>
      <c r="AL541" s="89"/>
      <c r="AM541" s="89"/>
      <c r="AN541" s="89"/>
      <c r="AO541" s="89"/>
      <c r="AP541" s="89"/>
      <c r="AQ541" s="89"/>
      <c r="AR541" s="89"/>
      <c r="AS541" s="89"/>
      <c r="AT541" s="89"/>
      <c r="AU541" s="89"/>
      <c r="AV541" s="89"/>
      <c r="AW541" s="89"/>
      <c r="AX541" s="89"/>
      <c r="AY541" s="89"/>
      <c r="AZ541" s="89"/>
    </row>
    <row r="542" ht="12.75" customHeight="1">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c r="AG542" s="89"/>
      <c r="AH542" s="89"/>
      <c r="AI542" s="89"/>
      <c r="AJ542" s="89"/>
      <c r="AK542" s="89"/>
      <c r="AL542" s="89"/>
      <c r="AM542" s="89"/>
      <c r="AN542" s="89"/>
      <c r="AO542" s="89"/>
      <c r="AP542" s="89"/>
      <c r="AQ542" s="89"/>
      <c r="AR542" s="89"/>
      <c r="AS542" s="89"/>
      <c r="AT542" s="89"/>
      <c r="AU542" s="89"/>
      <c r="AV542" s="89"/>
      <c r="AW542" s="89"/>
      <c r="AX542" s="89"/>
      <c r="AY542" s="89"/>
      <c r="AZ542" s="89"/>
    </row>
    <row r="543" ht="12.75" customHeight="1">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row>
    <row r="544" ht="12.75" customHeight="1">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row>
    <row r="545" ht="12.75" customHeight="1">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row>
    <row r="546" ht="12.75" customHeight="1">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row>
    <row r="547" ht="12.75" customHeight="1">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row>
    <row r="548" ht="12.75" customHeight="1">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row>
    <row r="549" ht="12.75" customHeight="1">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row>
    <row r="550" ht="12.75" customHeight="1">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row>
    <row r="551" ht="12.75" customHeight="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row>
    <row r="552" ht="12.75" customHeight="1">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row>
    <row r="553" ht="12.75" customHeight="1">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row>
    <row r="554" ht="12.75" customHeight="1">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c r="AG554" s="89"/>
      <c r="AH554" s="89"/>
      <c r="AI554" s="89"/>
      <c r="AJ554" s="89"/>
      <c r="AK554" s="89"/>
      <c r="AL554" s="89"/>
      <c r="AM554" s="89"/>
      <c r="AN554" s="89"/>
      <c r="AO554" s="89"/>
      <c r="AP554" s="89"/>
      <c r="AQ554" s="89"/>
      <c r="AR554" s="89"/>
      <c r="AS554" s="89"/>
      <c r="AT554" s="89"/>
      <c r="AU554" s="89"/>
      <c r="AV554" s="89"/>
      <c r="AW554" s="89"/>
      <c r="AX554" s="89"/>
      <c r="AY554" s="89"/>
      <c r="AZ554" s="89"/>
    </row>
    <row r="555" ht="12.75" customHeight="1">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c r="AG555" s="89"/>
      <c r="AH555" s="89"/>
      <c r="AI555" s="89"/>
      <c r="AJ555" s="89"/>
      <c r="AK555" s="89"/>
      <c r="AL555" s="89"/>
      <c r="AM555" s="89"/>
      <c r="AN555" s="89"/>
      <c r="AO555" s="89"/>
      <c r="AP555" s="89"/>
      <c r="AQ555" s="89"/>
      <c r="AR555" s="89"/>
      <c r="AS555" s="89"/>
      <c r="AT555" s="89"/>
      <c r="AU555" s="89"/>
      <c r="AV555" s="89"/>
      <c r="AW555" s="89"/>
      <c r="AX555" s="89"/>
      <c r="AY555" s="89"/>
      <c r="AZ555" s="89"/>
    </row>
    <row r="556" ht="12.75" customHeight="1">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c r="AG556" s="89"/>
      <c r="AH556" s="89"/>
      <c r="AI556" s="89"/>
      <c r="AJ556" s="89"/>
      <c r="AK556" s="89"/>
      <c r="AL556" s="89"/>
      <c r="AM556" s="89"/>
      <c r="AN556" s="89"/>
      <c r="AO556" s="89"/>
      <c r="AP556" s="89"/>
      <c r="AQ556" s="89"/>
      <c r="AR556" s="89"/>
      <c r="AS556" s="89"/>
      <c r="AT556" s="89"/>
      <c r="AU556" s="89"/>
      <c r="AV556" s="89"/>
      <c r="AW556" s="89"/>
      <c r="AX556" s="89"/>
      <c r="AY556" s="89"/>
      <c r="AZ556" s="89"/>
    </row>
    <row r="557" ht="12.75" customHeight="1">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c r="AG557" s="89"/>
      <c r="AH557" s="89"/>
      <c r="AI557" s="89"/>
      <c r="AJ557" s="89"/>
      <c r="AK557" s="89"/>
      <c r="AL557" s="89"/>
      <c r="AM557" s="89"/>
      <c r="AN557" s="89"/>
      <c r="AO557" s="89"/>
      <c r="AP557" s="89"/>
      <c r="AQ557" s="89"/>
      <c r="AR557" s="89"/>
      <c r="AS557" s="89"/>
      <c r="AT557" s="89"/>
      <c r="AU557" s="89"/>
      <c r="AV557" s="89"/>
      <c r="AW557" s="89"/>
      <c r="AX557" s="89"/>
      <c r="AY557" s="89"/>
      <c r="AZ557" s="89"/>
    </row>
    <row r="558" ht="12.75" customHeight="1">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c r="AG558" s="89"/>
      <c r="AH558" s="89"/>
      <c r="AI558" s="89"/>
      <c r="AJ558" s="89"/>
      <c r="AK558" s="89"/>
      <c r="AL558" s="89"/>
      <c r="AM558" s="89"/>
      <c r="AN558" s="89"/>
      <c r="AO558" s="89"/>
      <c r="AP558" s="89"/>
      <c r="AQ558" s="89"/>
      <c r="AR558" s="89"/>
      <c r="AS558" s="89"/>
      <c r="AT558" s="89"/>
      <c r="AU558" s="89"/>
      <c r="AV558" s="89"/>
      <c r="AW558" s="89"/>
      <c r="AX558" s="89"/>
      <c r="AY558" s="89"/>
      <c r="AZ558" s="89"/>
    </row>
    <row r="559" ht="12.75" customHeight="1">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c r="AG559" s="89"/>
      <c r="AH559" s="89"/>
      <c r="AI559" s="89"/>
      <c r="AJ559" s="89"/>
      <c r="AK559" s="89"/>
      <c r="AL559" s="89"/>
      <c r="AM559" s="89"/>
      <c r="AN559" s="89"/>
      <c r="AO559" s="89"/>
      <c r="AP559" s="89"/>
      <c r="AQ559" s="89"/>
      <c r="AR559" s="89"/>
      <c r="AS559" s="89"/>
      <c r="AT559" s="89"/>
      <c r="AU559" s="89"/>
      <c r="AV559" s="89"/>
      <c r="AW559" s="89"/>
      <c r="AX559" s="89"/>
      <c r="AY559" s="89"/>
      <c r="AZ559" s="89"/>
    </row>
    <row r="560" ht="12.75" customHeight="1">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c r="AG560" s="89"/>
      <c r="AH560" s="89"/>
      <c r="AI560" s="89"/>
      <c r="AJ560" s="89"/>
      <c r="AK560" s="89"/>
      <c r="AL560" s="89"/>
      <c r="AM560" s="89"/>
      <c r="AN560" s="89"/>
      <c r="AO560" s="89"/>
      <c r="AP560" s="89"/>
      <c r="AQ560" s="89"/>
      <c r="AR560" s="89"/>
      <c r="AS560" s="89"/>
      <c r="AT560" s="89"/>
      <c r="AU560" s="89"/>
      <c r="AV560" s="89"/>
      <c r="AW560" s="89"/>
      <c r="AX560" s="89"/>
      <c r="AY560" s="89"/>
      <c r="AZ560" s="89"/>
    </row>
    <row r="561" ht="12.75" customHeight="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c r="AG561" s="89"/>
      <c r="AH561" s="89"/>
      <c r="AI561" s="89"/>
      <c r="AJ561" s="89"/>
      <c r="AK561" s="89"/>
      <c r="AL561" s="89"/>
      <c r="AM561" s="89"/>
      <c r="AN561" s="89"/>
      <c r="AO561" s="89"/>
      <c r="AP561" s="89"/>
      <c r="AQ561" s="89"/>
      <c r="AR561" s="89"/>
      <c r="AS561" s="89"/>
      <c r="AT561" s="89"/>
      <c r="AU561" s="89"/>
      <c r="AV561" s="89"/>
      <c r="AW561" s="89"/>
      <c r="AX561" s="89"/>
      <c r="AY561" s="89"/>
      <c r="AZ561" s="89"/>
    </row>
    <row r="562" ht="12.75" customHeight="1">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c r="AG562" s="89"/>
      <c r="AH562" s="89"/>
      <c r="AI562" s="89"/>
      <c r="AJ562" s="89"/>
      <c r="AK562" s="89"/>
      <c r="AL562" s="89"/>
      <c r="AM562" s="89"/>
      <c r="AN562" s="89"/>
      <c r="AO562" s="89"/>
      <c r="AP562" s="89"/>
      <c r="AQ562" s="89"/>
      <c r="AR562" s="89"/>
      <c r="AS562" s="89"/>
      <c r="AT562" s="89"/>
      <c r="AU562" s="89"/>
      <c r="AV562" s="89"/>
      <c r="AW562" s="89"/>
      <c r="AX562" s="89"/>
      <c r="AY562" s="89"/>
      <c r="AZ562" s="89"/>
    </row>
    <row r="563" ht="12.75" customHeight="1">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c r="AG563" s="89"/>
      <c r="AH563" s="89"/>
      <c r="AI563" s="89"/>
      <c r="AJ563" s="89"/>
      <c r="AK563" s="89"/>
      <c r="AL563" s="89"/>
      <c r="AM563" s="89"/>
      <c r="AN563" s="89"/>
      <c r="AO563" s="89"/>
      <c r="AP563" s="89"/>
      <c r="AQ563" s="89"/>
      <c r="AR563" s="89"/>
      <c r="AS563" s="89"/>
      <c r="AT563" s="89"/>
      <c r="AU563" s="89"/>
      <c r="AV563" s="89"/>
      <c r="AW563" s="89"/>
      <c r="AX563" s="89"/>
      <c r="AY563" s="89"/>
      <c r="AZ563" s="89"/>
    </row>
    <row r="564" ht="12.75" customHeight="1">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c r="AG564" s="89"/>
      <c r="AH564" s="89"/>
      <c r="AI564" s="89"/>
      <c r="AJ564" s="89"/>
      <c r="AK564" s="89"/>
      <c r="AL564" s="89"/>
      <c r="AM564" s="89"/>
      <c r="AN564" s="89"/>
      <c r="AO564" s="89"/>
      <c r="AP564" s="89"/>
      <c r="AQ564" s="89"/>
      <c r="AR564" s="89"/>
      <c r="AS564" s="89"/>
      <c r="AT564" s="89"/>
      <c r="AU564" s="89"/>
      <c r="AV564" s="89"/>
      <c r="AW564" s="89"/>
      <c r="AX564" s="89"/>
      <c r="AY564" s="89"/>
      <c r="AZ564" s="89"/>
    </row>
    <row r="565" ht="12.75" customHeight="1">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c r="AG565" s="89"/>
      <c r="AH565" s="89"/>
      <c r="AI565" s="89"/>
      <c r="AJ565" s="89"/>
      <c r="AK565" s="89"/>
      <c r="AL565" s="89"/>
      <c r="AM565" s="89"/>
      <c r="AN565" s="89"/>
      <c r="AO565" s="89"/>
      <c r="AP565" s="89"/>
      <c r="AQ565" s="89"/>
      <c r="AR565" s="89"/>
      <c r="AS565" s="89"/>
      <c r="AT565" s="89"/>
      <c r="AU565" s="89"/>
      <c r="AV565" s="89"/>
      <c r="AW565" s="89"/>
      <c r="AX565" s="89"/>
      <c r="AY565" s="89"/>
      <c r="AZ565" s="89"/>
    </row>
    <row r="566" ht="12.75" customHeight="1">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c r="AG566" s="89"/>
      <c r="AH566" s="89"/>
      <c r="AI566" s="89"/>
      <c r="AJ566" s="89"/>
      <c r="AK566" s="89"/>
      <c r="AL566" s="89"/>
      <c r="AM566" s="89"/>
      <c r="AN566" s="89"/>
      <c r="AO566" s="89"/>
      <c r="AP566" s="89"/>
      <c r="AQ566" s="89"/>
      <c r="AR566" s="89"/>
      <c r="AS566" s="89"/>
      <c r="AT566" s="89"/>
      <c r="AU566" s="89"/>
      <c r="AV566" s="89"/>
      <c r="AW566" s="89"/>
      <c r="AX566" s="89"/>
      <c r="AY566" s="89"/>
      <c r="AZ566" s="89"/>
    </row>
    <row r="567" ht="12.75" customHeight="1">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c r="AG567" s="89"/>
      <c r="AH567" s="89"/>
      <c r="AI567" s="89"/>
      <c r="AJ567" s="89"/>
      <c r="AK567" s="89"/>
      <c r="AL567" s="89"/>
      <c r="AM567" s="89"/>
      <c r="AN567" s="89"/>
      <c r="AO567" s="89"/>
      <c r="AP567" s="89"/>
      <c r="AQ567" s="89"/>
      <c r="AR567" s="89"/>
      <c r="AS567" s="89"/>
      <c r="AT567" s="89"/>
      <c r="AU567" s="89"/>
      <c r="AV567" s="89"/>
      <c r="AW567" s="89"/>
      <c r="AX567" s="89"/>
      <c r="AY567" s="89"/>
      <c r="AZ567" s="89"/>
    </row>
    <row r="568" ht="12.75" customHeight="1">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row>
    <row r="569" ht="12.75" customHeight="1">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row>
    <row r="570" ht="12.75" customHeight="1">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row>
    <row r="571" ht="12.75" customHeight="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row>
    <row r="572" ht="12.75" customHeight="1">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row>
    <row r="573" ht="12.75" customHeight="1">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row>
    <row r="574" ht="12.75" customHeight="1">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row>
    <row r="575" ht="12.75" customHeight="1">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row>
    <row r="576" ht="12.75" customHeight="1">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row>
    <row r="577" ht="12.75" customHeight="1">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row>
    <row r="578" ht="12.75" customHeight="1">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row>
    <row r="579" ht="12.75" customHeight="1">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c r="AG579" s="89"/>
      <c r="AH579" s="89"/>
      <c r="AI579" s="89"/>
      <c r="AJ579" s="89"/>
      <c r="AK579" s="89"/>
      <c r="AL579" s="89"/>
      <c r="AM579" s="89"/>
      <c r="AN579" s="89"/>
      <c r="AO579" s="89"/>
      <c r="AP579" s="89"/>
      <c r="AQ579" s="89"/>
      <c r="AR579" s="89"/>
      <c r="AS579" s="89"/>
      <c r="AT579" s="89"/>
      <c r="AU579" s="89"/>
      <c r="AV579" s="89"/>
      <c r="AW579" s="89"/>
      <c r="AX579" s="89"/>
      <c r="AY579" s="89"/>
      <c r="AZ579" s="89"/>
    </row>
    <row r="580" ht="12.75" customHeight="1">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c r="AG580" s="89"/>
      <c r="AH580" s="89"/>
      <c r="AI580" s="89"/>
      <c r="AJ580" s="89"/>
      <c r="AK580" s="89"/>
      <c r="AL580" s="89"/>
      <c r="AM580" s="89"/>
      <c r="AN580" s="89"/>
      <c r="AO580" s="89"/>
      <c r="AP580" s="89"/>
      <c r="AQ580" s="89"/>
      <c r="AR580" s="89"/>
      <c r="AS580" s="89"/>
      <c r="AT580" s="89"/>
      <c r="AU580" s="89"/>
      <c r="AV580" s="89"/>
      <c r="AW580" s="89"/>
      <c r="AX580" s="89"/>
      <c r="AY580" s="89"/>
      <c r="AZ580" s="89"/>
    </row>
    <row r="581" ht="12.75" customHeight="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c r="AG581" s="89"/>
      <c r="AH581" s="89"/>
      <c r="AI581" s="89"/>
      <c r="AJ581" s="89"/>
      <c r="AK581" s="89"/>
      <c r="AL581" s="89"/>
      <c r="AM581" s="89"/>
      <c r="AN581" s="89"/>
      <c r="AO581" s="89"/>
      <c r="AP581" s="89"/>
      <c r="AQ581" s="89"/>
      <c r="AR581" s="89"/>
      <c r="AS581" s="89"/>
      <c r="AT581" s="89"/>
      <c r="AU581" s="89"/>
      <c r="AV581" s="89"/>
      <c r="AW581" s="89"/>
      <c r="AX581" s="89"/>
      <c r="AY581" s="89"/>
      <c r="AZ581" s="89"/>
    </row>
    <row r="582" ht="12.75" customHeight="1">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c r="AG582" s="89"/>
      <c r="AH582" s="89"/>
      <c r="AI582" s="89"/>
      <c r="AJ582" s="89"/>
      <c r="AK582" s="89"/>
      <c r="AL582" s="89"/>
      <c r="AM582" s="89"/>
      <c r="AN582" s="89"/>
      <c r="AO582" s="89"/>
      <c r="AP582" s="89"/>
      <c r="AQ582" s="89"/>
      <c r="AR582" s="89"/>
      <c r="AS582" s="89"/>
      <c r="AT582" s="89"/>
      <c r="AU582" s="89"/>
      <c r="AV582" s="89"/>
      <c r="AW582" s="89"/>
      <c r="AX582" s="89"/>
      <c r="AY582" s="89"/>
      <c r="AZ582" s="89"/>
    </row>
    <row r="583" ht="12.75" customHeight="1">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c r="AG583" s="89"/>
      <c r="AH583" s="89"/>
      <c r="AI583" s="89"/>
      <c r="AJ583" s="89"/>
      <c r="AK583" s="89"/>
      <c r="AL583" s="89"/>
      <c r="AM583" s="89"/>
      <c r="AN583" s="89"/>
      <c r="AO583" s="89"/>
      <c r="AP583" s="89"/>
      <c r="AQ583" s="89"/>
      <c r="AR583" s="89"/>
      <c r="AS583" s="89"/>
      <c r="AT583" s="89"/>
      <c r="AU583" s="89"/>
      <c r="AV583" s="89"/>
      <c r="AW583" s="89"/>
      <c r="AX583" s="89"/>
      <c r="AY583" s="89"/>
      <c r="AZ583" s="89"/>
    </row>
    <row r="584" ht="12.75" customHeight="1">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c r="AG584" s="89"/>
      <c r="AH584" s="89"/>
      <c r="AI584" s="89"/>
      <c r="AJ584" s="89"/>
      <c r="AK584" s="89"/>
      <c r="AL584" s="89"/>
      <c r="AM584" s="89"/>
      <c r="AN584" s="89"/>
      <c r="AO584" s="89"/>
      <c r="AP584" s="89"/>
      <c r="AQ584" s="89"/>
      <c r="AR584" s="89"/>
      <c r="AS584" s="89"/>
      <c r="AT584" s="89"/>
      <c r="AU584" s="89"/>
      <c r="AV584" s="89"/>
      <c r="AW584" s="89"/>
      <c r="AX584" s="89"/>
      <c r="AY584" s="89"/>
      <c r="AZ584" s="89"/>
    </row>
    <row r="585" ht="12.75" customHeight="1">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c r="AG585" s="89"/>
      <c r="AH585" s="89"/>
      <c r="AI585" s="89"/>
      <c r="AJ585" s="89"/>
      <c r="AK585" s="89"/>
      <c r="AL585" s="89"/>
      <c r="AM585" s="89"/>
      <c r="AN585" s="89"/>
      <c r="AO585" s="89"/>
      <c r="AP585" s="89"/>
      <c r="AQ585" s="89"/>
      <c r="AR585" s="89"/>
      <c r="AS585" s="89"/>
      <c r="AT585" s="89"/>
      <c r="AU585" s="89"/>
      <c r="AV585" s="89"/>
      <c r="AW585" s="89"/>
      <c r="AX585" s="89"/>
      <c r="AY585" s="89"/>
      <c r="AZ585" s="89"/>
    </row>
    <row r="586" ht="12.75" customHeight="1">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c r="AG586" s="89"/>
      <c r="AH586" s="89"/>
      <c r="AI586" s="89"/>
      <c r="AJ586" s="89"/>
      <c r="AK586" s="89"/>
      <c r="AL586" s="89"/>
      <c r="AM586" s="89"/>
      <c r="AN586" s="89"/>
      <c r="AO586" s="89"/>
      <c r="AP586" s="89"/>
      <c r="AQ586" s="89"/>
      <c r="AR586" s="89"/>
      <c r="AS586" s="89"/>
      <c r="AT586" s="89"/>
      <c r="AU586" s="89"/>
      <c r="AV586" s="89"/>
      <c r="AW586" s="89"/>
      <c r="AX586" s="89"/>
      <c r="AY586" s="89"/>
      <c r="AZ586" s="89"/>
    </row>
    <row r="587" ht="12.75" customHeight="1">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c r="AG587" s="89"/>
      <c r="AH587" s="89"/>
      <c r="AI587" s="89"/>
      <c r="AJ587" s="89"/>
      <c r="AK587" s="89"/>
      <c r="AL587" s="89"/>
      <c r="AM587" s="89"/>
      <c r="AN587" s="89"/>
      <c r="AO587" s="89"/>
      <c r="AP587" s="89"/>
      <c r="AQ587" s="89"/>
      <c r="AR587" s="89"/>
      <c r="AS587" s="89"/>
      <c r="AT587" s="89"/>
      <c r="AU587" s="89"/>
      <c r="AV587" s="89"/>
      <c r="AW587" s="89"/>
      <c r="AX587" s="89"/>
      <c r="AY587" s="89"/>
      <c r="AZ587" s="89"/>
    </row>
    <row r="588" ht="12.75" customHeight="1">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c r="AG588" s="89"/>
      <c r="AH588" s="89"/>
      <c r="AI588" s="89"/>
      <c r="AJ588" s="89"/>
      <c r="AK588" s="89"/>
      <c r="AL588" s="89"/>
      <c r="AM588" s="89"/>
      <c r="AN588" s="89"/>
      <c r="AO588" s="89"/>
      <c r="AP588" s="89"/>
      <c r="AQ588" s="89"/>
      <c r="AR588" s="89"/>
      <c r="AS588" s="89"/>
      <c r="AT588" s="89"/>
      <c r="AU588" s="89"/>
      <c r="AV588" s="89"/>
      <c r="AW588" s="89"/>
      <c r="AX588" s="89"/>
      <c r="AY588" s="89"/>
      <c r="AZ588" s="89"/>
    </row>
    <row r="589" ht="12.75" customHeight="1">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c r="AG589" s="89"/>
      <c r="AH589" s="89"/>
      <c r="AI589" s="89"/>
      <c r="AJ589" s="89"/>
      <c r="AK589" s="89"/>
      <c r="AL589" s="89"/>
      <c r="AM589" s="89"/>
      <c r="AN589" s="89"/>
      <c r="AO589" s="89"/>
      <c r="AP589" s="89"/>
      <c r="AQ589" s="89"/>
      <c r="AR589" s="89"/>
      <c r="AS589" s="89"/>
      <c r="AT589" s="89"/>
      <c r="AU589" s="89"/>
      <c r="AV589" s="89"/>
      <c r="AW589" s="89"/>
      <c r="AX589" s="89"/>
      <c r="AY589" s="89"/>
      <c r="AZ589" s="89"/>
    </row>
    <row r="590" ht="12.75" customHeight="1">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c r="AG590" s="89"/>
      <c r="AH590" s="89"/>
      <c r="AI590" s="89"/>
      <c r="AJ590" s="89"/>
      <c r="AK590" s="89"/>
      <c r="AL590" s="89"/>
      <c r="AM590" s="89"/>
      <c r="AN590" s="89"/>
      <c r="AO590" s="89"/>
      <c r="AP590" s="89"/>
      <c r="AQ590" s="89"/>
      <c r="AR590" s="89"/>
      <c r="AS590" s="89"/>
      <c r="AT590" s="89"/>
      <c r="AU590" s="89"/>
      <c r="AV590" s="89"/>
      <c r="AW590" s="89"/>
      <c r="AX590" s="89"/>
      <c r="AY590" s="89"/>
      <c r="AZ590" s="89"/>
    </row>
    <row r="591" ht="12.75" customHeight="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c r="AG591" s="89"/>
      <c r="AH591" s="89"/>
      <c r="AI591" s="89"/>
      <c r="AJ591" s="89"/>
      <c r="AK591" s="89"/>
      <c r="AL591" s="89"/>
      <c r="AM591" s="89"/>
      <c r="AN591" s="89"/>
      <c r="AO591" s="89"/>
      <c r="AP591" s="89"/>
      <c r="AQ591" s="89"/>
      <c r="AR591" s="89"/>
      <c r="AS591" s="89"/>
      <c r="AT591" s="89"/>
      <c r="AU591" s="89"/>
      <c r="AV591" s="89"/>
      <c r="AW591" s="89"/>
      <c r="AX591" s="89"/>
      <c r="AY591" s="89"/>
      <c r="AZ591" s="89"/>
    </row>
    <row r="592" ht="12.75" customHeight="1">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c r="AG592" s="89"/>
      <c r="AH592" s="89"/>
      <c r="AI592" s="89"/>
      <c r="AJ592" s="89"/>
      <c r="AK592" s="89"/>
      <c r="AL592" s="89"/>
      <c r="AM592" s="89"/>
      <c r="AN592" s="89"/>
      <c r="AO592" s="89"/>
      <c r="AP592" s="89"/>
      <c r="AQ592" s="89"/>
      <c r="AR592" s="89"/>
      <c r="AS592" s="89"/>
      <c r="AT592" s="89"/>
      <c r="AU592" s="89"/>
      <c r="AV592" s="89"/>
      <c r="AW592" s="89"/>
      <c r="AX592" s="89"/>
      <c r="AY592" s="89"/>
      <c r="AZ592" s="89"/>
    </row>
    <row r="593" ht="12.75" customHeight="1">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row>
    <row r="594" ht="12.75" customHeight="1">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row>
    <row r="595" ht="12.75" customHeight="1">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row>
    <row r="596" ht="12.75" customHeight="1">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row>
    <row r="597" ht="12.75" customHeight="1">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row>
    <row r="598" ht="12.75" customHeight="1">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row>
    <row r="599" ht="12.75" customHeight="1">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row>
    <row r="600" ht="12.75" customHeight="1">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row>
    <row r="601" ht="12.75" customHeight="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row>
    <row r="602" ht="12.75" customHeight="1">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row>
    <row r="603" ht="12.75" customHeight="1">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row>
    <row r="604" ht="12.75" customHeight="1">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c r="AG604" s="89"/>
      <c r="AH604" s="89"/>
      <c r="AI604" s="89"/>
      <c r="AJ604" s="89"/>
      <c r="AK604" s="89"/>
      <c r="AL604" s="89"/>
      <c r="AM604" s="89"/>
      <c r="AN604" s="89"/>
      <c r="AO604" s="89"/>
      <c r="AP604" s="89"/>
      <c r="AQ604" s="89"/>
      <c r="AR604" s="89"/>
      <c r="AS604" s="89"/>
      <c r="AT604" s="89"/>
      <c r="AU604" s="89"/>
      <c r="AV604" s="89"/>
      <c r="AW604" s="89"/>
      <c r="AX604" s="89"/>
      <c r="AY604" s="89"/>
      <c r="AZ604" s="89"/>
    </row>
    <row r="605" ht="12.75" customHeight="1">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c r="AG605" s="89"/>
      <c r="AH605" s="89"/>
      <c r="AI605" s="89"/>
      <c r="AJ605" s="89"/>
      <c r="AK605" s="89"/>
      <c r="AL605" s="89"/>
      <c r="AM605" s="89"/>
      <c r="AN605" s="89"/>
      <c r="AO605" s="89"/>
      <c r="AP605" s="89"/>
      <c r="AQ605" s="89"/>
      <c r="AR605" s="89"/>
      <c r="AS605" s="89"/>
      <c r="AT605" s="89"/>
      <c r="AU605" s="89"/>
      <c r="AV605" s="89"/>
      <c r="AW605" s="89"/>
      <c r="AX605" s="89"/>
      <c r="AY605" s="89"/>
      <c r="AZ605" s="89"/>
    </row>
    <row r="606" ht="12.75" customHeight="1">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c r="AG606" s="89"/>
      <c r="AH606" s="89"/>
      <c r="AI606" s="89"/>
      <c r="AJ606" s="89"/>
      <c r="AK606" s="89"/>
      <c r="AL606" s="89"/>
      <c r="AM606" s="89"/>
      <c r="AN606" s="89"/>
      <c r="AO606" s="89"/>
      <c r="AP606" s="89"/>
      <c r="AQ606" s="89"/>
      <c r="AR606" s="89"/>
      <c r="AS606" s="89"/>
      <c r="AT606" s="89"/>
      <c r="AU606" s="89"/>
      <c r="AV606" s="89"/>
      <c r="AW606" s="89"/>
      <c r="AX606" s="89"/>
      <c r="AY606" s="89"/>
      <c r="AZ606" s="89"/>
    </row>
    <row r="607" ht="12.75" customHeight="1">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c r="AG607" s="89"/>
      <c r="AH607" s="89"/>
      <c r="AI607" s="89"/>
      <c r="AJ607" s="89"/>
      <c r="AK607" s="89"/>
      <c r="AL607" s="89"/>
      <c r="AM607" s="89"/>
      <c r="AN607" s="89"/>
      <c r="AO607" s="89"/>
      <c r="AP607" s="89"/>
      <c r="AQ607" s="89"/>
      <c r="AR607" s="89"/>
      <c r="AS607" s="89"/>
      <c r="AT607" s="89"/>
      <c r="AU607" s="89"/>
      <c r="AV607" s="89"/>
      <c r="AW607" s="89"/>
      <c r="AX607" s="89"/>
      <c r="AY607" s="89"/>
      <c r="AZ607" s="89"/>
    </row>
    <row r="608" ht="12.75" customHeight="1">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c r="AG608" s="89"/>
      <c r="AH608" s="89"/>
      <c r="AI608" s="89"/>
      <c r="AJ608" s="89"/>
      <c r="AK608" s="89"/>
      <c r="AL608" s="89"/>
      <c r="AM608" s="89"/>
      <c r="AN608" s="89"/>
      <c r="AO608" s="89"/>
      <c r="AP608" s="89"/>
      <c r="AQ608" s="89"/>
      <c r="AR608" s="89"/>
      <c r="AS608" s="89"/>
      <c r="AT608" s="89"/>
      <c r="AU608" s="89"/>
      <c r="AV608" s="89"/>
      <c r="AW608" s="89"/>
      <c r="AX608" s="89"/>
      <c r="AY608" s="89"/>
      <c r="AZ608" s="89"/>
    </row>
    <row r="609" ht="12.75" customHeight="1">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c r="AG609" s="89"/>
      <c r="AH609" s="89"/>
      <c r="AI609" s="89"/>
      <c r="AJ609" s="89"/>
      <c r="AK609" s="89"/>
      <c r="AL609" s="89"/>
      <c r="AM609" s="89"/>
      <c r="AN609" s="89"/>
      <c r="AO609" s="89"/>
      <c r="AP609" s="89"/>
      <c r="AQ609" s="89"/>
      <c r="AR609" s="89"/>
      <c r="AS609" s="89"/>
      <c r="AT609" s="89"/>
      <c r="AU609" s="89"/>
      <c r="AV609" s="89"/>
      <c r="AW609" s="89"/>
      <c r="AX609" s="89"/>
      <c r="AY609" s="89"/>
      <c r="AZ609" s="89"/>
    </row>
    <row r="610" ht="12.75" customHeight="1">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c r="AG610" s="89"/>
      <c r="AH610" s="89"/>
      <c r="AI610" s="89"/>
      <c r="AJ610" s="89"/>
      <c r="AK610" s="89"/>
      <c r="AL610" s="89"/>
      <c r="AM610" s="89"/>
      <c r="AN610" s="89"/>
      <c r="AO610" s="89"/>
      <c r="AP610" s="89"/>
      <c r="AQ610" s="89"/>
      <c r="AR610" s="89"/>
      <c r="AS610" s="89"/>
      <c r="AT610" s="89"/>
      <c r="AU610" s="89"/>
      <c r="AV610" s="89"/>
      <c r="AW610" s="89"/>
      <c r="AX610" s="89"/>
      <c r="AY610" s="89"/>
      <c r="AZ610" s="89"/>
    </row>
    <row r="611" ht="12.75" customHeight="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c r="AG611" s="89"/>
      <c r="AH611" s="89"/>
      <c r="AI611" s="89"/>
      <c r="AJ611" s="89"/>
      <c r="AK611" s="89"/>
      <c r="AL611" s="89"/>
      <c r="AM611" s="89"/>
      <c r="AN611" s="89"/>
      <c r="AO611" s="89"/>
      <c r="AP611" s="89"/>
      <c r="AQ611" s="89"/>
      <c r="AR611" s="89"/>
      <c r="AS611" s="89"/>
      <c r="AT611" s="89"/>
      <c r="AU611" s="89"/>
      <c r="AV611" s="89"/>
      <c r="AW611" s="89"/>
      <c r="AX611" s="89"/>
      <c r="AY611" s="89"/>
      <c r="AZ611" s="89"/>
    </row>
    <row r="612" ht="12.75" customHeight="1">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row>
    <row r="613" ht="12.75" customHeight="1">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c r="AG613" s="89"/>
      <c r="AH613" s="89"/>
      <c r="AI613" s="89"/>
      <c r="AJ613" s="89"/>
      <c r="AK613" s="89"/>
      <c r="AL613" s="89"/>
      <c r="AM613" s="89"/>
      <c r="AN613" s="89"/>
      <c r="AO613" s="89"/>
      <c r="AP613" s="89"/>
      <c r="AQ613" s="89"/>
      <c r="AR613" s="89"/>
      <c r="AS613" s="89"/>
      <c r="AT613" s="89"/>
      <c r="AU613" s="89"/>
      <c r="AV613" s="89"/>
      <c r="AW613" s="89"/>
      <c r="AX613" s="89"/>
      <c r="AY613" s="89"/>
      <c r="AZ613" s="89"/>
    </row>
    <row r="614" ht="12.75" customHeight="1">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c r="AG614" s="89"/>
      <c r="AH614" s="89"/>
      <c r="AI614" s="89"/>
      <c r="AJ614" s="89"/>
      <c r="AK614" s="89"/>
      <c r="AL614" s="89"/>
      <c r="AM614" s="89"/>
      <c r="AN614" s="89"/>
      <c r="AO614" s="89"/>
      <c r="AP614" s="89"/>
      <c r="AQ614" s="89"/>
      <c r="AR614" s="89"/>
      <c r="AS614" s="89"/>
      <c r="AT614" s="89"/>
      <c r="AU614" s="89"/>
      <c r="AV614" s="89"/>
      <c r="AW614" s="89"/>
      <c r="AX614" s="89"/>
      <c r="AY614" s="89"/>
      <c r="AZ614" s="89"/>
    </row>
    <row r="615" ht="12.75" customHeight="1">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c r="AG615" s="89"/>
      <c r="AH615" s="89"/>
      <c r="AI615" s="89"/>
      <c r="AJ615" s="89"/>
      <c r="AK615" s="89"/>
      <c r="AL615" s="89"/>
      <c r="AM615" s="89"/>
      <c r="AN615" s="89"/>
      <c r="AO615" s="89"/>
      <c r="AP615" s="89"/>
      <c r="AQ615" s="89"/>
      <c r="AR615" s="89"/>
      <c r="AS615" s="89"/>
      <c r="AT615" s="89"/>
      <c r="AU615" s="89"/>
      <c r="AV615" s="89"/>
      <c r="AW615" s="89"/>
      <c r="AX615" s="89"/>
      <c r="AY615" s="89"/>
      <c r="AZ615" s="89"/>
    </row>
    <row r="616" ht="12.75" customHeight="1">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c r="AG616" s="89"/>
      <c r="AH616" s="89"/>
      <c r="AI616" s="89"/>
      <c r="AJ616" s="89"/>
      <c r="AK616" s="89"/>
      <c r="AL616" s="89"/>
      <c r="AM616" s="89"/>
      <c r="AN616" s="89"/>
      <c r="AO616" s="89"/>
      <c r="AP616" s="89"/>
      <c r="AQ616" s="89"/>
      <c r="AR616" s="89"/>
      <c r="AS616" s="89"/>
      <c r="AT616" s="89"/>
      <c r="AU616" s="89"/>
      <c r="AV616" s="89"/>
      <c r="AW616" s="89"/>
      <c r="AX616" s="89"/>
      <c r="AY616" s="89"/>
      <c r="AZ616" s="89"/>
    </row>
    <row r="617" ht="12.75" customHeight="1">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c r="AG617" s="89"/>
      <c r="AH617" s="89"/>
      <c r="AI617" s="89"/>
      <c r="AJ617" s="89"/>
      <c r="AK617" s="89"/>
      <c r="AL617" s="89"/>
      <c r="AM617" s="89"/>
      <c r="AN617" s="89"/>
      <c r="AO617" s="89"/>
      <c r="AP617" s="89"/>
      <c r="AQ617" s="89"/>
      <c r="AR617" s="89"/>
      <c r="AS617" s="89"/>
      <c r="AT617" s="89"/>
      <c r="AU617" s="89"/>
      <c r="AV617" s="89"/>
      <c r="AW617" s="89"/>
      <c r="AX617" s="89"/>
      <c r="AY617" s="89"/>
      <c r="AZ617" s="89"/>
    </row>
    <row r="618" ht="12.75" customHeight="1">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row>
    <row r="619" ht="12.75" customHeight="1">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row>
    <row r="620" ht="12.75" customHeight="1">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row>
    <row r="621" ht="12.75" customHeight="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row>
    <row r="622" ht="12.75" customHeight="1">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row>
    <row r="623" ht="12.75" customHeight="1">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row>
    <row r="624" ht="12.75" customHeight="1">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row>
    <row r="625" ht="12.75" customHeight="1">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row>
    <row r="626" ht="12.75" customHeight="1">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row>
    <row r="627" ht="12.75" customHeight="1">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row>
    <row r="628" ht="12.75" customHeight="1">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row>
    <row r="629" ht="12.75" customHeight="1">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c r="AG629" s="89"/>
      <c r="AH629" s="89"/>
      <c r="AI629" s="89"/>
      <c r="AJ629" s="89"/>
      <c r="AK629" s="89"/>
      <c r="AL629" s="89"/>
      <c r="AM629" s="89"/>
      <c r="AN629" s="89"/>
      <c r="AO629" s="89"/>
      <c r="AP629" s="89"/>
      <c r="AQ629" s="89"/>
      <c r="AR629" s="89"/>
      <c r="AS629" s="89"/>
      <c r="AT629" s="89"/>
      <c r="AU629" s="89"/>
      <c r="AV629" s="89"/>
      <c r="AW629" s="89"/>
      <c r="AX629" s="89"/>
      <c r="AY629" s="89"/>
      <c r="AZ629" s="89"/>
    </row>
    <row r="630" ht="12.75" customHeight="1">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c r="AG630" s="89"/>
      <c r="AH630" s="89"/>
      <c r="AI630" s="89"/>
      <c r="AJ630" s="89"/>
      <c r="AK630" s="89"/>
      <c r="AL630" s="89"/>
      <c r="AM630" s="89"/>
      <c r="AN630" s="89"/>
      <c r="AO630" s="89"/>
      <c r="AP630" s="89"/>
      <c r="AQ630" s="89"/>
      <c r="AR630" s="89"/>
      <c r="AS630" s="89"/>
      <c r="AT630" s="89"/>
      <c r="AU630" s="89"/>
      <c r="AV630" s="89"/>
      <c r="AW630" s="89"/>
      <c r="AX630" s="89"/>
      <c r="AY630" s="89"/>
      <c r="AZ630" s="89"/>
    </row>
    <row r="631" ht="12.75" customHeight="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c r="AG631" s="89"/>
      <c r="AH631" s="89"/>
      <c r="AI631" s="89"/>
      <c r="AJ631" s="89"/>
      <c r="AK631" s="89"/>
      <c r="AL631" s="89"/>
      <c r="AM631" s="89"/>
      <c r="AN631" s="89"/>
      <c r="AO631" s="89"/>
      <c r="AP631" s="89"/>
      <c r="AQ631" s="89"/>
      <c r="AR631" s="89"/>
      <c r="AS631" s="89"/>
      <c r="AT631" s="89"/>
      <c r="AU631" s="89"/>
      <c r="AV631" s="89"/>
      <c r="AW631" s="89"/>
      <c r="AX631" s="89"/>
      <c r="AY631" s="89"/>
      <c r="AZ631" s="89"/>
    </row>
    <row r="632" ht="12.75" customHeight="1">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c r="AG632" s="89"/>
      <c r="AH632" s="89"/>
      <c r="AI632" s="89"/>
      <c r="AJ632" s="89"/>
      <c r="AK632" s="89"/>
      <c r="AL632" s="89"/>
      <c r="AM632" s="89"/>
      <c r="AN632" s="89"/>
      <c r="AO632" s="89"/>
      <c r="AP632" s="89"/>
      <c r="AQ632" s="89"/>
      <c r="AR632" s="89"/>
      <c r="AS632" s="89"/>
      <c r="AT632" s="89"/>
      <c r="AU632" s="89"/>
      <c r="AV632" s="89"/>
      <c r="AW632" s="89"/>
      <c r="AX632" s="89"/>
      <c r="AY632" s="89"/>
      <c r="AZ632" s="89"/>
    </row>
    <row r="633" ht="12.75" customHeight="1">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c r="AG633" s="89"/>
      <c r="AH633" s="89"/>
      <c r="AI633" s="89"/>
      <c r="AJ633" s="89"/>
      <c r="AK633" s="89"/>
      <c r="AL633" s="89"/>
      <c r="AM633" s="89"/>
      <c r="AN633" s="89"/>
      <c r="AO633" s="89"/>
      <c r="AP633" s="89"/>
      <c r="AQ633" s="89"/>
      <c r="AR633" s="89"/>
      <c r="AS633" s="89"/>
      <c r="AT633" s="89"/>
      <c r="AU633" s="89"/>
      <c r="AV633" s="89"/>
      <c r="AW633" s="89"/>
      <c r="AX633" s="89"/>
      <c r="AY633" s="89"/>
      <c r="AZ633" s="89"/>
    </row>
    <row r="634" ht="12.75" customHeight="1">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c r="AG634" s="89"/>
      <c r="AH634" s="89"/>
      <c r="AI634" s="89"/>
      <c r="AJ634" s="89"/>
      <c r="AK634" s="89"/>
      <c r="AL634" s="89"/>
      <c r="AM634" s="89"/>
      <c r="AN634" s="89"/>
      <c r="AO634" s="89"/>
      <c r="AP634" s="89"/>
      <c r="AQ634" s="89"/>
      <c r="AR634" s="89"/>
      <c r="AS634" s="89"/>
      <c r="AT634" s="89"/>
      <c r="AU634" s="89"/>
      <c r="AV634" s="89"/>
      <c r="AW634" s="89"/>
      <c r="AX634" s="89"/>
      <c r="AY634" s="89"/>
      <c r="AZ634" s="89"/>
    </row>
    <row r="635" ht="12.75" customHeight="1">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c r="AG635" s="89"/>
      <c r="AH635" s="89"/>
      <c r="AI635" s="89"/>
      <c r="AJ635" s="89"/>
      <c r="AK635" s="89"/>
      <c r="AL635" s="89"/>
      <c r="AM635" s="89"/>
      <c r="AN635" s="89"/>
      <c r="AO635" s="89"/>
      <c r="AP635" s="89"/>
      <c r="AQ635" s="89"/>
      <c r="AR635" s="89"/>
      <c r="AS635" s="89"/>
      <c r="AT635" s="89"/>
      <c r="AU635" s="89"/>
      <c r="AV635" s="89"/>
      <c r="AW635" s="89"/>
      <c r="AX635" s="89"/>
      <c r="AY635" s="89"/>
      <c r="AZ635" s="89"/>
    </row>
    <row r="636" ht="12.75" customHeight="1">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c r="AG636" s="89"/>
      <c r="AH636" s="89"/>
      <c r="AI636" s="89"/>
      <c r="AJ636" s="89"/>
      <c r="AK636" s="89"/>
      <c r="AL636" s="89"/>
      <c r="AM636" s="89"/>
      <c r="AN636" s="89"/>
      <c r="AO636" s="89"/>
      <c r="AP636" s="89"/>
      <c r="AQ636" s="89"/>
      <c r="AR636" s="89"/>
      <c r="AS636" s="89"/>
      <c r="AT636" s="89"/>
      <c r="AU636" s="89"/>
      <c r="AV636" s="89"/>
      <c r="AW636" s="89"/>
      <c r="AX636" s="89"/>
      <c r="AY636" s="89"/>
      <c r="AZ636" s="89"/>
    </row>
    <row r="637" ht="12.75" customHeight="1">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c r="AG637" s="89"/>
      <c r="AH637" s="89"/>
      <c r="AI637" s="89"/>
      <c r="AJ637" s="89"/>
      <c r="AK637" s="89"/>
      <c r="AL637" s="89"/>
      <c r="AM637" s="89"/>
      <c r="AN637" s="89"/>
      <c r="AO637" s="89"/>
      <c r="AP637" s="89"/>
      <c r="AQ637" s="89"/>
      <c r="AR637" s="89"/>
      <c r="AS637" s="89"/>
      <c r="AT637" s="89"/>
      <c r="AU637" s="89"/>
      <c r="AV637" s="89"/>
      <c r="AW637" s="89"/>
      <c r="AX637" s="89"/>
      <c r="AY637" s="89"/>
      <c r="AZ637" s="89"/>
    </row>
    <row r="638" ht="12.75" customHeight="1">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c r="AG638" s="89"/>
      <c r="AH638" s="89"/>
      <c r="AI638" s="89"/>
      <c r="AJ638" s="89"/>
      <c r="AK638" s="89"/>
      <c r="AL638" s="89"/>
      <c r="AM638" s="89"/>
      <c r="AN638" s="89"/>
      <c r="AO638" s="89"/>
      <c r="AP638" s="89"/>
      <c r="AQ638" s="89"/>
      <c r="AR638" s="89"/>
      <c r="AS638" s="89"/>
      <c r="AT638" s="89"/>
      <c r="AU638" s="89"/>
      <c r="AV638" s="89"/>
      <c r="AW638" s="89"/>
      <c r="AX638" s="89"/>
      <c r="AY638" s="89"/>
      <c r="AZ638" s="89"/>
    </row>
    <row r="639" ht="12.75" customHeight="1">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c r="AG639" s="89"/>
      <c r="AH639" s="89"/>
      <c r="AI639" s="89"/>
      <c r="AJ639" s="89"/>
      <c r="AK639" s="89"/>
      <c r="AL639" s="89"/>
      <c r="AM639" s="89"/>
      <c r="AN639" s="89"/>
      <c r="AO639" s="89"/>
      <c r="AP639" s="89"/>
      <c r="AQ639" s="89"/>
      <c r="AR639" s="89"/>
      <c r="AS639" s="89"/>
      <c r="AT639" s="89"/>
      <c r="AU639" s="89"/>
      <c r="AV639" s="89"/>
      <c r="AW639" s="89"/>
      <c r="AX639" s="89"/>
      <c r="AY639" s="89"/>
      <c r="AZ639" s="89"/>
    </row>
    <row r="640" ht="12.75" customHeight="1">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c r="AG640" s="89"/>
      <c r="AH640" s="89"/>
      <c r="AI640" s="89"/>
      <c r="AJ640" s="89"/>
      <c r="AK640" s="89"/>
      <c r="AL640" s="89"/>
      <c r="AM640" s="89"/>
      <c r="AN640" s="89"/>
      <c r="AO640" s="89"/>
      <c r="AP640" s="89"/>
      <c r="AQ640" s="89"/>
      <c r="AR640" s="89"/>
      <c r="AS640" s="89"/>
      <c r="AT640" s="89"/>
      <c r="AU640" s="89"/>
      <c r="AV640" s="89"/>
      <c r="AW640" s="89"/>
      <c r="AX640" s="89"/>
      <c r="AY640" s="89"/>
      <c r="AZ640" s="89"/>
    </row>
    <row r="641" ht="12.75" customHeight="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row>
    <row r="642" ht="12.75" customHeight="1">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c r="AG642" s="89"/>
      <c r="AH642" s="89"/>
      <c r="AI642" s="89"/>
      <c r="AJ642" s="89"/>
      <c r="AK642" s="89"/>
      <c r="AL642" s="89"/>
      <c r="AM642" s="89"/>
      <c r="AN642" s="89"/>
      <c r="AO642" s="89"/>
      <c r="AP642" s="89"/>
      <c r="AQ642" s="89"/>
      <c r="AR642" s="89"/>
      <c r="AS642" s="89"/>
      <c r="AT642" s="89"/>
      <c r="AU642" s="89"/>
      <c r="AV642" s="89"/>
      <c r="AW642" s="89"/>
      <c r="AX642" s="89"/>
      <c r="AY642" s="89"/>
      <c r="AZ642" s="89"/>
    </row>
    <row r="643" ht="12.75" customHeight="1">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row>
    <row r="644" ht="12.75" customHeight="1">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row>
    <row r="645" ht="12.75" customHeight="1">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row>
    <row r="646" ht="12.75" customHeight="1">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row>
    <row r="647" ht="12.75" customHeight="1">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row>
    <row r="648" ht="12.75" customHeight="1">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row>
    <row r="649" ht="12.75" customHeight="1">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row>
    <row r="650" ht="12.75" customHeight="1">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row>
    <row r="651" ht="12.75" customHeight="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row>
    <row r="652" ht="12.75" customHeight="1">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row>
    <row r="653" ht="12.75" customHeight="1">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row>
    <row r="654" ht="12.75" customHeight="1">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c r="AG654" s="89"/>
      <c r="AH654" s="89"/>
      <c r="AI654" s="89"/>
      <c r="AJ654" s="89"/>
      <c r="AK654" s="89"/>
      <c r="AL654" s="89"/>
      <c r="AM654" s="89"/>
      <c r="AN654" s="89"/>
      <c r="AO654" s="89"/>
      <c r="AP654" s="89"/>
      <c r="AQ654" s="89"/>
      <c r="AR654" s="89"/>
      <c r="AS654" s="89"/>
      <c r="AT654" s="89"/>
      <c r="AU654" s="89"/>
      <c r="AV654" s="89"/>
      <c r="AW654" s="89"/>
      <c r="AX654" s="89"/>
      <c r="AY654" s="89"/>
      <c r="AZ654" s="89"/>
    </row>
    <row r="655" ht="12.75" customHeight="1">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c r="AG655" s="89"/>
      <c r="AH655" s="89"/>
      <c r="AI655" s="89"/>
      <c r="AJ655" s="89"/>
      <c r="AK655" s="89"/>
      <c r="AL655" s="89"/>
      <c r="AM655" s="89"/>
      <c r="AN655" s="89"/>
      <c r="AO655" s="89"/>
      <c r="AP655" s="89"/>
      <c r="AQ655" s="89"/>
      <c r="AR655" s="89"/>
      <c r="AS655" s="89"/>
      <c r="AT655" s="89"/>
      <c r="AU655" s="89"/>
      <c r="AV655" s="89"/>
      <c r="AW655" s="89"/>
      <c r="AX655" s="89"/>
      <c r="AY655" s="89"/>
      <c r="AZ655" s="89"/>
    </row>
    <row r="656" ht="12.75" customHeight="1">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row>
    <row r="657" ht="12.75" customHeight="1">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c r="AG657" s="89"/>
      <c r="AH657" s="89"/>
      <c r="AI657" s="89"/>
      <c r="AJ657" s="89"/>
      <c r="AK657" s="89"/>
      <c r="AL657" s="89"/>
      <c r="AM657" s="89"/>
      <c r="AN657" s="89"/>
      <c r="AO657" s="89"/>
      <c r="AP657" s="89"/>
      <c r="AQ657" s="89"/>
      <c r="AR657" s="89"/>
      <c r="AS657" s="89"/>
      <c r="AT657" s="89"/>
      <c r="AU657" s="89"/>
      <c r="AV657" s="89"/>
      <c r="AW657" s="89"/>
      <c r="AX657" s="89"/>
      <c r="AY657" s="89"/>
      <c r="AZ657" s="89"/>
    </row>
    <row r="658" ht="12.75" customHeight="1">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c r="AG658" s="89"/>
      <c r="AH658" s="89"/>
      <c r="AI658" s="89"/>
      <c r="AJ658" s="89"/>
      <c r="AK658" s="89"/>
      <c r="AL658" s="89"/>
      <c r="AM658" s="89"/>
      <c r="AN658" s="89"/>
      <c r="AO658" s="89"/>
      <c r="AP658" s="89"/>
      <c r="AQ658" s="89"/>
      <c r="AR658" s="89"/>
      <c r="AS658" s="89"/>
      <c r="AT658" s="89"/>
      <c r="AU658" s="89"/>
      <c r="AV658" s="89"/>
      <c r="AW658" s="89"/>
      <c r="AX658" s="89"/>
      <c r="AY658" s="89"/>
      <c r="AZ658" s="89"/>
    </row>
    <row r="659" ht="12.75" customHeight="1">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row>
    <row r="660" ht="12.75" customHeight="1">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c r="AG660" s="89"/>
      <c r="AH660" s="89"/>
      <c r="AI660" s="89"/>
      <c r="AJ660" s="89"/>
      <c r="AK660" s="89"/>
      <c r="AL660" s="89"/>
      <c r="AM660" s="89"/>
      <c r="AN660" s="89"/>
      <c r="AO660" s="89"/>
      <c r="AP660" s="89"/>
      <c r="AQ660" s="89"/>
      <c r="AR660" s="89"/>
      <c r="AS660" s="89"/>
      <c r="AT660" s="89"/>
      <c r="AU660" s="89"/>
      <c r="AV660" s="89"/>
      <c r="AW660" s="89"/>
      <c r="AX660" s="89"/>
      <c r="AY660" s="89"/>
      <c r="AZ660" s="89"/>
    </row>
    <row r="661" ht="12.75" customHeight="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c r="AG661" s="89"/>
      <c r="AH661" s="89"/>
      <c r="AI661" s="89"/>
      <c r="AJ661" s="89"/>
      <c r="AK661" s="89"/>
      <c r="AL661" s="89"/>
      <c r="AM661" s="89"/>
      <c r="AN661" s="89"/>
      <c r="AO661" s="89"/>
      <c r="AP661" s="89"/>
      <c r="AQ661" s="89"/>
      <c r="AR661" s="89"/>
      <c r="AS661" s="89"/>
      <c r="AT661" s="89"/>
      <c r="AU661" s="89"/>
      <c r="AV661" s="89"/>
      <c r="AW661" s="89"/>
      <c r="AX661" s="89"/>
      <c r="AY661" s="89"/>
      <c r="AZ661" s="89"/>
    </row>
    <row r="662" ht="12.75" customHeight="1">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row>
    <row r="663" ht="12.75" customHeight="1">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c r="AG663" s="89"/>
      <c r="AH663" s="89"/>
      <c r="AI663" s="89"/>
      <c r="AJ663" s="89"/>
      <c r="AK663" s="89"/>
      <c r="AL663" s="89"/>
      <c r="AM663" s="89"/>
      <c r="AN663" s="89"/>
      <c r="AO663" s="89"/>
      <c r="AP663" s="89"/>
      <c r="AQ663" s="89"/>
      <c r="AR663" s="89"/>
      <c r="AS663" s="89"/>
      <c r="AT663" s="89"/>
      <c r="AU663" s="89"/>
      <c r="AV663" s="89"/>
      <c r="AW663" s="89"/>
      <c r="AX663" s="89"/>
      <c r="AY663" s="89"/>
      <c r="AZ663" s="89"/>
    </row>
    <row r="664" ht="12.75" customHeight="1">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c r="AG664" s="89"/>
      <c r="AH664" s="89"/>
      <c r="AI664" s="89"/>
      <c r="AJ664" s="89"/>
      <c r="AK664" s="89"/>
      <c r="AL664" s="89"/>
      <c r="AM664" s="89"/>
      <c r="AN664" s="89"/>
      <c r="AO664" s="89"/>
      <c r="AP664" s="89"/>
      <c r="AQ664" s="89"/>
      <c r="AR664" s="89"/>
      <c r="AS664" s="89"/>
      <c r="AT664" s="89"/>
      <c r="AU664" s="89"/>
      <c r="AV664" s="89"/>
      <c r="AW664" s="89"/>
      <c r="AX664" s="89"/>
      <c r="AY664" s="89"/>
      <c r="AZ664" s="89"/>
    </row>
    <row r="665" ht="12.75" customHeight="1">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row>
    <row r="666" ht="12.75" customHeight="1">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c r="AG666" s="89"/>
      <c r="AH666" s="89"/>
      <c r="AI666" s="89"/>
      <c r="AJ666" s="89"/>
      <c r="AK666" s="89"/>
      <c r="AL666" s="89"/>
      <c r="AM666" s="89"/>
      <c r="AN666" s="89"/>
      <c r="AO666" s="89"/>
      <c r="AP666" s="89"/>
      <c r="AQ666" s="89"/>
      <c r="AR666" s="89"/>
      <c r="AS666" s="89"/>
      <c r="AT666" s="89"/>
      <c r="AU666" s="89"/>
      <c r="AV666" s="89"/>
      <c r="AW666" s="89"/>
      <c r="AX666" s="89"/>
      <c r="AY666" s="89"/>
      <c r="AZ666" s="89"/>
    </row>
    <row r="667" ht="12.75" customHeight="1">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c r="AG667" s="89"/>
      <c r="AH667" s="89"/>
      <c r="AI667" s="89"/>
      <c r="AJ667" s="89"/>
      <c r="AK667" s="89"/>
      <c r="AL667" s="89"/>
      <c r="AM667" s="89"/>
      <c r="AN667" s="89"/>
      <c r="AO667" s="89"/>
      <c r="AP667" s="89"/>
      <c r="AQ667" s="89"/>
      <c r="AR667" s="89"/>
      <c r="AS667" s="89"/>
      <c r="AT667" s="89"/>
      <c r="AU667" s="89"/>
      <c r="AV667" s="89"/>
      <c r="AW667" s="89"/>
      <c r="AX667" s="89"/>
      <c r="AY667" s="89"/>
      <c r="AZ667" s="89"/>
    </row>
    <row r="668" ht="12.75" customHeight="1">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row>
    <row r="669" ht="12.75" customHeight="1">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row>
    <row r="670" ht="12.75" customHeight="1">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row>
    <row r="671" ht="12.75" customHeight="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row>
    <row r="672" ht="12.75" customHeight="1">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row>
    <row r="673" ht="12.75" customHeight="1">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row>
    <row r="674" ht="12.75" customHeight="1">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row>
    <row r="675" ht="12.75" customHeight="1">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row>
    <row r="676" ht="12.75" customHeight="1">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row>
    <row r="677" ht="12.75" customHeight="1">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row>
    <row r="678" ht="12.75" customHeight="1">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row>
    <row r="679" ht="12.75" customHeight="1">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c r="AG679" s="89"/>
      <c r="AH679" s="89"/>
      <c r="AI679" s="89"/>
      <c r="AJ679" s="89"/>
      <c r="AK679" s="89"/>
      <c r="AL679" s="89"/>
      <c r="AM679" s="89"/>
      <c r="AN679" s="89"/>
      <c r="AO679" s="89"/>
      <c r="AP679" s="89"/>
      <c r="AQ679" s="89"/>
      <c r="AR679" s="89"/>
      <c r="AS679" s="89"/>
      <c r="AT679" s="89"/>
      <c r="AU679" s="89"/>
      <c r="AV679" s="89"/>
      <c r="AW679" s="89"/>
      <c r="AX679" s="89"/>
      <c r="AY679" s="89"/>
      <c r="AZ679" s="89"/>
    </row>
    <row r="680" ht="12.75" customHeight="1">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row>
    <row r="681" ht="12.75" customHeight="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c r="AG681" s="89"/>
      <c r="AH681" s="89"/>
      <c r="AI681" s="89"/>
      <c r="AJ681" s="89"/>
      <c r="AK681" s="89"/>
      <c r="AL681" s="89"/>
      <c r="AM681" s="89"/>
      <c r="AN681" s="89"/>
      <c r="AO681" s="89"/>
      <c r="AP681" s="89"/>
      <c r="AQ681" s="89"/>
      <c r="AR681" s="89"/>
      <c r="AS681" s="89"/>
      <c r="AT681" s="89"/>
      <c r="AU681" s="89"/>
      <c r="AV681" s="89"/>
      <c r="AW681" s="89"/>
      <c r="AX681" s="89"/>
      <c r="AY681" s="89"/>
      <c r="AZ681" s="89"/>
    </row>
    <row r="682" ht="12.75" customHeight="1">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c r="AG682" s="89"/>
      <c r="AH682" s="89"/>
      <c r="AI682" s="89"/>
      <c r="AJ682" s="89"/>
      <c r="AK682" s="89"/>
      <c r="AL682" s="89"/>
      <c r="AM682" s="89"/>
      <c r="AN682" s="89"/>
      <c r="AO682" s="89"/>
      <c r="AP682" s="89"/>
      <c r="AQ682" s="89"/>
      <c r="AR682" s="89"/>
      <c r="AS682" s="89"/>
      <c r="AT682" s="89"/>
      <c r="AU682" s="89"/>
      <c r="AV682" s="89"/>
      <c r="AW682" s="89"/>
      <c r="AX682" s="89"/>
      <c r="AY682" s="89"/>
      <c r="AZ682" s="89"/>
    </row>
    <row r="683" ht="12.75" customHeight="1">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row>
    <row r="684" ht="12.75" customHeight="1">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row>
    <row r="685" ht="12.75" customHeight="1">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c r="AG685" s="89"/>
      <c r="AH685" s="89"/>
      <c r="AI685" s="89"/>
      <c r="AJ685" s="89"/>
      <c r="AK685" s="89"/>
      <c r="AL685" s="89"/>
      <c r="AM685" s="89"/>
      <c r="AN685" s="89"/>
      <c r="AO685" s="89"/>
      <c r="AP685" s="89"/>
      <c r="AQ685" s="89"/>
      <c r="AR685" s="89"/>
      <c r="AS685" s="89"/>
      <c r="AT685" s="89"/>
      <c r="AU685" s="89"/>
      <c r="AV685" s="89"/>
      <c r="AW685" s="89"/>
      <c r="AX685" s="89"/>
      <c r="AY685" s="89"/>
      <c r="AZ685" s="89"/>
    </row>
    <row r="686" ht="12.75" customHeight="1">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row>
    <row r="687" ht="12.75" customHeight="1">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c r="AG687" s="89"/>
      <c r="AH687" s="89"/>
      <c r="AI687" s="89"/>
      <c r="AJ687" s="89"/>
      <c r="AK687" s="89"/>
      <c r="AL687" s="89"/>
      <c r="AM687" s="89"/>
      <c r="AN687" s="89"/>
      <c r="AO687" s="89"/>
      <c r="AP687" s="89"/>
      <c r="AQ687" s="89"/>
      <c r="AR687" s="89"/>
      <c r="AS687" s="89"/>
      <c r="AT687" s="89"/>
      <c r="AU687" s="89"/>
      <c r="AV687" s="89"/>
      <c r="AW687" s="89"/>
      <c r="AX687" s="89"/>
      <c r="AY687" s="89"/>
      <c r="AZ687" s="89"/>
    </row>
    <row r="688" ht="12.75" customHeight="1">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c r="AG688" s="89"/>
      <c r="AH688" s="89"/>
      <c r="AI688" s="89"/>
      <c r="AJ688" s="89"/>
      <c r="AK688" s="89"/>
      <c r="AL688" s="89"/>
      <c r="AM688" s="89"/>
      <c r="AN688" s="89"/>
      <c r="AO688" s="89"/>
      <c r="AP688" s="89"/>
      <c r="AQ688" s="89"/>
      <c r="AR688" s="89"/>
      <c r="AS688" s="89"/>
      <c r="AT688" s="89"/>
      <c r="AU688" s="89"/>
      <c r="AV688" s="89"/>
      <c r="AW688" s="89"/>
      <c r="AX688" s="89"/>
      <c r="AY688" s="89"/>
      <c r="AZ688" s="89"/>
    </row>
    <row r="689" ht="12.75" customHeight="1">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row>
    <row r="690" ht="12.75" customHeight="1">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c r="AG690" s="89"/>
      <c r="AH690" s="89"/>
      <c r="AI690" s="89"/>
      <c r="AJ690" s="89"/>
      <c r="AK690" s="89"/>
      <c r="AL690" s="89"/>
      <c r="AM690" s="89"/>
      <c r="AN690" s="89"/>
      <c r="AO690" s="89"/>
      <c r="AP690" s="89"/>
      <c r="AQ690" s="89"/>
      <c r="AR690" s="89"/>
      <c r="AS690" s="89"/>
      <c r="AT690" s="89"/>
      <c r="AU690" s="89"/>
      <c r="AV690" s="89"/>
      <c r="AW690" s="89"/>
      <c r="AX690" s="89"/>
      <c r="AY690" s="89"/>
      <c r="AZ690" s="89"/>
    </row>
    <row r="691" ht="12.75" customHeight="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c r="AG691" s="89"/>
      <c r="AH691" s="89"/>
      <c r="AI691" s="89"/>
      <c r="AJ691" s="89"/>
      <c r="AK691" s="89"/>
      <c r="AL691" s="89"/>
      <c r="AM691" s="89"/>
      <c r="AN691" s="89"/>
      <c r="AO691" s="89"/>
      <c r="AP691" s="89"/>
      <c r="AQ691" s="89"/>
      <c r="AR691" s="89"/>
      <c r="AS691" s="89"/>
      <c r="AT691" s="89"/>
      <c r="AU691" s="89"/>
      <c r="AV691" s="89"/>
      <c r="AW691" s="89"/>
      <c r="AX691" s="89"/>
      <c r="AY691" s="89"/>
      <c r="AZ691" s="89"/>
    </row>
    <row r="692" ht="12.75" customHeight="1">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row>
    <row r="693" ht="12.75" customHeight="1">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row>
    <row r="694" ht="12.75" customHeight="1">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row>
    <row r="695" ht="12.75" customHeight="1">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row>
    <row r="696" ht="12.75" customHeight="1">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row>
    <row r="697" ht="12.75" customHeight="1">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row>
    <row r="698" ht="12.75" customHeight="1">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row>
    <row r="699" ht="12.75" customHeight="1">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row>
    <row r="700" ht="12.75" customHeight="1">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row>
    <row r="701" ht="12.75" customHeight="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row>
    <row r="702" ht="12.75" customHeight="1">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row>
    <row r="703" ht="12.75" customHeight="1">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row>
    <row r="704" ht="12.75" customHeight="1">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row>
    <row r="705" ht="12.75" customHeight="1">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c r="AG705" s="89"/>
      <c r="AH705" s="89"/>
      <c r="AI705" s="89"/>
      <c r="AJ705" s="89"/>
      <c r="AK705" s="89"/>
      <c r="AL705" s="89"/>
      <c r="AM705" s="89"/>
      <c r="AN705" s="89"/>
      <c r="AO705" s="89"/>
      <c r="AP705" s="89"/>
      <c r="AQ705" s="89"/>
      <c r="AR705" s="89"/>
      <c r="AS705" s="89"/>
      <c r="AT705" s="89"/>
      <c r="AU705" s="89"/>
      <c r="AV705" s="89"/>
      <c r="AW705" s="89"/>
      <c r="AX705" s="89"/>
      <c r="AY705" s="89"/>
      <c r="AZ705" s="89"/>
    </row>
    <row r="706" ht="12.75" customHeight="1">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c r="AG706" s="89"/>
      <c r="AH706" s="89"/>
      <c r="AI706" s="89"/>
      <c r="AJ706" s="89"/>
      <c r="AK706" s="89"/>
      <c r="AL706" s="89"/>
      <c r="AM706" s="89"/>
      <c r="AN706" s="89"/>
      <c r="AO706" s="89"/>
      <c r="AP706" s="89"/>
      <c r="AQ706" s="89"/>
      <c r="AR706" s="89"/>
      <c r="AS706" s="89"/>
      <c r="AT706" s="89"/>
      <c r="AU706" s="89"/>
      <c r="AV706" s="89"/>
      <c r="AW706" s="89"/>
      <c r="AX706" s="89"/>
      <c r="AY706" s="89"/>
      <c r="AZ706" s="89"/>
    </row>
    <row r="707" ht="12.75" customHeight="1">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row>
    <row r="708" ht="12.75" customHeight="1">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c r="AG708" s="89"/>
      <c r="AH708" s="89"/>
      <c r="AI708" s="89"/>
      <c r="AJ708" s="89"/>
      <c r="AK708" s="89"/>
      <c r="AL708" s="89"/>
      <c r="AM708" s="89"/>
      <c r="AN708" s="89"/>
      <c r="AO708" s="89"/>
      <c r="AP708" s="89"/>
      <c r="AQ708" s="89"/>
      <c r="AR708" s="89"/>
      <c r="AS708" s="89"/>
      <c r="AT708" s="89"/>
      <c r="AU708" s="89"/>
      <c r="AV708" s="89"/>
      <c r="AW708" s="89"/>
      <c r="AX708" s="89"/>
      <c r="AY708" s="89"/>
      <c r="AZ708" s="89"/>
    </row>
    <row r="709" ht="12.75" customHeight="1">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c r="AG709" s="89"/>
      <c r="AH709" s="89"/>
      <c r="AI709" s="89"/>
      <c r="AJ709" s="89"/>
      <c r="AK709" s="89"/>
      <c r="AL709" s="89"/>
      <c r="AM709" s="89"/>
      <c r="AN709" s="89"/>
      <c r="AO709" s="89"/>
      <c r="AP709" s="89"/>
      <c r="AQ709" s="89"/>
      <c r="AR709" s="89"/>
      <c r="AS709" s="89"/>
      <c r="AT709" s="89"/>
      <c r="AU709" s="89"/>
      <c r="AV709" s="89"/>
      <c r="AW709" s="89"/>
      <c r="AX709" s="89"/>
      <c r="AY709" s="89"/>
      <c r="AZ709" s="89"/>
    </row>
    <row r="710" ht="12.75" customHeight="1">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row>
    <row r="711" ht="12.75" customHeight="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c r="AG711" s="89"/>
      <c r="AH711" s="89"/>
      <c r="AI711" s="89"/>
      <c r="AJ711" s="89"/>
      <c r="AK711" s="89"/>
      <c r="AL711" s="89"/>
      <c r="AM711" s="89"/>
      <c r="AN711" s="89"/>
      <c r="AO711" s="89"/>
      <c r="AP711" s="89"/>
      <c r="AQ711" s="89"/>
      <c r="AR711" s="89"/>
      <c r="AS711" s="89"/>
      <c r="AT711" s="89"/>
      <c r="AU711" s="89"/>
      <c r="AV711" s="89"/>
      <c r="AW711" s="89"/>
      <c r="AX711" s="89"/>
      <c r="AY711" s="89"/>
      <c r="AZ711" s="89"/>
    </row>
    <row r="712" ht="12.75" customHeight="1">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c r="AG712" s="89"/>
      <c r="AH712" s="89"/>
      <c r="AI712" s="89"/>
      <c r="AJ712" s="89"/>
      <c r="AK712" s="89"/>
      <c r="AL712" s="89"/>
      <c r="AM712" s="89"/>
      <c r="AN712" s="89"/>
      <c r="AO712" s="89"/>
      <c r="AP712" s="89"/>
      <c r="AQ712" s="89"/>
      <c r="AR712" s="89"/>
      <c r="AS712" s="89"/>
      <c r="AT712" s="89"/>
      <c r="AU712" s="89"/>
      <c r="AV712" s="89"/>
      <c r="AW712" s="89"/>
      <c r="AX712" s="89"/>
      <c r="AY712" s="89"/>
      <c r="AZ712" s="89"/>
    </row>
    <row r="713" ht="12.75" customHeight="1">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row>
    <row r="714" ht="12.75" customHeight="1">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89"/>
      <c r="AK714" s="89"/>
      <c r="AL714" s="89"/>
      <c r="AM714" s="89"/>
      <c r="AN714" s="89"/>
      <c r="AO714" s="89"/>
      <c r="AP714" s="89"/>
      <c r="AQ714" s="89"/>
      <c r="AR714" s="89"/>
      <c r="AS714" s="89"/>
      <c r="AT714" s="89"/>
      <c r="AU714" s="89"/>
      <c r="AV714" s="89"/>
      <c r="AW714" s="89"/>
      <c r="AX714" s="89"/>
      <c r="AY714" s="89"/>
      <c r="AZ714" s="89"/>
    </row>
    <row r="715" ht="12.75" customHeight="1">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c r="AG715" s="89"/>
      <c r="AH715" s="89"/>
      <c r="AI715" s="89"/>
      <c r="AJ715" s="89"/>
      <c r="AK715" s="89"/>
      <c r="AL715" s="89"/>
      <c r="AM715" s="89"/>
      <c r="AN715" s="89"/>
      <c r="AO715" s="89"/>
      <c r="AP715" s="89"/>
      <c r="AQ715" s="89"/>
      <c r="AR715" s="89"/>
      <c r="AS715" s="89"/>
      <c r="AT715" s="89"/>
      <c r="AU715" s="89"/>
      <c r="AV715" s="89"/>
      <c r="AW715" s="89"/>
      <c r="AX715" s="89"/>
      <c r="AY715" s="89"/>
      <c r="AZ715" s="89"/>
    </row>
    <row r="716" ht="12.75" customHeight="1">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row>
    <row r="717" ht="12.75" customHeight="1">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c r="AG717" s="89"/>
      <c r="AH717" s="89"/>
      <c r="AI717" s="89"/>
      <c r="AJ717" s="89"/>
      <c r="AK717" s="89"/>
      <c r="AL717" s="89"/>
      <c r="AM717" s="89"/>
      <c r="AN717" s="89"/>
      <c r="AO717" s="89"/>
      <c r="AP717" s="89"/>
      <c r="AQ717" s="89"/>
      <c r="AR717" s="89"/>
      <c r="AS717" s="89"/>
      <c r="AT717" s="89"/>
      <c r="AU717" s="89"/>
      <c r="AV717" s="89"/>
      <c r="AW717" s="89"/>
      <c r="AX717" s="89"/>
      <c r="AY717" s="89"/>
      <c r="AZ717" s="89"/>
    </row>
    <row r="718" ht="12.75" customHeight="1">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row>
    <row r="719" ht="12.75" customHeight="1">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row>
    <row r="720" ht="12.75" customHeight="1">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row>
    <row r="721" ht="12.75" customHeight="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row>
    <row r="722" ht="12.75" customHeight="1">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row>
    <row r="723" ht="12.75" customHeight="1">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row>
    <row r="724" ht="12.75" customHeight="1">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row>
    <row r="725" ht="12.75" customHeight="1">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row>
    <row r="726" ht="12.75" customHeight="1">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row>
    <row r="727" ht="12.75" customHeight="1">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row>
    <row r="728" ht="12.75" customHeight="1">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row>
    <row r="729" ht="12.75" customHeight="1">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c r="AG729" s="89"/>
      <c r="AH729" s="89"/>
      <c r="AI729" s="89"/>
      <c r="AJ729" s="89"/>
      <c r="AK729" s="89"/>
      <c r="AL729" s="89"/>
      <c r="AM729" s="89"/>
      <c r="AN729" s="89"/>
      <c r="AO729" s="89"/>
      <c r="AP729" s="89"/>
      <c r="AQ729" s="89"/>
      <c r="AR729" s="89"/>
      <c r="AS729" s="89"/>
      <c r="AT729" s="89"/>
      <c r="AU729" s="89"/>
      <c r="AV729" s="89"/>
      <c r="AW729" s="89"/>
      <c r="AX729" s="89"/>
      <c r="AY729" s="89"/>
      <c r="AZ729" s="89"/>
    </row>
    <row r="730" ht="12.75" customHeight="1">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c r="AG730" s="89"/>
      <c r="AH730" s="89"/>
      <c r="AI730" s="89"/>
      <c r="AJ730" s="89"/>
      <c r="AK730" s="89"/>
      <c r="AL730" s="89"/>
      <c r="AM730" s="89"/>
      <c r="AN730" s="89"/>
      <c r="AO730" s="89"/>
      <c r="AP730" s="89"/>
      <c r="AQ730" s="89"/>
      <c r="AR730" s="89"/>
      <c r="AS730" s="89"/>
      <c r="AT730" s="89"/>
      <c r="AU730" s="89"/>
      <c r="AV730" s="89"/>
      <c r="AW730" s="89"/>
      <c r="AX730" s="89"/>
      <c r="AY730" s="89"/>
      <c r="AZ730" s="89"/>
    </row>
    <row r="731" ht="12.75" customHeight="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row>
    <row r="732" ht="12.75" customHeight="1">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c r="AG732" s="89"/>
      <c r="AH732" s="89"/>
      <c r="AI732" s="89"/>
      <c r="AJ732" s="89"/>
      <c r="AK732" s="89"/>
      <c r="AL732" s="89"/>
      <c r="AM732" s="89"/>
      <c r="AN732" s="89"/>
      <c r="AO732" s="89"/>
      <c r="AP732" s="89"/>
      <c r="AQ732" s="89"/>
      <c r="AR732" s="89"/>
      <c r="AS732" s="89"/>
      <c r="AT732" s="89"/>
      <c r="AU732" s="89"/>
      <c r="AV732" s="89"/>
      <c r="AW732" s="89"/>
      <c r="AX732" s="89"/>
      <c r="AY732" s="89"/>
      <c r="AZ732" s="89"/>
    </row>
    <row r="733" ht="12.75" customHeight="1">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c r="AG733" s="89"/>
      <c r="AH733" s="89"/>
      <c r="AI733" s="89"/>
      <c r="AJ733" s="89"/>
      <c r="AK733" s="89"/>
      <c r="AL733" s="89"/>
      <c r="AM733" s="89"/>
      <c r="AN733" s="89"/>
      <c r="AO733" s="89"/>
      <c r="AP733" s="89"/>
      <c r="AQ733" s="89"/>
      <c r="AR733" s="89"/>
      <c r="AS733" s="89"/>
      <c r="AT733" s="89"/>
      <c r="AU733" s="89"/>
      <c r="AV733" s="89"/>
      <c r="AW733" s="89"/>
      <c r="AX733" s="89"/>
      <c r="AY733" s="89"/>
      <c r="AZ733" s="89"/>
    </row>
    <row r="734" ht="12.75" customHeight="1">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row>
    <row r="735" ht="12.75" customHeight="1">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c r="AG735" s="89"/>
      <c r="AH735" s="89"/>
      <c r="AI735" s="89"/>
      <c r="AJ735" s="89"/>
      <c r="AK735" s="89"/>
      <c r="AL735" s="89"/>
      <c r="AM735" s="89"/>
      <c r="AN735" s="89"/>
      <c r="AO735" s="89"/>
      <c r="AP735" s="89"/>
      <c r="AQ735" s="89"/>
      <c r="AR735" s="89"/>
      <c r="AS735" s="89"/>
      <c r="AT735" s="89"/>
      <c r="AU735" s="89"/>
      <c r="AV735" s="89"/>
      <c r="AW735" s="89"/>
      <c r="AX735" s="89"/>
      <c r="AY735" s="89"/>
      <c r="AZ735" s="89"/>
    </row>
    <row r="736" ht="12.75" customHeight="1">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c r="AG736" s="89"/>
      <c r="AH736" s="89"/>
      <c r="AI736" s="89"/>
      <c r="AJ736" s="89"/>
      <c r="AK736" s="89"/>
      <c r="AL736" s="89"/>
      <c r="AM736" s="89"/>
      <c r="AN736" s="89"/>
      <c r="AO736" s="89"/>
      <c r="AP736" s="89"/>
      <c r="AQ736" s="89"/>
      <c r="AR736" s="89"/>
      <c r="AS736" s="89"/>
      <c r="AT736" s="89"/>
      <c r="AU736" s="89"/>
      <c r="AV736" s="89"/>
      <c r="AW736" s="89"/>
      <c r="AX736" s="89"/>
      <c r="AY736" s="89"/>
      <c r="AZ736" s="89"/>
    </row>
    <row r="737" ht="12.75" customHeight="1">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row>
    <row r="738" ht="12.75" customHeight="1">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c r="AG738" s="89"/>
      <c r="AH738" s="89"/>
      <c r="AI738" s="89"/>
      <c r="AJ738" s="89"/>
      <c r="AK738" s="89"/>
      <c r="AL738" s="89"/>
      <c r="AM738" s="89"/>
      <c r="AN738" s="89"/>
      <c r="AO738" s="89"/>
      <c r="AP738" s="89"/>
      <c r="AQ738" s="89"/>
      <c r="AR738" s="89"/>
      <c r="AS738" s="89"/>
      <c r="AT738" s="89"/>
      <c r="AU738" s="89"/>
      <c r="AV738" s="89"/>
      <c r="AW738" s="89"/>
      <c r="AX738" s="89"/>
      <c r="AY738" s="89"/>
      <c r="AZ738" s="89"/>
    </row>
    <row r="739" ht="12.75" customHeight="1">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c r="AG739" s="89"/>
      <c r="AH739" s="89"/>
      <c r="AI739" s="89"/>
      <c r="AJ739" s="89"/>
      <c r="AK739" s="89"/>
      <c r="AL739" s="89"/>
      <c r="AM739" s="89"/>
      <c r="AN739" s="89"/>
      <c r="AO739" s="89"/>
      <c r="AP739" s="89"/>
      <c r="AQ739" s="89"/>
      <c r="AR739" s="89"/>
      <c r="AS739" s="89"/>
      <c r="AT739" s="89"/>
      <c r="AU739" s="89"/>
      <c r="AV739" s="89"/>
      <c r="AW739" s="89"/>
      <c r="AX739" s="89"/>
      <c r="AY739" s="89"/>
      <c r="AZ739" s="89"/>
    </row>
    <row r="740" ht="12.75" customHeight="1">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row>
    <row r="741" ht="12.75" customHeight="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c r="AG741" s="89"/>
      <c r="AH741" s="89"/>
      <c r="AI741" s="89"/>
      <c r="AJ741" s="89"/>
      <c r="AK741" s="89"/>
      <c r="AL741" s="89"/>
      <c r="AM741" s="89"/>
      <c r="AN741" s="89"/>
      <c r="AO741" s="89"/>
      <c r="AP741" s="89"/>
      <c r="AQ741" s="89"/>
      <c r="AR741" s="89"/>
      <c r="AS741" s="89"/>
      <c r="AT741" s="89"/>
      <c r="AU741" s="89"/>
      <c r="AV741" s="89"/>
      <c r="AW741" s="89"/>
      <c r="AX741" s="89"/>
      <c r="AY741" s="89"/>
      <c r="AZ741" s="89"/>
    </row>
    <row r="742" ht="12.75" customHeight="1">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c r="AG742" s="89"/>
      <c r="AH742" s="89"/>
      <c r="AI742" s="89"/>
      <c r="AJ742" s="89"/>
      <c r="AK742" s="89"/>
      <c r="AL742" s="89"/>
      <c r="AM742" s="89"/>
      <c r="AN742" s="89"/>
      <c r="AO742" s="89"/>
      <c r="AP742" s="89"/>
      <c r="AQ742" s="89"/>
      <c r="AR742" s="89"/>
      <c r="AS742" s="89"/>
      <c r="AT742" s="89"/>
      <c r="AU742" s="89"/>
      <c r="AV742" s="89"/>
      <c r="AW742" s="89"/>
      <c r="AX742" s="89"/>
      <c r="AY742" s="89"/>
      <c r="AZ742" s="89"/>
    </row>
    <row r="743" ht="12.75" customHeight="1">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row>
    <row r="744" ht="12.75" customHeight="1">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row>
    <row r="745" ht="12.75" customHeight="1">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row>
    <row r="746" ht="12.75" customHeight="1">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row>
    <row r="747" ht="12.75" customHeight="1">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row>
    <row r="748" ht="12.75" customHeight="1">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row>
    <row r="749" ht="12.75" customHeight="1">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row>
    <row r="750" ht="12.75" customHeight="1">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row>
    <row r="751" ht="12.75" customHeight="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row>
    <row r="752" ht="12.75" customHeight="1">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row>
    <row r="753" ht="12.75" customHeight="1">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row>
    <row r="754" ht="12.75" customHeight="1">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c r="AG754" s="89"/>
      <c r="AH754" s="89"/>
      <c r="AI754" s="89"/>
      <c r="AJ754" s="89"/>
      <c r="AK754" s="89"/>
      <c r="AL754" s="89"/>
      <c r="AM754" s="89"/>
      <c r="AN754" s="89"/>
      <c r="AO754" s="89"/>
      <c r="AP754" s="89"/>
      <c r="AQ754" s="89"/>
      <c r="AR754" s="89"/>
      <c r="AS754" s="89"/>
      <c r="AT754" s="89"/>
      <c r="AU754" s="89"/>
      <c r="AV754" s="89"/>
      <c r="AW754" s="89"/>
      <c r="AX754" s="89"/>
      <c r="AY754" s="89"/>
      <c r="AZ754" s="89"/>
    </row>
    <row r="755" ht="12.75" customHeight="1">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row>
    <row r="756" ht="12.75" customHeight="1">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c r="AG756" s="89"/>
      <c r="AH756" s="89"/>
      <c r="AI756" s="89"/>
      <c r="AJ756" s="89"/>
      <c r="AK756" s="89"/>
      <c r="AL756" s="89"/>
      <c r="AM756" s="89"/>
      <c r="AN756" s="89"/>
      <c r="AO756" s="89"/>
      <c r="AP756" s="89"/>
      <c r="AQ756" s="89"/>
      <c r="AR756" s="89"/>
      <c r="AS756" s="89"/>
      <c r="AT756" s="89"/>
      <c r="AU756" s="89"/>
      <c r="AV756" s="89"/>
      <c r="AW756" s="89"/>
      <c r="AX756" s="89"/>
      <c r="AY756" s="89"/>
      <c r="AZ756" s="89"/>
    </row>
    <row r="757" ht="12.75" customHeight="1">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c r="AG757" s="89"/>
      <c r="AH757" s="89"/>
      <c r="AI757" s="89"/>
      <c r="AJ757" s="89"/>
      <c r="AK757" s="89"/>
      <c r="AL757" s="89"/>
      <c r="AM757" s="89"/>
      <c r="AN757" s="89"/>
      <c r="AO757" s="89"/>
      <c r="AP757" s="89"/>
      <c r="AQ757" s="89"/>
      <c r="AR757" s="89"/>
      <c r="AS757" s="89"/>
      <c r="AT757" s="89"/>
      <c r="AU757" s="89"/>
      <c r="AV757" s="89"/>
      <c r="AW757" s="89"/>
      <c r="AX757" s="89"/>
      <c r="AY757" s="89"/>
      <c r="AZ757" s="89"/>
    </row>
    <row r="758" ht="12.75" customHeight="1">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row>
    <row r="759" ht="12.75" customHeight="1">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c r="AG759" s="89"/>
      <c r="AH759" s="89"/>
      <c r="AI759" s="89"/>
      <c r="AJ759" s="89"/>
      <c r="AK759" s="89"/>
      <c r="AL759" s="89"/>
      <c r="AM759" s="89"/>
      <c r="AN759" s="89"/>
      <c r="AO759" s="89"/>
      <c r="AP759" s="89"/>
      <c r="AQ759" s="89"/>
      <c r="AR759" s="89"/>
      <c r="AS759" s="89"/>
      <c r="AT759" s="89"/>
      <c r="AU759" s="89"/>
      <c r="AV759" s="89"/>
      <c r="AW759" s="89"/>
      <c r="AX759" s="89"/>
      <c r="AY759" s="89"/>
      <c r="AZ759" s="89"/>
    </row>
    <row r="760" ht="12.75" customHeight="1">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c r="AG760" s="89"/>
      <c r="AH760" s="89"/>
      <c r="AI760" s="89"/>
      <c r="AJ760" s="89"/>
      <c r="AK760" s="89"/>
      <c r="AL760" s="89"/>
      <c r="AM760" s="89"/>
      <c r="AN760" s="89"/>
      <c r="AO760" s="89"/>
      <c r="AP760" s="89"/>
      <c r="AQ760" s="89"/>
      <c r="AR760" s="89"/>
      <c r="AS760" s="89"/>
      <c r="AT760" s="89"/>
      <c r="AU760" s="89"/>
      <c r="AV760" s="89"/>
      <c r="AW760" s="89"/>
      <c r="AX760" s="89"/>
      <c r="AY760" s="89"/>
      <c r="AZ760" s="89"/>
    </row>
    <row r="761" ht="12.75" customHeight="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row>
    <row r="762" ht="12.75" customHeight="1">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c r="AG762" s="89"/>
      <c r="AH762" s="89"/>
      <c r="AI762" s="89"/>
      <c r="AJ762" s="89"/>
      <c r="AK762" s="89"/>
      <c r="AL762" s="89"/>
      <c r="AM762" s="89"/>
      <c r="AN762" s="89"/>
      <c r="AO762" s="89"/>
      <c r="AP762" s="89"/>
      <c r="AQ762" s="89"/>
      <c r="AR762" s="89"/>
      <c r="AS762" s="89"/>
      <c r="AT762" s="89"/>
      <c r="AU762" s="89"/>
      <c r="AV762" s="89"/>
      <c r="AW762" s="89"/>
      <c r="AX762" s="89"/>
      <c r="AY762" s="89"/>
      <c r="AZ762" s="89"/>
    </row>
    <row r="763" ht="12.75" customHeight="1">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c r="AG763" s="89"/>
      <c r="AH763" s="89"/>
      <c r="AI763" s="89"/>
      <c r="AJ763" s="89"/>
      <c r="AK763" s="89"/>
      <c r="AL763" s="89"/>
      <c r="AM763" s="89"/>
      <c r="AN763" s="89"/>
      <c r="AO763" s="89"/>
      <c r="AP763" s="89"/>
      <c r="AQ763" s="89"/>
      <c r="AR763" s="89"/>
      <c r="AS763" s="89"/>
      <c r="AT763" s="89"/>
      <c r="AU763" s="89"/>
      <c r="AV763" s="89"/>
      <c r="AW763" s="89"/>
      <c r="AX763" s="89"/>
      <c r="AY763" s="89"/>
      <c r="AZ763" s="89"/>
    </row>
    <row r="764" ht="12.75" customHeight="1">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row>
    <row r="765" ht="12.75" customHeight="1">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c r="AG765" s="89"/>
      <c r="AH765" s="89"/>
      <c r="AI765" s="89"/>
      <c r="AJ765" s="89"/>
      <c r="AK765" s="89"/>
      <c r="AL765" s="89"/>
      <c r="AM765" s="89"/>
      <c r="AN765" s="89"/>
      <c r="AO765" s="89"/>
      <c r="AP765" s="89"/>
      <c r="AQ765" s="89"/>
      <c r="AR765" s="89"/>
      <c r="AS765" s="89"/>
      <c r="AT765" s="89"/>
      <c r="AU765" s="89"/>
      <c r="AV765" s="89"/>
      <c r="AW765" s="89"/>
      <c r="AX765" s="89"/>
      <c r="AY765" s="89"/>
      <c r="AZ765" s="89"/>
    </row>
    <row r="766" ht="12.75" customHeight="1">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c r="AG766" s="89"/>
      <c r="AH766" s="89"/>
      <c r="AI766" s="89"/>
      <c r="AJ766" s="89"/>
      <c r="AK766" s="89"/>
      <c r="AL766" s="89"/>
      <c r="AM766" s="89"/>
      <c r="AN766" s="89"/>
      <c r="AO766" s="89"/>
      <c r="AP766" s="89"/>
      <c r="AQ766" s="89"/>
      <c r="AR766" s="89"/>
      <c r="AS766" s="89"/>
      <c r="AT766" s="89"/>
      <c r="AU766" s="89"/>
      <c r="AV766" s="89"/>
      <c r="AW766" s="89"/>
      <c r="AX766" s="89"/>
      <c r="AY766" s="89"/>
      <c r="AZ766" s="89"/>
    </row>
    <row r="767" ht="12.75" customHeight="1">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row>
    <row r="768" ht="12.75" customHeight="1">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row>
    <row r="769" ht="12.75" customHeight="1">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row>
    <row r="770" ht="12.75" customHeight="1">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row>
    <row r="771" ht="12.75" customHeight="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row>
    <row r="772" ht="12.75" customHeight="1">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row>
    <row r="773" ht="12.75" customHeight="1">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row>
    <row r="774" ht="12.75" customHeight="1">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row>
    <row r="775" ht="12.75" customHeight="1">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row>
    <row r="776" ht="12.75" customHeight="1">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row>
    <row r="777" ht="12.75" customHeight="1">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row>
    <row r="778" ht="12.75" customHeight="1">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row>
    <row r="779" ht="12.75" customHeight="1">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row>
    <row r="780" ht="12.75" customHeight="1">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row>
    <row r="781" ht="12.75" customHeight="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c r="AG781" s="89"/>
      <c r="AH781" s="89"/>
      <c r="AI781" s="89"/>
      <c r="AJ781" s="89"/>
      <c r="AK781" s="89"/>
      <c r="AL781" s="89"/>
      <c r="AM781" s="89"/>
      <c r="AN781" s="89"/>
      <c r="AO781" s="89"/>
      <c r="AP781" s="89"/>
      <c r="AQ781" s="89"/>
      <c r="AR781" s="89"/>
      <c r="AS781" s="89"/>
      <c r="AT781" s="89"/>
      <c r="AU781" s="89"/>
      <c r="AV781" s="89"/>
      <c r="AW781" s="89"/>
      <c r="AX781" s="89"/>
      <c r="AY781" s="89"/>
      <c r="AZ781" s="89"/>
    </row>
    <row r="782" ht="12.75" customHeight="1">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row>
    <row r="783" ht="12.75" customHeight="1">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c r="AG783" s="89"/>
      <c r="AH783" s="89"/>
      <c r="AI783" s="89"/>
      <c r="AJ783" s="89"/>
      <c r="AK783" s="89"/>
      <c r="AL783" s="89"/>
      <c r="AM783" s="89"/>
      <c r="AN783" s="89"/>
      <c r="AO783" s="89"/>
      <c r="AP783" s="89"/>
      <c r="AQ783" s="89"/>
      <c r="AR783" s="89"/>
      <c r="AS783" s="89"/>
      <c r="AT783" s="89"/>
      <c r="AU783" s="89"/>
      <c r="AV783" s="89"/>
      <c r="AW783" s="89"/>
      <c r="AX783" s="89"/>
      <c r="AY783" s="89"/>
      <c r="AZ783" s="89"/>
    </row>
    <row r="784" ht="12.75" customHeight="1">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c r="AS784" s="89"/>
      <c r="AT784" s="89"/>
      <c r="AU784" s="89"/>
      <c r="AV784" s="89"/>
      <c r="AW784" s="89"/>
      <c r="AX784" s="89"/>
      <c r="AY784" s="89"/>
      <c r="AZ784" s="89"/>
    </row>
    <row r="785" ht="12.75" customHeight="1">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row>
    <row r="786" ht="12.75" customHeight="1">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c r="AG786" s="89"/>
      <c r="AH786" s="89"/>
      <c r="AI786" s="89"/>
      <c r="AJ786" s="89"/>
      <c r="AK786" s="89"/>
      <c r="AL786" s="89"/>
      <c r="AM786" s="89"/>
      <c r="AN786" s="89"/>
      <c r="AO786" s="89"/>
      <c r="AP786" s="89"/>
      <c r="AQ786" s="89"/>
      <c r="AR786" s="89"/>
      <c r="AS786" s="89"/>
      <c r="AT786" s="89"/>
      <c r="AU786" s="89"/>
      <c r="AV786" s="89"/>
      <c r="AW786" s="89"/>
      <c r="AX786" s="89"/>
      <c r="AY786" s="89"/>
      <c r="AZ786" s="89"/>
    </row>
    <row r="787" ht="12.75" customHeight="1">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c r="AG787" s="89"/>
      <c r="AH787" s="89"/>
      <c r="AI787" s="89"/>
      <c r="AJ787" s="89"/>
      <c r="AK787" s="89"/>
      <c r="AL787" s="89"/>
      <c r="AM787" s="89"/>
      <c r="AN787" s="89"/>
      <c r="AO787" s="89"/>
      <c r="AP787" s="89"/>
      <c r="AQ787" s="89"/>
      <c r="AR787" s="89"/>
      <c r="AS787" s="89"/>
      <c r="AT787" s="89"/>
      <c r="AU787" s="89"/>
      <c r="AV787" s="89"/>
      <c r="AW787" s="89"/>
      <c r="AX787" s="89"/>
      <c r="AY787" s="89"/>
      <c r="AZ787" s="89"/>
    </row>
    <row r="788" ht="12.75" customHeight="1">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row>
    <row r="789" ht="12.75" customHeight="1">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c r="AG789" s="89"/>
      <c r="AH789" s="89"/>
      <c r="AI789" s="89"/>
      <c r="AJ789" s="89"/>
      <c r="AK789" s="89"/>
      <c r="AL789" s="89"/>
      <c r="AM789" s="89"/>
      <c r="AN789" s="89"/>
      <c r="AO789" s="89"/>
      <c r="AP789" s="89"/>
      <c r="AQ789" s="89"/>
      <c r="AR789" s="89"/>
      <c r="AS789" s="89"/>
      <c r="AT789" s="89"/>
      <c r="AU789" s="89"/>
      <c r="AV789" s="89"/>
      <c r="AW789" s="89"/>
      <c r="AX789" s="89"/>
      <c r="AY789" s="89"/>
      <c r="AZ789" s="89"/>
    </row>
    <row r="790" ht="12.75" customHeight="1">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c r="AG790" s="89"/>
      <c r="AH790" s="89"/>
      <c r="AI790" s="89"/>
      <c r="AJ790" s="89"/>
      <c r="AK790" s="89"/>
      <c r="AL790" s="89"/>
      <c r="AM790" s="89"/>
      <c r="AN790" s="89"/>
      <c r="AO790" s="89"/>
      <c r="AP790" s="89"/>
      <c r="AQ790" s="89"/>
      <c r="AR790" s="89"/>
      <c r="AS790" s="89"/>
      <c r="AT790" s="89"/>
      <c r="AU790" s="89"/>
      <c r="AV790" s="89"/>
      <c r="AW790" s="89"/>
      <c r="AX790" s="89"/>
      <c r="AY790" s="89"/>
      <c r="AZ790" s="89"/>
    </row>
    <row r="791" ht="12.75" customHeight="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row>
    <row r="792" ht="12.75" customHeight="1">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c r="AG792" s="89"/>
      <c r="AH792" s="89"/>
      <c r="AI792" s="89"/>
      <c r="AJ792" s="89"/>
      <c r="AK792" s="89"/>
      <c r="AL792" s="89"/>
      <c r="AM792" s="89"/>
      <c r="AN792" s="89"/>
      <c r="AO792" s="89"/>
      <c r="AP792" s="89"/>
      <c r="AQ792" s="89"/>
      <c r="AR792" s="89"/>
      <c r="AS792" s="89"/>
      <c r="AT792" s="89"/>
      <c r="AU792" s="89"/>
      <c r="AV792" s="89"/>
      <c r="AW792" s="89"/>
      <c r="AX792" s="89"/>
      <c r="AY792" s="89"/>
      <c r="AZ792" s="89"/>
    </row>
    <row r="793" ht="12.75" customHeight="1">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row>
    <row r="794" ht="12.75" customHeight="1">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row>
    <row r="795" ht="12.75" customHeight="1">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row>
    <row r="796" ht="12.75" customHeight="1">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row>
    <row r="797" ht="12.75" customHeight="1">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row>
    <row r="798" ht="12.75" customHeight="1">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row>
    <row r="799" ht="12.75" customHeight="1">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row>
    <row r="800" ht="12.75" customHeight="1">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row>
    <row r="801" ht="12.75" customHeight="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row>
    <row r="802" ht="12.75" customHeight="1">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row>
    <row r="803" ht="12.75" customHeight="1">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row>
    <row r="804" ht="12.75" customHeight="1">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c r="AG804" s="89"/>
      <c r="AH804" s="89"/>
      <c r="AI804" s="89"/>
      <c r="AJ804" s="89"/>
      <c r="AK804" s="89"/>
      <c r="AL804" s="89"/>
      <c r="AM804" s="89"/>
      <c r="AN804" s="89"/>
      <c r="AO804" s="89"/>
      <c r="AP804" s="89"/>
      <c r="AQ804" s="89"/>
      <c r="AR804" s="89"/>
      <c r="AS804" s="89"/>
      <c r="AT804" s="89"/>
      <c r="AU804" s="89"/>
      <c r="AV804" s="89"/>
      <c r="AW804" s="89"/>
      <c r="AX804" s="89"/>
      <c r="AY804" s="89"/>
      <c r="AZ804" s="89"/>
    </row>
    <row r="805" ht="12.75" customHeight="1">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c r="AG805" s="89"/>
      <c r="AH805" s="89"/>
      <c r="AI805" s="89"/>
      <c r="AJ805" s="89"/>
      <c r="AK805" s="89"/>
      <c r="AL805" s="89"/>
      <c r="AM805" s="89"/>
      <c r="AN805" s="89"/>
      <c r="AO805" s="89"/>
      <c r="AP805" s="89"/>
      <c r="AQ805" s="89"/>
      <c r="AR805" s="89"/>
      <c r="AS805" s="89"/>
      <c r="AT805" s="89"/>
      <c r="AU805" s="89"/>
      <c r="AV805" s="89"/>
      <c r="AW805" s="89"/>
      <c r="AX805" s="89"/>
      <c r="AY805" s="89"/>
      <c r="AZ805" s="89"/>
    </row>
    <row r="806" ht="12.75" customHeight="1">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row>
    <row r="807" ht="12.75" customHeight="1">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c r="AG807" s="89"/>
      <c r="AH807" s="89"/>
      <c r="AI807" s="89"/>
      <c r="AJ807" s="89"/>
      <c r="AK807" s="89"/>
      <c r="AL807" s="89"/>
      <c r="AM807" s="89"/>
      <c r="AN807" s="89"/>
      <c r="AO807" s="89"/>
      <c r="AP807" s="89"/>
      <c r="AQ807" s="89"/>
      <c r="AR807" s="89"/>
      <c r="AS807" s="89"/>
      <c r="AT807" s="89"/>
      <c r="AU807" s="89"/>
      <c r="AV807" s="89"/>
      <c r="AW807" s="89"/>
      <c r="AX807" s="89"/>
      <c r="AY807" s="89"/>
      <c r="AZ807" s="89"/>
    </row>
    <row r="808" ht="12.75" customHeight="1">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c r="AG808" s="89"/>
      <c r="AH808" s="89"/>
      <c r="AI808" s="89"/>
      <c r="AJ808" s="89"/>
      <c r="AK808" s="89"/>
      <c r="AL808" s="89"/>
      <c r="AM808" s="89"/>
      <c r="AN808" s="89"/>
      <c r="AO808" s="89"/>
      <c r="AP808" s="89"/>
      <c r="AQ808" s="89"/>
      <c r="AR808" s="89"/>
      <c r="AS808" s="89"/>
      <c r="AT808" s="89"/>
      <c r="AU808" s="89"/>
      <c r="AV808" s="89"/>
      <c r="AW808" s="89"/>
      <c r="AX808" s="89"/>
      <c r="AY808" s="89"/>
      <c r="AZ808" s="89"/>
    </row>
    <row r="809" ht="12.75" customHeight="1">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row>
    <row r="810" ht="12.75" customHeight="1">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c r="AG810" s="89"/>
      <c r="AH810" s="89"/>
      <c r="AI810" s="89"/>
      <c r="AJ810" s="89"/>
      <c r="AK810" s="89"/>
      <c r="AL810" s="89"/>
      <c r="AM810" s="89"/>
      <c r="AN810" s="89"/>
      <c r="AO810" s="89"/>
      <c r="AP810" s="89"/>
      <c r="AQ810" s="89"/>
      <c r="AR810" s="89"/>
      <c r="AS810" s="89"/>
      <c r="AT810" s="89"/>
      <c r="AU810" s="89"/>
      <c r="AV810" s="89"/>
      <c r="AW810" s="89"/>
      <c r="AX810" s="89"/>
      <c r="AY810" s="89"/>
      <c r="AZ810" s="89"/>
    </row>
    <row r="811" ht="12.75" customHeight="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c r="AG811" s="89"/>
      <c r="AH811" s="89"/>
      <c r="AI811" s="89"/>
      <c r="AJ811" s="89"/>
      <c r="AK811" s="89"/>
      <c r="AL811" s="89"/>
      <c r="AM811" s="89"/>
      <c r="AN811" s="89"/>
      <c r="AO811" s="89"/>
      <c r="AP811" s="89"/>
      <c r="AQ811" s="89"/>
      <c r="AR811" s="89"/>
      <c r="AS811" s="89"/>
      <c r="AT811" s="89"/>
      <c r="AU811" s="89"/>
      <c r="AV811" s="89"/>
      <c r="AW811" s="89"/>
      <c r="AX811" s="89"/>
      <c r="AY811" s="89"/>
      <c r="AZ811" s="89"/>
    </row>
    <row r="812" ht="12.75" customHeight="1">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row>
    <row r="813" ht="12.75" customHeight="1">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c r="AG813" s="89"/>
      <c r="AH813" s="89"/>
      <c r="AI813" s="89"/>
      <c r="AJ813" s="89"/>
      <c r="AK813" s="89"/>
      <c r="AL813" s="89"/>
      <c r="AM813" s="89"/>
      <c r="AN813" s="89"/>
      <c r="AO813" s="89"/>
      <c r="AP813" s="89"/>
      <c r="AQ813" s="89"/>
      <c r="AR813" s="89"/>
      <c r="AS813" s="89"/>
      <c r="AT813" s="89"/>
      <c r="AU813" s="89"/>
      <c r="AV813" s="89"/>
      <c r="AW813" s="89"/>
      <c r="AX813" s="89"/>
      <c r="AY813" s="89"/>
      <c r="AZ813" s="89"/>
    </row>
    <row r="814" ht="12.75" customHeight="1">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c r="AG814" s="89"/>
      <c r="AH814" s="89"/>
      <c r="AI814" s="89"/>
      <c r="AJ814" s="89"/>
      <c r="AK814" s="89"/>
      <c r="AL814" s="89"/>
      <c r="AM814" s="89"/>
      <c r="AN814" s="89"/>
      <c r="AO814" s="89"/>
      <c r="AP814" s="89"/>
      <c r="AQ814" s="89"/>
      <c r="AR814" s="89"/>
      <c r="AS814" s="89"/>
      <c r="AT814" s="89"/>
      <c r="AU814" s="89"/>
      <c r="AV814" s="89"/>
      <c r="AW814" s="89"/>
      <c r="AX814" s="89"/>
      <c r="AY814" s="89"/>
      <c r="AZ814" s="89"/>
    </row>
    <row r="815" ht="12.75" customHeight="1">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row>
    <row r="816" ht="12.75" customHeight="1">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c r="AG816" s="89"/>
      <c r="AH816" s="89"/>
      <c r="AI816" s="89"/>
      <c r="AJ816" s="89"/>
      <c r="AK816" s="89"/>
      <c r="AL816" s="89"/>
      <c r="AM816" s="89"/>
      <c r="AN816" s="89"/>
      <c r="AO816" s="89"/>
      <c r="AP816" s="89"/>
      <c r="AQ816" s="89"/>
      <c r="AR816" s="89"/>
      <c r="AS816" s="89"/>
      <c r="AT816" s="89"/>
      <c r="AU816" s="89"/>
      <c r="AV816" s="89"/>
      <c r="AW816" s="89"/>
      <c r="AX816" s="89"/>
      <c r="AY816" s="89"/>
      <c r="AZ816" s="89"/>
    </row>
    <row r="817" ht="12.75" customHeight="1">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c r="AG817" s="89"/>
      <c r="AH817" s="89"/>
      <c r="AI817" s="89"/>
      <c r="AJ817" s="89"/>
      <c r="AK817" s="89"/>
      <c r="AL817" s="89"/>
      <c r="AM817" s="89"/>
      <c r="AN817" s="89"/>
      <c r="AO817" s="89"/>
      <c r="AP817" s="89"/>
      <c r="AQ817" s="89"/>
      <c r="AR817" s="89"/>
      <c r="AS817" s="89"/>
      <c r="AT817" s="89"/>
      <c r="AU817" s="89"/>
      <c r="AV817" s="89"/>
      <c r="AW817" s="89"/>
      <c r="AX817" s="89"/>
      <c r="AY817" s="89"/>
      <c r="AZ817" s="89"/>
    </row>
    <row r="818" ht="12.75" customHeight="1">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row>
    <row r="819" ht="12.75" customHeight="1">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row>
    <row r="820" ht="12.75" customHeight="1">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row>
    <row r="821" ht="12.75" customHeight="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row>
    <row r="822" ht="12.75" customHeight="1">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row>
    <row r="823" ht="12.75" customHeight="1">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row>
    <row r="824" ht="12.75" customHeight="1">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row>
    <row r="825" ht="12.75" customHeight="1">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row>
    <row r="826" ht="12.75" customHeight="1">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row>
    <row r="827" ht="12.75" customHeight="1">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row>
    <row r="828" ht="12.75" customHeight="1">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row>
    <row r="829" ht="12.75" customHeight="1">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c r="AG829" s="89"/>
      <c r="AH829" s="89"/>
      <c r="AI829" s="89"/>
      <c r="AJ829" s="89"/>
      <c r="AK829" s="89"/>
      <c r="AL829" s="89"/>
      <c r="AM829" s="89"/>
      <c r="AN829" s="89"/>
      <c r="AO829" s="89"/>
      <c r="AP829" s="89"/>
      <c r="AQ829" s="89"/>
      <c r="AR829" s="89"/>
      <c r="AS829" s="89"/>
      <c r="AT829" s="89"/>
      <c r="AU829" s="89"/>
      <c r="AV829" s="89"/>
      <c r="AW829" s="89"/>
      <c r="AX829" s="89"/>
      <c r="AY829" s="89"/>
      <c r="AZ829" s="89"/>
    </row>
    <row r="830" ht="12.75" customHeight="1">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row>
    <row r="831" ht="12.75" customHeight="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c r="AG831" s="89"/>
      <c r="AH831" s="89"/>
      <c r="AI831" s="89"/>
      <c r="AJ831" s="89"/>
      <c r="AK831" s="89"/>
      <c r="AL831" s="89"/>
      <c r="AM831" s="89"/>
      <c r="AN831" s="89"/>
      <c r="AO831" s="89"/>
      <c r="AP831" s="89"/>
      <c r="AQ831" s="89"/>
      <c r="AR831" s="89"/>
      <c r="AS831" s="89"/>
      <c r="AT831" s="89"/>
      <c r="AU831" s="89"/>
      <c r="AV831" s="89"/>
      <c r="AW831" s="89"/>
      <c r="AX831" s="89"/>
      <c r="AY831" s="89"/>
      <c r="AZ831" s="89"/>
    </row>
    <row r="832" ht="12.75" customHeight="1">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c r="AG832" s="89"/>
      <c r="AH832" s="89"/>
      <c r="AI832" s="89"/>
      <c r="AJ832" s="89"/>
      <c r="AK832" s="89"/>
      <c r="AL832" s="89"/>
      <c r="AM832" s="89"/>
      <c r="AN832" s="89"/>
      <c r="AO832" s="89"/>
      <c r="AP832" s="89"/>
      <c r="AQ832" s="89"/>
      <c r="AR832" s="89"/>
      <c r="AS832" s="89"/>
      <c r="AT832" s="89"/>
      <c r="AU832" s="89"/>
      <c r="AV832" s="89"/>
      <c r="AW832" s="89"/>
      <c r="AX832" s="89"/>
      <c r="AY832" s="89"/>
      <c r="AZ832" s="89"/>
    </row>
    <row r="833" ht="12.75" customHeight="1">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row>
    <row r="834" ht="12.75" customHeight="1">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c r="AG834" s="89"/>
      <c r="AH834" s="89"/>
      <c r="AI834" s="89"/>
      <c r="AJ834" s="89"/>
      <c r="AK834" s="89"/>
      <c r="AL834" s="89"/>
      <c r="AM834" s="89"/>
      <c r="AN834" s="89"/>
      <c r="AO834" s="89"/>
      <c r="AP834" s="89"/>
      <c r="AQ834" s="89"/>
      <c r="AR834" s="89"/>
      <c r="AS834" s="89"/>
      <c r="AT834" s="89"/>
      <c r="AU834" s="89"/>
      <c r="AV834" s="89"/>
      <c r="AW834" s="89"/>
      <c r="AX834" s="89"/>
      <c r="AY834" s="89"/>
      <c r="AZ834" s="89"/>
    </row>
    <row r="835" ht="12.75" customHeight="1">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c r="AG835" s="89"/>
      <c r="AH835" s="89"/>
      <c r="AI835" s="89"/>
      <c r="AJ835" s="89"/>
      <c r="AK835" s="89"/>
      <c r="AL835" s="89"/>
      <c r="AM835" s="89"/>
      <c r="AN835" s="89"/>
      <c r="AO835" s="89"/>
      <c r="AP835" s="89"/>
      <c r="AQ835" s="89"/>
      <c r="AR835" s="89"/>
      <c r="AS835" s="89"/>
      <c r="AT835" s="89"/>
      <c r="AU835" s="89"/>
      <c r="AV835" s="89"/>
      <c r="AW835" s="89"/>
      <c r="AX835" s="89"/>
      <c r="AY835" s="89"/>
      <c r="AZ835" s="89"/>
    </row>
    <row r="836" ht="12.75" customHeight="1">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row>
    <row r="837" ht="12.75" customHeight="1">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c r="AG837" s="89"/>
      <c r="AH837" s="89"/>
      <c r="AI837" s="89"/>
      <c r="AJ837" s="89"/>
      <c r="AK837" s="89"/>
      <c r="AL837" s="89"/>
      <c r="AM837" s="89"/>
      <c r="AN837" s="89"/>
      <c r="AO837" s="89"/>
      <c r="AP837" s="89"/>
      <c r="AQ837" s="89"/>
      <c r="AR837" s="89"/>
      <c r="AS837" s="89"/>
      <c r="AT837" s="89"/>
      <c r="AU837" s="89"/>
      <c r="AV837" s="89"/>
      <c r="AW837" s="89"/>
      <c r="AX837" s="89"/>
      <c r="AY837" s="89"/>
      <c r="AZ837" s="89"/>
    </row>
    <row r="838" ht="12.75" customHeight="1">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c r="AG838" s="89"/>
      <c r="AH838" s="89"/>
      <c r="AI838" s="89"/>
      <c r="AJ838" s="89"/>
      <c r="AK838" s="89"/>
      <c r="AL838" s="89"/>
      <c r="AM838" s="89"/>
      <c r="AN838" s="89"/>
      <c r="AO838" s="89"/>
      <c r="AP838" s="89"/>
      <c r="AQ838" s="89"/>
      <c r="AR838" s="89"/>
      <c r="AS838" s="89"/>
      <c r="AT838" s="89"/>
      <c r="AU838" s="89"/>
      <c r="AV838" s="89"/>
      <c r="AW838" s="89"/>
      <c r="AX838" s="89"/>
      <c r="AY838" s="89"/>
      <c r="AZ838" s="89"/>
    </row>
    <row r="839" ht="12.75" customHeight="1">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row>
    <row r="840" ht="12.75" customHeight="1">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c r="AG840" s="89"/>
      <c r="AH840" s="89"/>
      <c r="AI840" s="89"/>
      <c r="AJ840" s="89"/>
      <c r="AK840" s="89"/>
      <c r="AL840" s="89"/>
      <c r="AM840" s="89"/>
      <c r="AN840" s="89"/>
      <c r="AO840" s="89"/>
      <c r="AP840" s="89"/>
      <c r="AQ840" s="89"/>
      <c r="AR840" s="89"/>
      <c r="AS840" s="89"/>
      <c r="AT840" s="89"/>
      <c r="AU840" s="89"/>
      <c r="AV840" s="89"/>
      <c r="AW840" s="89"/>
      <c r="AX840" s="89"/>
      <c r="AY840" s="89"/>
      <c r="AZ840" s="89"/>
    </row>
    <row r="841" ht="12.75" customHeight="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c r="AG841" s="89"/>
      <c r="AH841" s="89"/>
      <c r="AI841" s="89"/>
      <c r="AJ841" s="89"/>
      <c r="AK841" s="89"/>
      <c r="AL841" s="89"/>
      <c r="AM841" s="89"/>
      <c r="AN841" s="89"/>
      <c r="AO841" s="89"/>
      <c r="AP841" s="89"/>
      <c r="AQ841" s="89"/>
      <c r="AR841" s="89"/>
      <c r="AS841" s="89"/>
      <c r="AT841" s="89"/>
      <c r="AU841" s="89"/>
      <c r="AV841" s="89"/>
      <c r="AW841" s="89"/>
      <c r="AX841" s="89"/>
      <c r="AY841" s="89"/>
      <c r="AZ841" s="89"/>
    </row>
    <row r="842" ht="12.75" customHeight="1">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row>
    <row r="843" ht="12.75" customHeight="1">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row>
    <row r="844" ht="12.75" customHeight="1">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row>
    <row r="845" ht="12.75" customHeight="1">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row>
    <row r="846" ht="12.75" customHeight="1">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row>
    <row r="847" ht="12.75" customHeight="1">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row>
    <row r="848" ht="12.75" customHeight="1">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row>
    <row r="849" ht="12.75" customHeight="1">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row>
    <row r="850" ht="12.75" customHeight="1">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row>
    <row r="851" ht="12.75" customHeight="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row>
    <row r="852" ht="12.75" customHeight="1">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row>
    <row r="853" ht="12.75" customHeight="1">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row>
    <row r="854" ht="12.75" customHeight="1">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row>
    <row r="855" ht="12.75" customHeight="1">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c r="AG855" s="89"/>
      <c r="AH855" s="89"/>
      <c r="AI855" s="89"/>
      <c r="AJ855" s="89"/>
      <c r="AK855" s="89"/>
      <c r="AL855" s="89"/>
      <c r="AM855" s="89"/>
      <c r="AN855" s="89"/>
      <c r="AO855" s="89"/>
      <c r="AP855" s="89"/>
      <c r="AQ855" s="89"/>
      <c r="AR855" s="89"/>
      <c r="AS855" s="89"/>
      <c r="AT855" s="89"/>
      <c r="AU855" s="89"/>
      <c r="AV855" s="89"/>
      <c r="AW855" s="89"/>
      <c r="AX855" s="89"/>
      <c r="AY855" s="89"/>
      <c r="AZ855" s="89"/>
    </row>
    <row r="856" ht="12.75" customHeight="1">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c r="AG856" s="89"/>
      <c r="AH856" s="89"/>
      <c r="AI856" s="89"/>
      <c r="AJ856" s="89"/>
      <c r="AK856" s="89"/>
      <c r="AL856" s="89"/>
      <c r="AM856" s="89"/>
      <c r="AN856" s="89"/>
      <c r="AO856" s="89"/>
      <c r="AP856" s="89"/>
      <c r="AQ856" s="89"/>
      <c r="AR856" s="89"/>
      <c r="AS856" s="89"/>
      <c r="AT856" s="89"/>
      <c r="AU856" s="89"/>
      <c r="AV856" s="89"/>
      <c r="AW856" s="89"/>
      <c r="AX856" s="89"/>
      <c r="AY856" s="89"/>
      <c r="AZ856" s="89"/>
    </row>
    <row r="857" ht="12.75" customHeight="1">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row>
    <row r="858" ht="12.75" customHeight="1">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c r="AG858" s="89"/>
      <c r="AH858" s="89"/>
      <c r="AI858" s="89"/>
      <c r="AJ858" s="89"/>
      <c r="AK858" s="89"/>
      <c r="AL858" s="89"/>
      <c r="AM858" s="89"/>
      <c r="AN858" s="89"/>
      <c r="AO858" s="89"/>
      <c r="AP858" s="89"/>
      <c r="AQ858" s="89"/>
      <c r="AR858" s="89"/>
      <c r="AS858" s="89"/>
      <c r="AT858" s="89"/>
      <c r="AU858" s="89"/>
      <c r="AV858" s="89"/>
      <c r="AW858" s="89"/>
      <c r="AX858" s="89"/>
      <c r="AY858" s="89"/>
      <c r="AZ858" s="89"/>
    </row>
    <row r="859" ht="12.75" customHeight="1">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c r="AG859" s="89"/>
      <c r="AH859" s="89"/>
      <c r="AI859" s="89"/>
      <c r="AJ859" s="89"/>
      <c r="AK859" s="89"/>
      <c r="AL859" s="89"/>
      <c r="AM859" s="89"/>
      <c r="AN859" s="89"/>
      <c r="AO859" s="89"/>
      <c r="AP859" s="89"/>
      <c r="AQ859" s="89"/>
      <c r="AR859" s="89"/>
      <c r="AS859" s="89"/>
      <c r="AT859" s="89"/>
      <c r="AU859" s="89"/>
      <c r="AV859" s="89"/>
      <c r="AW859" s="89"/>
      <c r="AX859" s="89"/>
      <c r="AY859" s="89"/>
      <c r="AZ859" s="89"/>
    </row>
    <row r="860" ht="12.75" customHeight="1">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row>
    <row r="861" ht="12.75" customHeight="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c r="AG861" s="89"/>
      <c r="AH861" s="89"/>
      <c r="AI861" s="89"/>
      <c r="AJ861" s="89"/>
      <c r="AK861" s="89"/>
      <c r="AL861" s="89"/>
      <c r="AM861" s="89"/>
      <c r="AN861" s="89"/>
      <c r="AO861" s="89"/>
      <c r="AP861" s="89"/>
      <c r="AQ861" s="89"/>
      <c r="AR861" s="89"/>
      <c r="AS861" s="89"/>
      <c r="AT861" s="89"/>
      <c r="AU861" s="89"/>
      <c r="AV861" s="89"/>
      <c r="AW861" s="89"/>
      <c r="AX861" s="89"/>
      <c r="AY861" s="89"/>
      <c r="AZ861" s="89"/>
    </row>
    <row r="862" ht="12.75" customHeight="1">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c r="AG862" s="89"/>
      <c r="AH862" s="89"/>
      <c r="AI862" s="89"/>
      <c r="AJ862" s="89"/>
      <c r="AK862" s="89"/>
      <c r="AL862" s="89"/>
      <c r="AM862" s="89"/>
      <c r="AN862" s="89"/>
      <c r="AO862" s="89"/>
      <c r="AP862" s="89"/>
      <c r="AQ862" s="89"/>
      <c r="AR862" s="89"/>
      <c r="AS862" s="89"/>
      <c r="AT862" s="89"/>
      <c r="AU862" s="89"/>
      <c r="AV862" s="89"/>
      <c r="AW862" s="89"/>
      <c r="AX862" s="89"/>
      <c r="AY862" s="89"/>
      <c r="AZ862" s="89"/>
    </row>
    <row r="863" ht="12.75" customHeight="1">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row>
    <row r="864" ht="12.75" customHeight="1">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c r="AG864" s="89"/>
      <c r="AH864" s="89"/>
      <c r="AI864" s="89"/>
      <c r="AJ864" s="89"/>
      <c r="AK864" s="89"/>
      <c r="AL864" s="89"/>
      <c r="AM864" s="89"/>
      <c r="AN864" s="89"/>
      <c r="AO864" s="89"/>
      <c r="AP864" s="89"/>
      <c r="AQ864" s="89"/>
      <c r="AR864" s="89"/>
      <c r="AS864" s="89"/>
      <c r="AT864" s="89"/>
      <c r="AU864" s="89"/>
      <c r="AV864" s="89"/>
      <c r="AW864" s="89"/>
      <c r="AX864" s="89"/>
      <c r="AY864" s="89"/>
      <c r="AZ864" s="89"/>
    </row>
    <row r="865" ht="12.75" customHeight="1">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c r="AG865" s="89"/>
      <c r="AH865" s="89"/>
      <c r="AI865" s="89"/>
      <c r="AJ865" s="89"/>
      <c r="AK865" s="89"/>
      <c r="AL865" s="89"/>
      <c r="AM865" s="89"/>
      <c r="AN865" s="89"/>
      <c r="AO865" s="89"/>
      <c r="AP865" s="89"/>
      <c r="AQ865" s="89"/>
      <c r="AR865" s="89"/>
      <c r="AS865" s="89"/>
      <c r="AT865" s="89"/>
      <c r="AU865" s="89"/>
      <c r="AV865" s="89"/>
      <c r="AW865" s="89"/>
      <c r="AX865" s="89"/>
      <c r="AY865" s="89"/>
      <c r="AZ865" s="89"/>
    </row>
    <row r="866" ht="12.75" customHeight="1">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row>
    <row r="867" ht="12.75" customHeight="1">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c r="AG867" s="89"/>
      <c r="AH867" s="89"/>
      <c r="AI867" s="89"/>
      <c r="AJ867" s="89"/>
      <c r="AK867" s="89"/>
      <c r="AL867" s="89"/>
      <c r="AM867" s="89"/>
      <c r="AN867" s="89"/>
      <c r="AO867" s="89"/>
      <c r="AP867" s="89"/>
      <c r="AQ867" s="89"/>
      <c r="AR867" s="89"/>
      <c r="AS867" s="89"/>
      <c r="AT867" s="89"/>
      <c r="AU867" s="89"/>
      <c r="AV867" s="89"/>
      <c r="AW867" s="89"/>
      <c r="AX867" s="89"/>
      <c r="AY867" s="89"/>
      <c r="AZ867" s="89"/>
    </row>
    <row r="868" ht="12.75" customHeight="1">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row>
    <row r="869" ht="12.75" customHeight="1">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row>
    <row r="870" ht="12.75" customHeight="1">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row>
    <row r="871" ht="12.75" customHeight="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row>
    <row r="872" ht="12.75" customHeight="1">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row>
    <row r="873" ht="12.75" customHeight="1">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row>
    <row r="874" ht="12.75" customHeight="1">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row>
    <row r="875" ht="12.75" customHeight="1">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row>
    <row r="876" ht="12.75" customHeight="1">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row>
    <row r="877" ht="12.75" customHeight="1">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row>
    <row r="878" ht="12.75" customHeight="1">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row>
    <row r="879" ht="12.75" customHeight="1">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c r="AG879" s="89"/>
      <c r="AH879" s="89"/>
      <c r="AI879" s="89"/>
      <c r="AJ879" s="89"/>
      <c r="AK879" s="89"/>
      <c r="AL879" s="89"/>
      <c r="AM879" s="89"/>
      <c r="AN879" s="89"/>
      <c r="AO879" s="89"/>
      <c r="AP879" s="89"/>
      <c r="AQ879" s="89"/>
      <c r="AR879" s="89"/>
      <c r="AS879" s="89"/>
      <c r="AT879" s="89"/>
      <c r="AU879" s="89"/>
      <c r="AV879" s="89"/>
      <c r="AW879" s="89"/>
      <c r="AX879" s="89"/>
      <c r="AY879" s="89"/>
      <c r="AZ879" s="89"/>
    </row>
    <row r="880" ht="12.75" customHeight="1">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c r="AG880" s="89"/>
      <c r="AH880" s="89"/>
      <c r="AI880" s="89"/>
      <c r="AJ880" s="89"/>
      <c r="AK880" s="89"/>
      <c r="AL880" s="89"/>
      <c r="AM880" s="89"/>
      <c r="AN880" s="89"/>
      <c r="AO880" s="89"/>
      <c r="AP880" s="89"/>
      <c r="AQ880" s="89"/>
      <c r="AR880" s="89"/>
      <c r="AS880" s="89"/>
      <c r="AT880" s="89"/>
      <c r="AU880" s="89"/>
      <c r="AV880" s="89"/>
      <c r="AW880" s="89"/>
      <c r="AX880" s="89"/>
      <c r="AY880" s="89"/>
      <c r="AZ880" s="89"/>
    </row>
    <row r="881" ht="12.75" customHeight="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row>
    <row r="882" ht="12.75" customHeight="1">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c r="AG882" s="89"/>
      <c r="AH882" s="89"/>
      <c r="AI882" s="89"/>
      <c r="AJ882" s="89"/>
      <c r="AK882" s="89"/>
      <c r="AL882" s="89"/>
      <c r="AM882" s="89"/>
      <c r="AN882" s="89"/>
      <c r="AO882" s="89"/>
      <c r="AP882" s="89"/>
      <c r="AQ882" s="89"/>
      <c r="AR882" s="89"/>
      <c r="AS882" s="89"/>
      <c r="AT882" s="89"/>
      <c r="AU882" s="89"/>
      <c r="AV882" s="89"/>
      <c r="AW882" s="89"/>
      <c r="AX882" s="89"/>
      <c r="AY882" s="89"/>
      <c r="AZ882" s="89"/>
    </row>
    <row r="883" ht="12.75" customHeight="1">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c r="AG883" s="89"/>
      <c r="AH883" s="89"/>
      <c r="AI883" s="89"/>
      <c r="AJ883" s="89"/>
      <c r="AK883" s="89"/>
      <c r="AL883" s="89"/>
      <c r="AM883" s="89"/>
      <c r="AN883" s="89"/>
      <c r="AO883" s="89"/>
      <c r="AP883" s="89"/>
      <c r="AQ883" s="89"/>
      <c r="AR883" s="89"/>
      <c r="AS883" s="89"/>
      <c r="AT883" s="89"/>
      <c r="AU883" s="89"/>
      <c r="AV883" s="89"/>
      <c r="AW883" s="89"/>
      <c r="AX883" s="89"/>
      <c r="AY883" s="89"/>
      <c r="AZ883" s="89"/>
    </row>
    <row r="884" ht="12.75" customHeight="1">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row>
    <row r="885" ht="12.75" customHeight="1">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c r="AG885" s="89"/>
      <c r="AH885" s="89"/>
      <c r="AI885" s="89"/>
      <c r="AJ885" s="89"/>
      <c r="AK885" s="89"/>
      <c r="AL885" s="89"/>
      <c r="AM885" s="89"/>
      <c r="AN885" s="89"/>
      <c r="AO885" s="89"/>
      <c r="AP885" s="89"/>
      <c r="AQ885" s="89"/>
      <c r="AR885" s="89"/>
      <c r="AS885" s="89"/>
      <c r="AT885" s="89"/>
      <c r="AU885" s="89"/>
      <c r="AV885" s="89"/>
      <c r="AW885" s="89"/>
      <c r="AX885" s="89"/>
      <c r="AY885" s="89"/>
      <c r="AZ885" s="89"/>
    </row>
    <row r="886" ht="12.75" customHeight="1">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c r="AG886" s="89"/>
      <c r="AH886" s="89"/>
      <c r="AI886" s="89"/>
      <c r="AJ886" s="89"/>
      <c r="AK886" s="89"/>
      <c r="AL886" s="89"/>
      <c r="AM886" s="89"/>
      <c r="AN886" s="89"/>
      <c r="AO886" s="89"/>
      <c r="AP886" s="89"/>
      <c r="AQ886" s="89"/>
      <c r="AR886" s="89"/>
      <c r="AS886" s="89"/>
      <c r="AT886" s="89"/>
      <c r="AU886" s="89"/>
      <c r="AV886" s="89"/>
      <c r="AW886" s="89"/>
      <c r="AX886" s="89"/>
      <c r="AY886" s="89"/>
      <c r="AZ886" s="89"/>
    </row>
    <row r="887" ht="12.75" customHeight="1">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row>
    <row r="888" ht="12.75" customHeight="1">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c r="AG888" s="89"/>
      <c r="AH888" s="89"/>
      <c r="AI888" s="89"/>
      <c r="AJ888" s="89"/>
      <c r="AK888" s="89"/>
      <c r="AL888" s="89"/>
      <c r="AM888" s="89"/>
      <c r="AN888" s="89"/>
      <c r="AO888" s="89"/>
      <c r="AP888" s="89"/>
      <c r="AQ888" s="89"/>
      <c r="AR888" s="89"/>
      <c r="AS888" s="89"/>
      <c r="AT888" s="89"/>
      <c r="AU888" s="89"/>
      <c r="AV888" s="89"/>
      <c r="AW888" s="89"/>
      <c r="AX888" s="89"/>
      <c r="AY888" s="89"/>
      <c r="AZ888" s="89"/>
    </row>
    <row r="889" ht="12.75" customHeight="1">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c r="AG889" s="89"/>
      <c r="AH889" s="89"/>
      <c r="AI889" s="89"/>
      <c r="AJ889" s="89"/>
      <c r="AK889" s="89"/>
      <c r="AL889" s="89"/>
      <c r="AM889" s="89"/>
      <c r="AN889" s="89"/>
      <c r="AO889" s="89"/>
      <c r="AP889" s="89"/>
      <c r="AQ889" s="89"/>
      <c r="AR889" s="89"/>
      <c r="AS889" s="89"/>
      <c r="AT889" s="89"/>
      <c r="AU889" s="89"/>
      <c r="AV889" s="89"/>
      <c r="AW889" s="89"/>
      <c r="AX889" s="89"/>
      <c r="AY889" s="89"/>
      <c r="AZ889" s="89"/>
    </row>
    <row r="890" ht="12.75" customHeight="1">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row>
    <row r="891" ht="12.75" customHeight="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c r="AG891" s="89"/>
      <c r="AH891" s="89"/>
      <c r="AI891" s="89"/>
      <c r="AJ891" s="89"/>
      <c r="AK891" s="89"/>
      <c r="AL891" s="89"/>
      <c r="AM891" s="89"/>
      <c r="AN891" s="89"/>
      <c r="AO891" s="89"/>
      <c r="AP891" s="89"/>
      <c r="AQ891" s="89"/>
      <c r="AR891" s="89"/>
      <c r="AS891" s="89"/>
      <c r="AT891" s="89"/>
      <c r="AU891" s="89"/>
      <c r="AV891" s="89"/>
      <c r="AW891" s="89"/>
      <c r="AX891" s="89"/>
      <c r="AY891" s="89"/>
      <c r="AZ891" s="89"/>
    </row>
    <row r="892" ht="12.75" customHeight="1">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c r="AG892" s="89"/>
      <c r="AH892" s="89"/>
      <c r="AI892" s="89"/>
      <c r="AJ892" s="89"/>
      <c r="AK892" s="89"/>
      <c r="AL892" s="89"/>
      <c r="AM892" s="89"/>
      <c r="AN892" s="89"/>
      <c r="AO892" s="89"/>
      <c r="AP892" s="89"/>
      <c r="AQ892" s="89"/>
      <c r="AR892" s="89"/>
      <c r="AS892" s="89"/>
      <c r="AT892" s="89"/>
      <c r="AU892" s="89"/>
      <c r="AV892" s="89"/>
      <c r="AW892" s="89"/>
      <c r="AX892" s="89"/>
      <c r="AY892" s="89"/>
      <c r="AZ892" s="89"/>
    </row>
    <row r="893" ht="12.75" customHeight="1">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row>
    <row r="894" ht="12.75" customHeight="1">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row>
    <row r="895" ht="12.75" customHeight="1">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row>
    <row r="896" ht="12.75" customHeight="1">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row>
    <row r="897" ht="12.75" customHeight="1">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row>
    <row r="898" ht="12.75" customHeight="1">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row>
    <row r="899" ht="12.75" customHeight="1">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row>
    <row r="900" ht="12.75" customHeight="1">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row>
    <row r="901" ht="12.75" customHeight="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row>
    <row r="902" ht="12.75" customHeight="1">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row>
    <row r="903" ht="12.75" customHeight="1">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row>
    <row r="904" ht="12.75" customHeight="1">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c r="AG904" s="89"/>
      <c r="AH904" s="89"/>
      <c r="AI904" s="89"/>
      <c r="AJ904" s="89"/>
      <c r="AK904" s="89"/>
      <c r="AL904" s="89"/>
      <c r="AM904" s="89"/>
      <c r="AN904" s="89"/>
      <c r="AO904" s="89"/>
      <c r="AP904" s="89"/>
      <c r="AQ904" s="89"/>
      <c r="AR904" s="89"/>
      <c r="AS904" s="89"/>
      <c r="AT904" s="89"/>
      <c r="AU904" s="89"/>
      <c r="AV904" s="89"/>
      <c r="AW904" s="89"/>
      <c r="AX904" s="89"/>
      <c r="AY904" s="89"/>
      <c r="AZ904" s="89"/>
    </row>
    <row r="905" ht="12.75" customHeight="1">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row>
    <row r="906" ht="12.75" customHeight="1">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c r="AG906" s="89"/>
      <c r="AH906" s="89"/>
      <c r="AI906" s="89"/>
      <c r="AJ906" s="89"/>
      <c r="AK906" s="89"/>
      <c r="AL906" s="89"/>
      <c r="AM906" s="89"/>
      <c r="AN906" s="89"/>
      <c r="AO906" s="89"/>
      <c r="AP906" s="89"/>
      <c r="AQ906" s="89"/>
      <c r="AR906" s="89"/>
      <c r="AS906" s="89"/>
      <c r="AT906" s="89"/>
      <c r="AU906" s="89"/>
      <c r="AV906" s="89"/>
      <c r="AW906" s="89"/>
      <c r="AX906" s="89"/>
      <c r="AY906" s="89"/>
      <c r="AZ906" s="89"/>
    </row>
    <row r="907" ht="12.75" customHeight="1">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c r="AG907" s="89"/>
      <c r="AH907" s="89"/>
      <c r="AI907" s="89"/>
      <c r="AJ907" s="89"/>
      <c r="AK907" s="89"/>
      <c r="AL907" s="89"/>
      <c r="AM907" s="89"/>
      <c r="AN907" s="89"/>
      <c r="AO907" s="89"/>
      <c r="AP907" s="89"/>
      <c r="AQ907" s="89"/>
      <c r="AR907" s="89"/>
      <c r="AS907" s="89"/>
      <c r="AT907" s="89"/>
      <c r="AU907" s="89"/>
      <c r="AV907" s="89"/>
      <c r="AW907" s="89"/>
      <c r="AX907" s="89"/>
      <c r="AY907" s="89"/>
      <c r="AZ907" s="89"/>
    </row>
    <row r="908" ht="12.75" customHeight="1">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row>
    <row r="909" ht="12.75" customHeight="1">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c r="AG909" s="89"/>
      <c r="AH909" s="89"/>
      <c r="AI909" s="89"/>
      <c r="AJ909" s="89"/>
      <c r="AK909" s="89"/>
      <c r="AL909" s="89"/>
      <c r="AM909" s="89"/>
      <c r="AN909" s="89"/>
      <c r="AO909" s="89"/>
      <c r="AP909" s="89"/>
      <c r="AQ909" s="89"/>
      <c r="AR909" s="89"/>
      <c r="AS909" s="89"/>
      <c r="AT909" s="89"/>
      <c r="AU909" s="89"/>
      <c r="AV909" s="89"/>
      <c r="AW909" s="89"/>
      <c r="AX909" s="89"/>
      <c r="AY909" s="89"/>
      <c r="AZ909" s="89"/>
    </row>
    <row r="910" ht="12.75" customHeight="1">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c r="AG910" s="89"/>
      <c r="AH910" s="89"/>
      <c r="AI910" s="89"/>
      <c r="AJ910" s="89"/>
      <c r="AK910" s="89"/>
      <c r="AL910" s="89"/>
      <c r="AM910" s="89"/>
      <c r="AN910" s="89"/>
      <c r="AO910" s="89"/>
      <c r="AP910" s="89"/>
      <c r="AQ910" s="89"/>
      <c r="AR910" s="89"/>
      <c r="AS910" s="89"/>
      <c r="AT910" s="89"/>
      <c r="AU910" s="89"/>
      <c r="AV910" s="89"/>
      <c r="AW910" s="89"/>
      <c r="AX910" s="89"/>
      <c r="AY910" s="89"/>
      <c r="AZ910" s="89"/>
    </row>
    <row r="911" ht="12.75" customHeight="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row>
    <row r="912" ht="12.75" customHeight="1">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c r="AG912" s="89"/>
      <c r="AH912" s="89"/>
      <c r="AI912" s="89"/>
      <c r="AJ912" s="89"/>
      <c r="AK912" s="89"/>
      <c r="AL912" s="89"/>
      <c r="AM912" s="89"/>
      <c r="AN912" s="89"/>
      <c r="AO912" s="89"/>
      <c r="AP912" s="89"/>
      <c r="AQ912" s="89"/>
      <c r="AR912" s="89"/>
      <c r="AS912" s="89"/>
      <c r="AT912" s="89"/>
      <c r="AU912" s="89"/>
      <c r="AV912" s="89"/>
      <c r="AW912" s="89"/>
      <c r="AX912" s="89"/>
      <c r="AY912" s="89"/>
      <c r="AZ912" s="89"/>
    </row>
    <row r="913" ht="12.75" customHeight="1">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c r="AG913" s="89"/>
      <c r="AH913" s="89"/>
      <c r="AI913" s="89"/>
      <c r="AJ913" s="89"/>
      <c r="AK913" s="89"/>
      <c r="AL913" s="89"/>
      <c r="AM913" s="89"/>
      <c r="AN913" s="89"/>
      <c r="AO913" s="89"/>
      <c r="AP913" s="89"/>
      <c r="AQ913" s="89"/>
      <c r="AR913" s="89"/>
      <c r="AS913" s="89"/>
      <c r="AT913" s="89"/>
      <c r="AU913" s="89"/>
      <c r="AV913" s="89"/>
      <c r="AW913" s="89"/>
      <c r="AX913" s="89"/>
      <c r="AY913" s="89"/>
      <c r="AZ913" s="89"/>
    </row>
    <row r="914" ht="12.75" customHeight="1">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c r="AG914" s="89"/>
      <c r="AH914" s="89"/>
      <c r="AI914" s="89"/>
      <c r="AJ914" s="89"/>
      <c r="AK914" s="89"/>
      <c r="AL914" s="89"/>
      <c r="AM914" s="89"/>
      <c r="AN914" s="89"/>
      <c r="AO914" s="89"/>
      <c r="AP914" s="89"/>
      <c r="AQ914" s="89"/>
      <c r="AR914" s="89"/>
      <c r="AS914" s="89"/>
      <c r="AT914" s="89"/>
      <c r="AU914" s="89"/>
      <c r="AV914" s="89"/>
      <c r="AW914" s="89"/>
      <c r="AX914" s="89"/>
      <c r="AY914" s="89"/>
      <c r="AZ914" s="89"/>
    </row>
    <row r="915" ht="12.75" customHeight="1">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c r="AG915" s="89"/>
      <c r="AH915" s="89"/>
      <c r="AI915" s="89"/>
      <c r="AJ915" s="89"/>
      <c r="AK915" s="89"/>
      <c r="AL915" s="89"/>
      <c r="AM915" s="89"/>
      <c r="AN915" s="89"/>
      <c r="AO915" s="89"/>
      <c r="AP915" s="89"/>
      <c r="AQ915" s="89"/>
      <c r="AR915" s="89"/>
      <c r="AS915" s="89"/>
      <c r="AT915" s="89"/>
      <c r="AU915" s="89"/>
      <c r="AV915" s="89"/>
      <c r="AW915" s="89"/>
      <c r="AX915" s="89"/>
      <c r="AY915" s="89"/>
      <c r="AZ915" s="89"/>
    </row>
    <row r="916" ht="12.75" customHeight="1">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c r="AG916" s="89"/>
      <c r="AH916" s="89"/>
      <c r="AI916" s="89"/>
      <c r="AJ916" s="89"/>
      <c r="AK916" s="89"/>
      <c r="AL916" s="89"/>
      <c r="AM916" s="89"/>
      <c r="AN916" s="89"/>
      <c r="AO916" s="89"/>
      <c r="AP916" s="89"/>
      <c r="AQ916" s="89"/>
      <c r="AR916" s="89"/>
      <c r="AS916" s="89"/>
      <c r="AT916" s="89"/>
      <c r="AU916" s="89"/>
      <c r="AV916" s="89"/>
      <c r="AW916" s="89"/>
      <c r="AX916" s="89"/>
      <c r="AY916" s="89"/>
      <c r="AZ916" s="89"/>
    </row>
    <row r="917" ht="12.75" customHeight="1">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c r="AG917" s="89"/>
      <c r="AH917" s="89"/>
      <c r="AI917" s="89"/>
      <c r="AJ917" s="89"/>
      <c r="AK917" s="89"/>
      <c r="AL917" s="89"/>
      <c r="AM917" s="89"/>
      <c r="AN917" s="89"/>
      <c r="AO917" s="89"/>
      <c r="AP917" s="89"/>
      <c r="AQ917" s="89"/>
      <c r="AR917" s="89"/>
      <c r="AS917" s="89"/>
      <c r="AT917" s="89"/>
      <c r="AU917" s="89"/>
      <c r="AV917" s="89"/>
      <c r="AW917" s="89"/>
      <c r="AX917" s="89"/>
      <c r="AY917" s="89"/>
      <c r="AZ917" s="89"/>
    </row>
    <row r="918" ht="12.75" customHeight="1">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row>
    <row r="919" ht="12.75" customHeight="1">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row>
    <row r="920" ht="12.75" customHeight="1">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row>
    <row r="921" ht="12.75" customHeight="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row>
    <row r="922" ht="12.75" customHeight="1">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row>
    <row r="923" ht="12.75" customHeight="1">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row>
    <row r="924" ht="12.75" customHeight="1">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row>
    <row r="925" ht="12.75" customHeight="1">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row>
    <row r="926" ht="12.75" customHeight="1">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row>
    <row r="927" ht="12.75" customHeight="1">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row>
    <row r="928" ht="12.75" customHeight="1">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row>
    <row r="929" ht="12.75" customHeight="1">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c r="AG929" s="89"/>
      <c r="AH929" s="89"/>
      <c r="AI929" s="89"/>
      <c r="AJ929" s="89"/>
      <c r="AK929" s="89"/>
      <c r="AL929" s="89"/>
      <c r="AM929" s="89"/>
      <c r="AN929" s="89"/>
      <c r="AO929" s="89"/>
      <c r="AP929" s="89"/>
      <c r="AQ929" s="89"/>
      <c r="AR929" s="89"/>
      <c r="AS929" s="89"/>
      <c r="AT929" s="89"/>
      <c r="AU929" s="89"/>
      <c r="AV929" s="89"/>
      <c r="AW929" s="89"/>
      <c r="AX929" s="89"/>
      <c r="AY929" s="89"/>
      <c r="AZ929" s="89"/>
    </row>
    <row r="930" ht="12.75" customHeight="1">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row>
    <row r="931" ht="12.75" customHeight="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c r="AG931" s="89"/>
      <c r="AH931" s="89"/>
      <c r="AI931" s="89"/>
      <c r="AJ931" s="89"/>
      <c r="AK931" s="89"/>
      <c r="AL931" s="89"/>
      <c r="AM931" s="89"/>
      <c r="AN931" s="89"/>
      <c r="AO931" s="89"/>
      <c r="AP931" s="89"/>
      <c r="AQ931" s="89"/>
      <c r="AR931" s="89"/>
      <c r="AS931" s="89"/>
      <c r="AT931" s="89"/>
      <c r="AU931" s="89"/>
      <c r="AV931" s="89"/>
      <c r="AW931" s="89"/>
      <c r="AX931" s="89"/>
      <c r="AY931" s="89"/>
      <c r="AZ931" s="89"/>
    </row>
    <row r="932" ht="12.75" customHeight="1">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c r="AG932" s="89"/>
      <c r="AH932" s="89"/>
      <c r="AI932" s="89"/>
      <c r="AJ932" s="89"/>
      <c r="AK932" s="89"/>
      <c r="AL932" s="89"/>
      <c r="AM932" s="89"/>
      <c r="AN932" s="89"/>
      <c r="AO932" s="89"/>
      <c r="AP932" s="89"/>
      <c r="AQ932" s="89"/>
      <c r="AR932" s="89"/>
      <c r="AS932" s="89"/>
      <c r="AT932" s="89"/>
      <c r="AU932" s="89"/>
      <c r="AV932" s="89"/>
      <c r="AW932" s="89"/>
      <c r="AX932" s="89"/>
      <c r="AY932" s="89"/>
      <c r="AZ932" s="89"/>
    </row>
    <row r="933" ht="12.75" customHeight="1">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c r="AG933" s="89"/>
      <c r="AH933" s="89"/>
      <c r="AI933" s="89"/>
      <c r="AJ933" s="89"/>
      <c r="AK933" s="89"/>
      <c r="AL933" s="89"/>
      <c r="AM933" s="89"/>
      <c r="AN933" s="89"/>
      <c r="AO933" s="89"/>
      <c r="AP933" s="89"/>
      <c r="AQ933" s="89"/>
      <c r="AR933" s="89"/>
      <c r="AS933" s="89"/>
      <c r="AT933" s="89"/>
      <c r="AU933" s="89"/>
      <c r="AV933" s="89"/>
      <c r="AW933" s="89"/>
      <c r="AX933" s="89"/>
      <c r="AY933" s="89"/>
      <c r="AZ933" s="89"/>
    </row>
    <row r="934" ht="12.75" customHeight="1">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c r="AG934" s="89"/>
      <c r="AH934" s="89"/>
      <c r="AI934" s="89"/>
      <c r="AJ934" s="89"/>
      <c r="AK934" s="89"/>
      <c r="AL934" s="89"/>
      <c r="AM934" s="89"/>
      <c r="AN934" s="89"/>
      <c r="AO934" s="89"/>
      <c r="AP934" s="89"/>
      <c r="AQ934" s="89"/>
      <c r="AR934" s="89"/>
      <c r="AS934" s="89"/>
      <c r="AT934" s="89"/>
      <c r="AU934" s="89"/>
      <c r="AV934" s="89"/>
      <c r="AW934" s="89"/>
      <c r="AX934" s="89"/>
      <c r="AY934" s="89"/>
      <c r="AZ934" s="89"/>
    </row>
    <row r="935" ht="12.75" customHeight="1">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c r="AG935" s="89"/>
      <c r="AH935" s="89"/>
      <c r="AI935" s="89"/>
      <c r="AJ935" s="89"/>
      <c r="AK935" s="89"/>
      <c r="AL935" s="89"/>
      <c r="AM935" s="89"/>
      <c r="AN935" s="89"/>
      <c r="AO935" s="89"/>
      <c r="AP935" s="89"/>
      <c r="AQ935" s="89"/>
      <c r="AR935" s="89"/>
      <c r="AS935" s="89"/>
      <c r="AT935" s="89"/>
      <c r="AU935" s="89"/>
      <c r="AV935" s="89"/>
      <c r="AW935" s="89"/>
      <c r="AX935" s="89"/>
      <c r="AY935" s="89"/>
      <c r="AZ935" s="89"/>
    </row>
    <row r="936" ht="12.75" customHeight="1">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c r="AG936" s="89"/>
      <c r="AH936" s="89"/>
      <c r="AI936" s="89"/>
      <c r="AJ936" s="89"/>
      <c r="AK936" s="89"/>
      <c r="AL936" s="89"/>
      <c r="AM936" s="89"/>
      <c r="AN936" s="89"/>
      <c r="AO936" s="89"/>
      <c r="AP936" s="89"/>
      <c r="AQ936" s="89"/>
      <c r="AR936" s="89"/>
      <c r="AS936" s="89"/>
      <c r="AT936" s="89"/>
      <c r="AU936" s="89"/>
      <c r="AV936" s="89"/>
      <c r="AW936" s="89"/>
      <c r="AX936" s="89"/>
      <c r="AY936" s="89"/>
      <c r="AZ936" s="89"/>
    </row>
    <row r="937" ht="12.75" customHeight="1">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c r="AG937" s="89"/>
      <c r="AH937" s="89"/>
      <c r="AI937" s="89"/>
      <c r="AJ937" s="89"/>
      <c r="AK937" s="89"/>
      <c r="AL937" s="89"/>
      <c r="AM937" s="89"/>
      <c r="AN937" s="89"/>
      <c r="AO937" s="89"/>
      <c r="AP937" s="89"/>
      <c r="AQ937" s="89"/>
      <c r="AR937" s="89"/>
      <c r="AS937" s="89"/>
      <c r="AT937" s="89"/>
      <c r="AU937" s="89"/>
      <c r="AV937" s="89"/>
      <c r="AW937" s="89"/>
      <c r="AX937" s="89"/>
      <c r="AY937" s="89"/>
      <c r="AZ937" s="89"/>
    </row>
    <row r="938" ht="12.75" customHeight="1">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c r="AG938" s="89"/>
      <c r="AH938" s="89"/>
      <c r="AI938" s="89"/>
      <c r="AJ938" s="89"/>
      <c r="AK938" s="89"/>
      <c r="AL938" s="89"/>
      <c r="AM938" s="89"/>
      <c r="AN938" s="89"/>
      <c r="AO938" s="89"/>
      <c r="AP938" s="89"/>
      <c r="AQ938" s="89"/>
      <c r="AR938" s="89"/>
      <c r="AS938" s="89"/>
      <c r="AT938" s="89"/>
      <c r="AU938" s="89"/>
      <c r="AV938" s="89"/>
      <c r="AW938" s="89"/>
      <c r="AX938" s="89"/>
      <c r="AY938" s="89"/>
      <c r="AZ938" s="89"/>
    </row>
    <row r="939" ht="12.75" customHeight="1">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c r="AG939" s="89"/>
      <c r="AH939" s="89"/>
      <c r="AI939" s="89"/>
      <c r="AJ939" s="89"/>
      <c r="AK939" s="89"/>
      <c r="AL939" s="89"/>
      <c r="AM939" s="89"/>
      <c r="AN939" s="89"/>
      <c r="AO939" s="89"/>
      <c r="AP939" s="89"/>
      <c r="AQ939" s="89"/>
      <c r="AR939" s="89"/>
      <c r="AS939" s="89"/>
      <c r="AT939" s="89"/>
      <c r="AU939" s="89"/>
      <c r="AV939" s="89"/>
      <c r="AW939" s="89"/>
      <c r="AX939" s="89"/>
      <c r="AY939" s="89"/>
      <c r="AZ939" s="89"/>
    </row>
    <row r="940" ht="12.75" customHeight="1">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c r="AG940" s="89"/>
      <c r="AH940" s="89"/>
      <c r="AI940" s="89"/>
      <c r="AJ940" s="89"/>
      <c r="AK940" s="89"/>
      <c r="AL940" s="89"/>
      <c r="AM940" s="89"/>
      <c r="AN940" s="89"/>
      <c r="AO940" s="89"/>
      <c r="AP940" s="89"/>
      <c r="AQ940" s="89"/>
      <c r="AR940" s="89"/>
      <c r="AS940" s="89"/>
      <c r="AT940" s="89"/>
      <c r="AU940" s="89"/>
      <c r="AV940" s="89"/>
      <c r="AW940" s="89"/>
      <c r="AX940" s="89"/>
      <c r="AY940" s="89"/>
      <c r="AZ940" s="89"/>
    </row>
    <row r="941" ht="12.75" customHeight="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c r="AG941" s="89"/>
      <c r="AH941" s="89"/>
      <c r="AI941" s="89"/>
      <c r="AJ941" s="89"/>
      <c r="AK941" s="89"/>
      <c r="AL941" s="89"/>
      <c r="AM941" s="89"/>
      <c r="AN941" s="89"/>
      <c r="AO941" s="89"/>
      <c r="AP941" s="89"/>
      <c r="AQ941" s="89"/>
      <c r="AR941" s="89"/>
      <c r="AS941" s="89"/>
      <c r="AT941" s="89"/>
      <c r="AU941" s="89"/>
      <c r="AV941" s="89"/>
      <c r="AW941" s="89"/>
      <c r="AX941" s="89"/>
      <c r="AY941" s="89"/>
      <c r="AZ941" s="89"/>
    </row>
    <row r="942" ht="12.75" customHeight="1">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c r="AG942" s="89"/>
      <c r="AH942" s="89"/>
      <c r="AI942" s="89"/>
      <c r="AJ942" s="89"/>
      <c r="AK942" s="89"/>
      <c r="AL942" s="89"/>
      <c r="AM942" s="89"/>
      <c r="AN942" s="89"/>
      <c r="AO942" s="89"/>
      <c r="AP942" s="89"/>
      <c r="AQ942" s="89"/>
      <c r="AR942" s="89"/>
      <c r="AS942" s="89"/>
      <c r="AT942" s="89"/>
      <c r="AU942" s="89"/>
      <c r="AV942" s="89"/>
      <c r="AW942" s="89"/>
      <c r="AX942" s="89"/>
      <c r="AY942" s="89"/>
      <c r="AZ942" s="89"/>
    </row>
    <row r="943" ht="12.75" customHeight="1">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row>
    <row r="944" ht="12.75" customHeight="1">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row>
    <row r="945" ht="12.75" customHeight="1">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row>
    <row r="946" ht="12.75" customHeight="1">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row>
    <row r="947" ht="12.75" customHeight="1">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row>
    <row r="948" ht="12.75" customHeight="1">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row>
    <row r="949" ht="12.75" customHeight="1">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row>
    <row r="950" ht="12.75" customHeight="1">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row>
    <row r="951" ht="12.75" customHeight="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row>
    <row r="952" ht="12.75" customHeight="1">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row>
    <row r="953" ht="12.75" customHeight="1">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row>
    <row r="954" ht="12.75" customHeight="1">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c r="AG954" s="89"/>
      <c r="AH954" s="89"/>
      <c r="AI954" s="89"/>
      <c r="AJ954" s="89"/>
      <c r="AK954" s="89"/>
      <c r="AL954" s="89"/>
      <c r="AM954" s="89"/>
      <c r="AN954" s="89"/>
      <c r="AO954" s="89"/>
      <c r="AP954" s="89"/>
      <c r="AQ954" s="89"/>
      <c r="AR954" s="89"/>
      <c r="AS954" s="89"/>
      <c r="AT954" s="89"/>
      <c r="AU954" s="89"/>
      <c r="AV954" s="89"/>
      <c r="AW954" s="89"/>
      <c r="AX954" s="89"/>
      <c r="AY954" s="89"/>
      <c r="AZ954" s="89"/>
    </row>
    <row r="955" ht="12.75" customHeight="1">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c r="AG955" s="89"/>
      <c r="AH955" s="89"/>
      <c r="AI955" s="89"/>
      <c r="AJ955" s="89"/>
      <c r="AK955" s="89"/>
      <c r="AL955" s="89"/>
      <c r="AM955" s="89"/>
      <c r="AN955" s="89"/>
      <c r="AO955" s="89"/>
      <c r="AP955" s="89"/>
      <c r="AQ955" s="89"/>
      <c r="AR955" s="89"/>
      <c r="AS955" s="89"/>
      <c r="AT955" s="89"/>
      <c r="AU955" s="89"/>
      <c r="AV955" s="89"/>
      <c r="AW955" s="89"/>
      <c r="AX955" s="89"/>
      <c r="AY955" s="89"/>
      <c r="AZ955" s="89"/>
    </row>
    <row r="956" ht="12.75" customHeight="1">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c r="AG956" s="89"/>
      <c r="AH956" s="89"/>
      <c r="AI956" s="89"/>
      <c r="AJ956" s="89"/>
      <c r="AK956" s="89"/>
      <c r="AL956" s="89"/>
      <c r="AM956" s="89"/>
      <c r="AN956" s="89"/>
      <c r="AO956" s="89"/>
      <c r="AP956" s="89"/>
      <c r="AQ956" s="89"/>
      <c r="AR956" s="89"/>
      <c r="AS956" s="89"/>
      <c r="AT956" s="89"/>
      <c r="AU956" s="89"/>
      <c r="AV956" s="89"/>
      <c r="AW956" s="89"/>
      <c r="AX956" s="89"/>
      <c r="AY956" s="89"/>
      <c r="AZ956" s="89"/>
    </row>
    <row r="957" ht="12.75" customHeight="1">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c r="AG957" s="89"/>
      <c r="AH957" s="89"/>
      <c r="AI957" s="89"/>
      <c r="AJ957" s="89"/>
      <c r="AK957" s="89"/>
      <c r="AL957" s="89"/>
      <c r="AM957" s="89"/>
      <c r="AN957" s="89"/>
      <c r="AO957" s="89"/>
      <c r="AP957" s="89"/>
      <c r="AQ957" s="89"/>
      <c r="AR957" s="89"/>
      <c r="AS957" s="89"/>
      <c r="AT957" s="89"/>
      <c r="AU957" s="89"/>
      <c r="AV957" s="89"/>
      <c r="AW957" s="89"/>
      <c r="AX957" s="89"/>
      <c r="AY957" s="89"/>
      <c r="AZ957" s="89"/>
    </row>
    <row r="958" ht="12.75" customHeight="1">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c r="AG958" s="89"/>
      <c r="AH958" s="89"/>
      <c r="AI958" s="89"/>
      <c r="AJ958" s="89"/>
      <c r="AK958" s="89"/>
      <c r="AL958" s="89"/>
      <c r="AM958" s="89"/>
      <c r="AN958" s="89"/>
      <c r="AO958" s="89"/>
      <c r="AP958" s="89"/>
      <c r="AQ958" s="89"/>
      <c r="AR958" s="89"/>
      <c r="AS958" s="89"/>
      <c r="AT958" s="89"/>
      <c r="AU958" s="89"/>
      <c r="AV958" s="89"/>
      <c r="AW958" s="89"/>
      <c r="AX958" s="89"/>
      <c r="AY958" s="89"/>
      <c r="AZ958" s="89"/>
    </row>
    <row r="959" ht="12.75" customHeight="1">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c r="AG959" s="89"/>
      <c r="AH959" s="89"/>
      <c r="AI959" s="89"/>
      <c r="AJ959" s="89"/>
      <c r="AK959" s="89"/>
      <c r="AL959" s="89"/>
      <c r="AM959" s="89"/>
      <c r="AN959" s="89"/>
      <c r="AO959" s="89"/>
      <c r="AP959" s="89"/>
      <c r="AQ959" s="89"/>
      <c r="AR959" s="89"/>
      <c r="AS959" s="89"/>
      <c r="AT959" s="89"/>
      <c r="AU959" s="89"/>
      <c r="AV959" s="89"/>
      <c r="AW959" s="89"/>
      <c r="AX959" s="89"/>
      <c r="AY959" s="89"/>
      <c r="AZ959" s="89"/>
    </row>
    <row r="960" ht="12.75" customHeight="1">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c r="AG960" s="89"/>
      <c r="AH960" s="89"/>
      <c r="AI960" s="89"/>
      <c r="AJ960" s="89"/>
      <c r="AK960" s="89"/>
      <c r="AL960" s="89"/>
      <c r="AM960" s="89"/>
      <c r="AN960" s="89"/>
      <c r="AO960" s="89"/>
      <c r="AP960" s="89"/>
      <c r="AQ960" s="89"/>
      <c r="AR960" s="89"/>
      <c r="AS960" s="89"/>
      <c r="AT960" s="89"/>
      <c r="AU960" s="89"/>
      <c r="AV960" s="89"/>
      <c r="AW960" s="89"/>
      <c r="AX960" s="89"/>
      <c r="AY960" s="89"/>
      <c r="AZ960" s="89"/>
    </row>
    <row r="961" ht="12.75" customHeight="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c r="AG961" s="89"/>
      <c r="AH961" s="89"/>
      <c r="AI961" s="89"/>
      <c r="AJ961" s="89"/>
      <c r="AK961" s="89"/>
      <c r="AL961" s="89"/>
      <c r="AM961" s="89"/>
      <c r="AN961" s="89"/>
      <c r="AO961" s="89"/>
      <c r="AP961" s="89"/>
      <c r="AQ961" s="89"/>
      <c r="AR961" s="89"/>
      <c r="AS961" s="89"/>
      <c r="AT961" s="89"/>
      <c r="AU961" s="89"/>
      <c r="AV961" s="89"/>
      <c r="AW961" s="89"/>
      <c r="AX961" s="89"/>
      <c r="AY961" s="89"/>
      <c r="AZ961" s="89"/>
    </row>
    <row r="962" ht="12.75" customHeight="1">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c r="AG962" s="89"/>
      <c r="AH962" s="89"/>
      <c r="AI962" s="89"/>
      <c r="AJ962" s="89"/>
      <c r="AK962" s="89"/>
      <c r="AL962" s="89"/>
      <c r="AM962" s="89"/>
      <c r="AN962" s="89"/>
      <c r="AO962" s="89"/>
      <c r="AP962" s="89"/>
      <c r="AQ962" s="89"/>
      <c r="AR962" s="89"/>
      <c r="AS962" s="89"/>
      <c r="AT962" s="89"/>
      <c r="AU962" s="89"/>
      <c r="AV962" s="89"/>
      <c r="AW962" s="89"/>
      <c r="AX962" s="89"/>
      <c r="AY962" s="89"/>
      <c r="AZ962" s="89"/>
    </row>
    <row r="963" ht="12.75" customHeight="1">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c r="AG963" s="89"/>
      <c r="AH963" s="89"/>
      <c r="AI963" s="89"/>
      <c r="AJ963" s="89"/>
      <c r="AK963" s="89"/>
      <c r="AL963" s="89"/>
      <c r="AM963" s="89"/>
      <c r="AN963" s="89"/>
      <c r="AO963" s="89"/>
      <c r="AP963" s="89"/>
      <c r="AQ963" s="89"/>
      <c r="AR963" s="89"/>
      <c r="AS963" s="89"/>
      <c r="AT963" s="89"/>
      <c r="AU963" s="89"/>
      <c r="AV963" s="89"/>
      <c r="AW963" s="89"/>
      <c r="AX963" s="89"/>
      <c r="AY963" s="89"/>
      <c r="AZ963" s="89"/>
    </row>
    <row r="964" ht="12.75" customHeight="1">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c r="AG964" s="89"/>
      <c r="AH964" s="89"/>
      <c r="AI964" s="89"/>
      <c r="AJ964" s="89"/>
      <c r="AK964" s="89"/>
      <c r="AL964" s="89"/>
      <c r="AM964" s="89"/>
      <c r="AN964" s="89"/>
      <c r="AO964" s="89"/>
      <c r="AP964" s="89"/>
      <c r="AQ964" s="89"/>
      <c r="AR964" s="89"/>
      <c r="AS964" s="89"/>
      <c r="AT964" s="89"/>
      <c r="AU964" s="89"/>
      <c r="AV964" s="89"/>
      <c r="AW964" s="89"/>
      <c r="AX964" s="89"/>
      <c r="AY964" s="89"/>
      <c r="AZ964" s="89"/>
    </row>
    <row r="965" ht="12.75" customHeight="1">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c r="AG965" s="89"/>
      <c r="AH965" s="89"/>
      <c r="AI965" s="89"/>
      <c r="AJ965" s="89"/>
      <c r="AK965" s="89"/>
      <c r="AL965" s="89"/>
      <c r="AM965" s="89"/>
      <c r="AN965" s="89"/>
      <c r="AO965" s="89"/>
      <c r="AP965" s="89"/>
      <c r="AQ965" s="89"/>
      <c r="AR965" s="89"/>
      <c r="AS965" s="89"/>
      <c r="AT965" s="89"/>
      <c r="AU965" s="89"/>
      <c r="AV965" s="89"/>
      <c r="AW965" s="89"/>
      <c r="AX965" s="89"/>
      <c r="AY965" s="89"/>
      <c r="AZ965" s="89"/>
    </row>
    <row r="966" ht="12.75" customHeight="1">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c r="AG966" s="89"/>
      <c r="AH966" s="89"/>
      <c r="AI966" s="89"/>
      <c r="AJ966" s="89"/>
      <c r="AK966" s="89"/>
      <c r="AL966" s="89"/>
      <c r="AM966" s="89"/>
      <c r="AN966" s="89"/>
      <c r="AO966" s="89"/>
      <c r="AP966" s="89"/>
      <c r="AQ966" s="89"/>
      <c r="AR966" s="89"/>
      <c r="AS966" s="89"/>
      <c r="AT966" s="89"/>
      <c r="AU966" s="89"/>
      <c r="AV966" s="89"/>
      <c r="AW966" s="89"/>
      <c r="AX966" s="89"/>
      <c r="AY966" s="89"/>
      <c r="AZ966" s="89"/>
    </row>
    <row r="967" ht="12.75" customHeight="1">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c r="AG967" s="89"/>
      <c r="AH967" s="89"/>
      <c r="AI967" s="89"/>
      <c r="AJ967" s="89"/>
      <c r="AK967" s="89"/>
      <c r="AL967" s="89"/>
      <c r="AM967" s="89"/>
      <c r="AN967" s="89"/>
      <c r="AO967" s="89"/>
      <c r="AP967" s="89"/>
      <c r="AQ967" s="89"/>
      <c r="AR967" s="89"/>
      <c r="AS967" s="89"/>
      <c r="AT967" s="89"/>
      <c r="AU967" s="89"/>
      <c r="AV967" s="89"/>
      <c r="AW967" s="89"/>
      <c r="AX967" s="89"/>
      <c r="AY967" s="89"/>
      <c r="AZ967" s="89"/>
    </row>
    <row r="968" ht="12.75" customHeight="1">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row>
    <row r="969" ht="12.75" customHeight="1">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row>
    <row r="970" ht="12.75" customHeight="1">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row>
    <row r="971" ht="12.75" customHeight="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row>
    <row r="972" ht="12.75" customHeight="1">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row>
    <row r="973" ht="12.75" customHeight="1">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row>
    <row r="974" ht="12.75" customHeight="1">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row>
    <row r="975" ht="12.75" customHeight="1">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row>
    <row r="976" ht="12.75" customHeight="1">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row>
    <row r="977" ht="12.75" customHeight="1">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row>
    <row r="978" ht="12.75" customHeight="1">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row>
    <row r="979" ht="12.75" customHeight="1">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c r="AG979" s="89"/>
      <c r="AH979" s="89"/>
      <c r="AI979" s="89"/>
      <c r="AJ979" s="89"/>
      <c r="AK979" s="89"/>
      <c r="AL979" s="89"/>
      <c r="AM979" s="89"/>
      <c r="AN979" s="89"/>
      <c r="AO979" s="89"/>
      <c r="AP979" s="89"/>
      <c r="AQ979" s="89"/>
      <c r="AR979" s="89"/>
      <c r="AS979" s="89"/>
      <c r="AT979" s="89"/>
      <c r="AU979" s="89"/>
      <c r="AV979" s="89"/>
      <c r="AW979" s="89"/>
      <c r="AX979" s="89"/>
      <c r="AY979" s="89"/>
      <c r="AZ979" s="89"/>
    </row>
    <row r="980" ht="12.75" customHeight="1">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c r="AG980" s="89"/>
      <c r="AH980" s="89"/>
      <c r="AI980" s="89"/>
      <c r="AJ980" s="89"/>
      <c r="AK980" s="89"/>
      <c r="AL980" s="89"/>
      <c r="AM980" s="89"/>
      <c r="AN980" s="89"/>
      <c r="AO980" s="89"/>
      <c r="AP980" s="89"/>
      <c r="AQ980" s="89"/>
      <c r="AR980" s="89"/>
      <c r="AS980" s="89"/>
      <c r="AT980" s="89"/>
      <c r="AU980" s="89"/>
      <c r="AV980" s="89"/>
      <c r="AW980" s="89"/>
      <c r="AX980" s="89"/>
      <c r="AY980" s="89"/>
      <c r="AZ980" s="89"/>
    </row>
    <row r="981" ht="12.75" customHeight="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c r="AG981" s="89"/>
      <c r="AH981" s="89"/>
      <c r="AI981" s="89"/>
      <c r="AJ981" s="89"/>
      <c r="AK981" s="89"/>
      <c r="AL981" s="89"/>
      <c r="AM981" s="89"/>
      <c r="AN981" s="89"/>
      <c r="AO981" s="89"/>
      <c r="AP981" s="89"/>
      <c r="AQ981" s="89"/>
      <c r="AR981" s="89"/>
      <c r="AS981" s="89"/>
      <c r="AT981" s="89"/>
      <c r="AU981" s="89"/>
      <c r="AV981" s="89"/>
      <c r="AW981" s="89"/>
      <c r="AX981" s="89"/>
      <c r="AY981" s="89"/>
      <c r="AZ981" s="89"/>
    </row>
    <row r="982" ht="12.75" customHeight="1">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c r="AG982" s="89"/>
      <c r="AH982" s="89"/>
      <c r="AI982" s="89"/>
      <c r="AJ982" s="89"/>
      <c r="AK982" s="89"/>
      <c r="AL982" s="89"/>
      <c r="AM982" s="89"/>
      <c r="AN982" s="89"/>
      <c r="AO982" s="89"/>
      <c r="AP982" s="89"/>
      <c r="AQ982" s="89"/>
      <c r="AR982" s="89"/>
      <c r="AS982" s="89"/>
      <c r="AT982" s="89"/>
      <c r="AU982" s="89"/>
      <c r="AV982" s="89"/>
      <c r="AW982" s="89"/>
      <c r="AX982" s="89"/>
      <c r="AY982" s="89"/>
      <c r="AZ982" s="89"/>
    </row>
    <row r="983" ht="12.75" customHeight="1">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c r="AG983" s="89"/>
      <c r="AH983" s="89"/>
      <c r="AI983" s="89"/>
      <c r="AJ983" s="89"/>
      <c r="AK983" s="89"/>
      <c r="AL983" s="89"/>
      <c r="AM983" s="89"/>
      <c r="AN983" s="89"/>
      <c r="AO983" s="89"/>
      <c r="AP983" s="89"/>
      <c r="AQ983" s="89"/>
      <c r="AR983" s="89"/>
      <c r="AS983" s="89"/>
      <c r="AT983" s="89"/>
      <c r="AU983" s="89"/>
      <c r="AV983" s="89"/>
      <c r="AW983" s="89"/>
      <c r="AX983" s="89"/>
      <c r="AY983" s="89"/>
      <c r="AZ983" s="89"/>
    </row>
    <row r="984" ht="12.75" customHeight="1">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c r="AG984" s="89"/>
      <c r="AH984" s="89"/>
      <c r="AI984" s="89"/>
      <c r="AJ984" s="89"/>
      <c r="AK984" s="89"/>
      <c r="AL984" s="89"/>
      <c r="AM984" s="89"/>
      <c r="AN984" s="89"/>
      <c r="AO984" s="89"/>
      <c r="AP984" s="89"/>
      <c r="AQ984" s="89"/>
      <c r="AR984" s="89"/>
      <c r="AS984" s="89"/>
      <c r="AT984" s="89"/>
      <c r="AU984" s="89"/>
      <c r="AV984" s="89"/>
      <c r="AW984" s="89"/>
      <c r="AX984" s="89"/>
      <c r="AY984" s="89"/>
      <c r="AZ984" s="89"/>
    </row>
    <row r="985" ht="12.75" customHeight="1">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c r="AG985" s="89"/>
      <c r="AH985" s="89"/>
      <c r="AI985" s="89"/>
      <c r="AJ985" s="89"/>
      <c r="AK985" s="89"/>
      <c r="AL985" s="89"/>
      <c r="AM985" s="89"/>
      <c r="AN985" s="89"/>
      <c r="AO985" s="89"/>
      <c r="AP985" s="89"/>
      <c r="AQ985" s="89"/>
      <c r="AR985" s="89"/>
      <c r="AS985" s="89"/>
      <c r="AT985" s="89"/>
      <c r="AU985" s="89"/>
      <c r="AV985" s="89"/>
      <c r="AW985" s="89"/>
      <c r="AX985" s="89"/>
      <c r="AY985" s="89"/>
      <c r="AZ985" s="89"/>
    </row>
    <row r="986" ht="12.75" customHeight="1">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c r="AG986" s="89"/>
      <c r="AH986" s="89"/>
      <c r="AI986" s="89"/>
      <c r="AJ986" s="89"/>
      <c r="AK986" s="89"/>
      <c r="AL986" s="89"/>
      <c r="AM986" s="89"/>
      <c r="AN986" s="89"/>
      <c r="AO986" s="89"/>
      <c r="AP986" s="89"/>
      <c r="AQ986" s="89"/>
      <c r="AR986" s="89"/>
      <c r="AS986" s="89"/>
      <c r="AT986" s="89"/>
      <c r="AU986" s="89"/>
      <c r="AV986" s="89"/>
      <c r="AW986" s="89"/>
      <c r="AX986" s="89"/>
      <c r="AY986" s="89"/>
      <c r="AZ986" s="89"/>
    </row>
    <row r="987" ht="12.75" customHeight="1">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c r="AG987" s="89"/>
      <c r="AH987" s="89"/>
      <c r="AI987" s="89"/>
      <c r="AJ987" s="89"/>
      <c r="AK987" s="89"/>
      <c r="AL987" s="89"/>
      <c r="AM987" s="89"/>
      <c r="AN987" s="89"/>
      <c r="AO987" s="89"/>
      <c r="AP987" s="89"/>
      <c r="AQ987" s="89"/>
      <c r="AR987" s="89"/>
      <c r="AS987" s="89"/>
      <c r="AT987" s="89"/>
      <c r="AU987" s="89"/>
      <c r="AV987" s="89"/>
      <c r="AW987" s="89"/>
      <c r="AX987" s="89"/>
      <c r="AY987" s="89"/>
      <c r="AZ987" s="89"/>
    </row>
    <row r="988" ht="12.75" customHeight="1">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c r="AG988" s="89"/>
      <c r="AH988" s="89"/>
      <c r="AI988" s="89"/>
      <c r="AJ988" s="89"/>
      <c r="AK988" s="89"/>
      <c r="AL988" s="89"/>
      <c r="AM988" s="89"/>
      <c r="AN988" s="89"/>
      <c r="AO988" s="89"/>
      <c r="AP988" s="89"/>
      <c r="AQ988" s="89"/>
      <c r="AR988" s="89"/>
      <c r="AS988" s="89"/>
      <c r="AT988" s="89"/>
      <c r="AU988" s="89"/>
      <c r="AV988" s="89"/>
      <c r="AW988" s="89"/>
      <c r="AX988" s="89"/>
      <c r="AY988" s="89"/>
      <c r="AZ988" s="89"/>
    </row>
    <row r="989" ht="12.75" customHeight="1">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c r="AG989" s="89"/>
      <c r="AH989" s="89"/>
      <c r="AI989" s="89"/>
      <c r="AJ989" s="89"/>
      <c r="AK989" s="89"/>
      <c r="AL989" s="89"/>
      <c r="AM989" s="89"/>
      <c r="AN989" s="89"/>
      <c r="AO989" s="89"/>
      <c r="AP989" s="89"/>
      <c r="AQ989" s="89"/>
      <c r="AR989" s="89"/>
      <c r="AS989" s="89"/>
      <c r="AT989" s="89"/>
      <c r="AU989" s="89"/>
      <c r="AV989" s="89"/>
      <c r="AW989" s="89"/>
      <c r="AX989" s="89"/>
      <c r="AY989" s="89"/>
      <c r="AZ989" s="89"/>
    </row>
    <row r="990" ht="12.75" customHeight="1">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c r="AG990" s="89"/>
      <c r="AH990" s="89"/>
      <c r="AI990" s="89"/>
      <c r="AJ990" s="89"/>
      <c r="AK990" s="89"/>
      <c r="AL990" s="89"/>
      <c r="AM990" s="89"/>
      <c r="AN990" s="89"/>
      <c r="AO990" s="89"/>
      <c r="AP990" s="89"/>
      <c r="AQ990" s="89"/>
      <c r="AR990" s="89"/>
      <c r="AS990" s="89"/>
      <c r="AT990" s="89"/>
      <c r="AU990" s="89"/>
      <c r="AV990" s="89"/>
      <c r="AW990" s="89"/>
      <c r="AX990" s="89"/>
      <c r="AY990" s="89"/>
      <c r="AZ990" s="89"/>
    </row>
    <row r="991" ht="12.75" customHeight="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c r="AG991" s="89"/>
      <c r="AH991" s="89"/>
      <c r="AI991" s="89"/>
      <c r="AJ991" s="89"/>
      <c r="AK991" s="89"/>
      <c r="AL991" s="89"/>
      <c r="AM991" s="89"/>
      <c r="AN991" s="89"/>
      <c r="AO991" s="89"/>
      <c r="AP991" s="89"/>
      <c r="AQ991" s="89"/>
      <c r="AR991" s="89"/>
      <c r="AS991" s="89"/>
      <c r="AT991" s="89"/>
      <c r="AU991" s="89"/>
      <c r="AV991" s="89"/>
      <c r="AW991" s="89"/>
      <c r="AX991" s="89"/>
      <c r="AY991" s="89"/>
      <c r="AZ991" s="89"/>
    </row>
    <row r="992" ht="12.75" customHeight="1">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c r="AG992" s="89"/>
      <c r="AH992" s="89"/>
      <c r="AI992" s="89"/>
      <c r="AJ992" s="89"/>
      <c r="AK992" s="89"/>
      <c r="AL992" s="89"/>
      <c r="AM992" s="89"/>
      <c r="AN992" s="89"/>
      <c r="AO992" s="89"/>
      <c r="AP992" s="89"/>
      <c r="AQ992" s="89"/>
      <c r="AR992" s="89"/>
      <c r="AS992" s="89"/>
      <c r="AT992" s="89"/>
      <c r="AU992" s="89"/>
      <c r="AV992" s="89"/>
      <c r="AW992" s="89"/>
      <c r="AX992" s="89"/>
      <c r="AY992" s="89"/>
      <c r="AZ992" s="89"/>
    </row>
    <row r="993" ht="12.75" customHeight="1">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row>
    <row r="994" ht="12.75" customHeight="1">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row>
    <row r="995" ht="12.75" customHeight="1">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row>
    <row r="996" ht="12.75" customHeight="1">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row>
    <row r="997" ht="12.75" customHeight="1">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row>
    <row r="998" ht="12.75" customHeight="1">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row>
    <row r="999" ht="12.75" customHeight="1">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row>
    <row r="1000" ht="12.75" customHeight="1">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row>
  </sheetData>
  <mergeCells count="180">
    <mergeCell ref="B260:C260"/>
    <mergeCell ref="E218:G218"/>
    <mergeCell ref="H218:I218"/>
    <mergeCell ref="J218:K218"/>
    <mergeCell ref="L218:M218"/>
    <mergeCell ref="E259:G259"/>
    <mergeCell ref="L219:M219"/>
    <mergeCell ref="H217:I217"/>
    <mergeCell ref="E217:G217"/>
    <mergeCell ref="J257:K257"/>
    <mergeCell ref="L257:M257"/>
    <mergeCell ref="A246:AZ246"/>
    <mergeCell ref="J219:K219"/>
    <mergeCell ref="J217:K217"/>
    <mergeCell ref="B216:C216"/>
    <mergeCell ref="L217:M217"/>
    <mergeCell ref="A175:B175"/>
    <mergeCell ref="C173:D173"/>
    <mergeCell ref="G173:I173"/>
    <mergeCell ref="J173:K173"/>
    <mergeCell ref="J177:K177"/>
    <mergeCell ref="L177:M177"/>
    <mergeCell ref="F178:I178"/>
    <mergeCell ref="F177:I177"/>
    <mergeCell ref="A206:AZ206"/>
    <mergeCell ref="A162:AZ162"/>
    <mergeCell ref="A176:B176"/>
    <mergeCell ref="L175:M175"/>
    <mergeCell ref="N175:O175"/>
    <mergeCell ref="F175:I175"/>
    <mergeCell ref="F176:I176"/>
    <mergeCell ref="B259:C259"/>
    <mergeCell ref="B256:C256"/>
    <mergeCell ref="E256:G256"/>
    <mergeCell ref="H256:I256"/>
    <mergeCell ref="J256:K256"/>
    <mergeCell ref="L256:M256"/>
    <mergeCell ref="E257:G257"/>
    <mergeCell ref="H257:I257"/>
    <mergeCell ref="E220:G220"/>
    <mergeCell ref="H220:I220"/>
    <mergeCell ref="J220:K220"/>
    <mergeCell ref="L220:M220"/>
    <mergeCell ref="B220:C220"/>
    <mergeCell ref="B219:C219"/>
    <mergeCell ref="L179:M179"/>
    <mergeCell ref="G180:I180"/>
    <mergeCell ref="L180:M180"/>
    <mergeCell ref="J180:K180"/>
    <mergeCell ref="N179:O179"/>
    <mergeCell ref="N180:O180"/>
    <mergeCell ref="N173:O173"/>
    <mergeCell ref="L174:M174"/>
    <mergeCell ref="N174:O174"/>
    <mergeCell ref="G174:I174"/>
    <mergeCell ref="J174:K174"/>
    <mergeCell ref="E219:G219"/>
    <mergeCell ref="H219:I219"/>
    <mergeCell ref="L178:M178"/>
    <mergeCell ref="N177:O177"/>
    <mergeCell ref="N176:O176"/>
    <mergeCell ref="L176:M176"/>
    <mergeCell ref="N178:O178"/>
    <mergeCell ref="J260:K260"/>
    <mergeCell ref="L260:M260"/>
    <mergeCell ref="L258:M258"/>
    <mergeCell ref="H259:I259"/>
    <mergeCell ref="J259:K259"/>
    <mergeCell ref="E260:G260"/>
    <mergeCell ref="H260:I260"/>
    <mergeCell ref="H258:I258"/>
    <mergeCell ref="L259:M259"/>
    <mergeCell ref="J176:K176"/>
    <mergeCell ref="J175:K175"/>
    <mergeCell ref="L173:M173"/>
    <mergeCell ref="J258:K258"/>
    <mergeCell ref="E258:G258"/>
    <mergeCell ref="E216:G216"/>
    <mergeCell ref="H216:I216"/>
    <mergeCell ref="J216:K216"/>
    <mergeCell ref="L216:M216"/>
    <mergeCell ref="J178:K178"/>
    <mergeCell ref="G179:I179"/>
    <mergeCell ref="J179:K179"/>
    <mergeCell ref="E135:G135"/>
    <mergeCell ref="H135:I135"/>
    <mergeCell ref="E133:G133"/>
    <mergeCell ref="H132:I132"/>
    <mergeCell ref="L134:M134"/>
    <mergeCell ref="L92:M92"/>
    <mergeCell ref="L52:M52"/>
    <mergeCell ref="L56:M56"/>
    <mergeCell ref="B13:C13"/>
    <mergeCell ref="E13:G13"/>
    <mergeCell ref="H14:I14"/>
    <mergeCell ref="H13:I13"/>
    <mergeCell ref="J14:K14"/>
    <mergeCell ref="L14:M14"/>
    <mergeCell ref="L15:M15"/>
    <mergeCell ref="J13:K13"/>
    <mergeCell ref="L13:M13"/>
    <mergeCell ref="E56:G56"/>
    <mergeCell ref="H56:I56"/>
    <mergeCell ref="J93:K93"/>
    <mergeCell ref="E93:G93"/>
    <mergeCell ref="H93:I93"/>
    <mergeCell ref="J92:K92"/>
    <mergeCell ref="L93:M93"/>
    <mergeCell ref="A82:AZ82"/>
    <mergeCell ref="A3:AZ3"/>
    <mergeCell ref="A42:AZ42"/>
    <mergeCell ref="H15:I15"/>
    <mergeCell ref="J56:K56"/>
    <mergeCell ref="E94:G94"/>
    <mergeCell ref="H94:I94"/>
    <mergeCell ref="A122:AZ122"/>
    <mergeCell ref="H96:I96"/>
    <mergeCell ref="J96:K96"/>
    <mergeCell ref="J94:K94"/>
    <mergeCell ref="L94:M94"/>
    <mergeCell ref="L132:M132"/>
    <mergeCell ref="L133:M133"/>
    <mergeCell ref="H133:I133"/>
    <mergeCell ref="J133:K133"/>
    <mergeCell ref="B132:C132"/>
    <mergeCell ref="J132:K132"/>
    <mergeCell ref="B92:C92"/>
    <mergeCell ref="E92:G92"/>
    <mergeCell ref="H92:I92"/>
    <mergeCell ref="L16:M16"/>
    <mergeCell ref="L17:M17"/>
    <mergeCell ref="E14:G14"/>
    <mergeCell ref="E15:G15"/>
    <mergeCell ref="H16:I16"/>
    <mergeCell ref="J16:K16"/>
    <mergeCell ref="J15:K15"/>
    <mergeCell ref="J17:K17"/>
    <mergeCell ref="H134:I134"/>
    <mergeCell ref="J134:K134"/>
    <mergeCell ref="E136:G136"/>
    <mergeCell ref="H136:I136"/>
    <mergeCell ref="J135:K135"/>
    <mergeCell ref="L135:M135"/>
    <mergeCell ref="J136:K136"/>
    <mergeCell ref="L136:M136"/>
    <mergeCell ref="E134:G134"/>
    <mergeCell ref="E17:G17"/>
    <mergeCell ref="E16:G16"/>
    <mergeCell ref="E53:G53"/>
    <mergeCell ref="H53:I53"/>
    <mergeCell ref="L53:M53"/>
    <mergeCell ref="E52:G52"/>
    <mergeCell ref="E54:G54"/>
    <mergeCell ref="B55:C55"/>
    <mergeCell ref="B56:C56"/>
    <mergeCell ref="E55:G55"/>
    <mergeCell ref="H54:I54"/>
    <mergeCell ref="J54:K54"/>
    <mergeCell ref="L54:M54"/>
    <mergeCell ref="H55:I55"/>
    <mergeCell ref="J55:K55"/>
    <mergeCell ref="L55:M55"/>
    <mergeCell ref="B17:C17"/>
    <mergeCell ref="B52:C52"/>
    <mergeCell ref="H52:I52"/>
    <mergeCell ref="J52:K52"/>
    <mergeCell ref="B16:C16"/>
    <mergeCell ref="J53:K53"/>
    <mergeCell ref="H17:I17"/>
    <mergeCell ref="B96:C96"/>
    <mergeCell ref="B95:C95"/>
    <mergeCell ref="B136:C136"/>
    <mergeCell ref="B135:C135"/>
    <mergeCell ref="E132:G132"/>
    <mergeCell ref="E95:G95"/>
    <mergeCell ref="H95:I95"/>
    <mergeCell ref="J95:K95"/>
    <mergeCell ref="L95:M95"/>
    <mergeCell ref="E96:G96"/>
    <mergeCell ref="L96:M96"/>
  </mergeCells>
  <conditionalFormatting sqref="B84:AZ84">
    <cfRule type="containsText" dxfId="0" priority="1" operator="containsText" text="Wet">
      <formula>NOT(ISERROR(SEARCH(("Wet"),(B84))))</formula>
    </cfRule>
  </conditionalFormatting>
  <conditionalFormatting sqref="B84:AZ84">
    <cfRule type="containsText" dxfId="1" priority="2" operator="containsText" text="Dry">
      <formula>NOT(ISERROR(SEARCH(("Dry"),(B84))))</formula>
    </cfRule>
  </conditionalFormatting>
  <conditionalFormatting sqref="B124:AZ124">
    <cfRule type="cellIs" dxfId="1" priority="3" operator="equal">
      <formula>"Dry"</formula>
    </cfRule>
  </conditionalFormatting>
  <conditionalFormatting sqref="B124:AZ124">
    <cfRule type="cellIs" dxfId="0" priority="4" operator="equal">
      <formula>"Wet"</formula>
    </cfRule>
  </conditionalFormatting>
  <conditionalFormatting sqref="B124:AZ124">
    <cfRule type="containsText" dxfId="0" priority="5" operator="containsText" text="Wet">
      <formula>NOT(ISERROR(SEARCH(("Wet"),(B124))))</formula>
    </cfRule>
  </conditionalFormatting>
  <conditionalFormatting sqref="B124:AZ124">
    <cfRule type="containsText" dxfId="1" priority="6" operator="containsText" text="Dry">
      <formula>NOT(ISERROR(SEARCH(("Dry"),(B124))))</formula>
    </cfRule>
  </conditionalFormatting>
  <conditionalFormatting sqref="AO164:AZ164">
    <cfRule type="containsText" dxfId="0" priority="7" operator="containsText" text="Wet">
      <formula>NOT(ISERROR(SEARCH(("Wet"),(AO164))))</formula>
    </cfRule>
  </conditionalFormatting>
  <conditionalFormatting sqref="AO164:AZ164">
    <cfRule type="containsText" dxfId="1" priority="8" operator="containsText" text="Dry">
      <formula>NOT(ISERROR(SEARCH(("Dry"),(AO164))))</formula>
    </cfRule>
  </conditionalFormatting>
  <conditionalFormatting sqref="AZ248">
    <cfRule type="containsText" dxfId="0" priority="9" operator="containsText" text="Wet">
      <formula>NOT(ISERROR(SEARCH(("Wet"),(AZ248))))</formula>
    </cfRule>
  </conditionalFormatting>
  <conditionalFormatting sqref="AZ248">
    <cfRule type="containsText" dxfId="1" priority="10" operator="containsText" text="Dry">
      <formula>NOT(ISERROR(SEARCH(("Dry"),(AZ248))))</formula>
    </cfRule>
  </conditionalFormatting>
  <printOptions/>
  <pageMargins bottom="0.75" footer="0.0" header="0.0" left="0.7" right="0.7" top="0.75"/>
  <pageSetup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F2CB"/>
    <pageSetUpPr/>
  </sheetPr>
  <sheetViews>
    <sheetView workbookViewId="0"/>
  </sheetViews>
  <sheetFormatPr customHeight="1" defaultColWidth="14.43" defaultRowHeight="15.0"/>
  <cols>
    <col customWidth="1" min="1" max="1" width="8.71"/>
    <col customWidth="1" min="2" max="2" width="29.86"/>
    <col customWidth="1" min="3" max="53" width="8.71"/>
  </cols>
  <sheetData>
    <row r="1">
      <c r="A1" s="1" t="s">
        <v>0</v>
      </c>
      <c r="B1" s="2" t="s">
        <v>1</v>
      </c>
      <c r="C1" s="2">
        <v>1980.0</v>
      </c>
      <c r="D1" s="2">
        <v>1981.0</v>
      </c>
      <c r="E1" s="2">
        <v>1982.0</v>
      </c>
      <c r="F1" s="2">
        <v>1983.0</v>
      </c>
      <c r="G1" s="2">
        <v>1984.0</v>
      </c>
      <c r="H1" s="2">
        <v>1985.0</v>
      </c>
      <c r="I1" s="2">
        <v>1986.0</v>
      </c>
      <c r="J1" s="2">
        <v>1987.0</v>
      </c>
      <c r="K1" s="2">
        <v>1988.0</v>
      </c>
      <c r="L1" s="2">
        <v>1989.0</v>
      </c>
      <c r="M1" s="2">
        <v>1990.0</v>
      </c>
      <c r="N1" s="2">
        <v>1991.0</v>
      </c>
      <c r="O1" s="2">
        <v>1992.0</v>
      </c>
      <c r="P1" s="2">
        <v>1993.0</v>
      </c>
      <c r="Q1" s="2">
        <v>1994.0</v>
      </c>
      <c r="R1" s="2">
        <v>1995.0</v>
      </c>
      <c r="S1" s="2">
        <v>1996.0</v>
      </c>
      <c r="T1" s="2">
        <v>1997.0</v>
      </c>
      <c r="U1" s="2">
        <v>1998.0</v>
      </c>
      <c r="V1" s="2">
        <v>1999.0</v>
      </c>
      <c r="W1" s="2">
        <v>2000.0</v>
      </c>
      <c r="X1" s="2">
        <v>2001.0</v>
      </c>
      <c r="Y1" s="2">
        <v>2002.0</v>
      </c>
      <c r="Z1" s="2">
        <v>2003.0</v>
      </c>
      <c r="AA1" s="2">
        <v>2004.0</v>
      </c>
      <c r="AB1" s="2">
        <v>2005.0</v>
      </c>
      <c r="AC1" s="2">
        <v>2006.0</v>
      </c>
      <c r="AD1" s="2">
        <v>2007.0</v>
      </c>
      <c r="AE1" s="2">
        <v>2008.0</v>
      </c>
      <c r="AF1" s="2">
        <v>2009.0</v>
      </c>
      <c r="AG1" s="2">
        <v>2010.0</v>
      </c>
      <c r="AH1" s="2">
        <v>2011.0</v>
      </c>
      <c r="AI1" s="2">
        <v>2012.0</v>
      </c>
      <c r="AJ1" s="2">
        <v>2013.0</v>
      </c>
      <c r="AK1" s="2">
        <v>2014.0</v>
      </c>
      <c r="AL1" s="2">
        <v>2015.0</v>
      </c>
      <c r="AM1" s="2">
        <v>2016.0</v>
      </c>
      <c r="AN1" s="2">
        <v>2017.0</v>
      </c>
      <c r="AO1" s="2">
        <v>2018.0</v>
      </c>
      <c r="AP1" s="2">
        <v>2019.0</v>
      </c>
      <c r="AQ1" s="2">
        <v>2020.0</v>
      </c>
      <c r="AR1" s="2">
        <v>2021.0</v>
      </c>
      <c r="AS1" s="2">
        <v>2022.0</v>
      </c>
      <c r="AT1" s="2">
        <v>2023.0</v>
      </c>
      <c r="AU1" s="2">
        <v>2024.0</v>
      </c>
      <c r="AV1" s="2">
        <v>2025.0</v>
      </c>
      <c r="AW1" s="2">
        <v>2026.0</v>
      </c>
      <c r="AX1" s="2">
        <v>2027.0</v>
      </c>
      <c r="AY1" s="2">
        <v>2028.0</v>
      </c>
      <c r="AZ1" s="2">
        <v>2029.0</v>
      </c>
      <c r="BA1" s="3">
        <v>2030.0</v>
      </c>
    </row>
    <row r="2" ht="21.75" customHeight="1">
      <c r="A2" s="4" t="s">
        <v>2</v>
      </c>
      <c r="B2" s="5" t="s">
        <v>3</v>
      </c>
      <c r="C2" s="6" t="s">
        <v>4</v>
      </c>
      <c r="D2" s="6" t="s">
        <v>4</v>
      </c>
      <c r="E2" s="6" t="s">
        <v>4</v>
      </c>
      <c r="F2" s="6" t="s">
        <v>4</v>
      </c>
      <c r="G2" s="6" t="s">
        <v>4</v>
      </c>
      <c r="H2" s="7">
        <v>60360.0</v>
      </c>
      <c r="I2" s="7">
        <v>66042.0</v>
      </c>
      <c r="J2" s="7">
        <v>61474.0</v>
      </c>
      <c r="K2" s="7">
        <v>51786.0</v>
      </c>
      <c r="L2" s="7">
        <v>55643.0</v>
      </c>
      <c r="M2" s="7">
        <v>50260.0</v>
      </c>
      <c r="N2" s="7">
        <v>62477.0</v>
      </c>
      <c r="O2" s="7">
        <v>49480.0</v>
      </c>
      <c r="P2" s="7">
        <v>62362.0</v>
      </c>
      <c r="Q2" s="7">
        <v>49763.0</v>
      </c>
      <c r="R2" s="7">
        <v>71895.0</v>
      </c>
      <c r="S2" s="7">
        <v>60642.0</v>
      </c>
      <c r="T2" s="7">
        <v>66952.0</v>
      </c>
      <c r="U2" s="7">
        <v>70414.0</v>
      </c>
      <c r="V2" s="7">
        <v>67927.0</v>
      </c>
      <c r="W2" s="7">
        <v>50405.0</v>
      </c>
      <c r="X2" s="7">
        <v>50643.0</v>
      </c>
      <c r="Y2" s="7">
        <v>44327.0</v>
      </c>
      <c r="Z2" s="7">
        <v>50393.0</v>
      </c>
      <c r="AA2" s="7">
        <v>57939.0</v>
      </c>
      <c r="AB2" s="7">
        <v>66014.0</v>
      </c>
      <c r="AC2" s="7">
        <v>56371.0</v>
      </c>
      <c r="AD2" s="7">
        <v>50890.0</v>
      </c>
      <c r="AE2" s="7">
        <v>62387.0</v>
      </c>
      <c r="AF2" s="7">
        <v>67265.0</v>
      </c>
      <c r="AG2" s="7">
        <v>63614.0</v>
      </c>
      <c r="AH2" s="7">
        <v>66558.0</v>
      </c>
      <c r="AI2" s="7">
        <v>50817.0</v>
      </c>
      <c r="AJ2" s="7">
        <v>53942.0</v>
      </c>
      <c r="AK2" s="7">
        <v>65652.0</v>
      </c>
      <c r="AL2" s="7">
        <v>69697.0</v>
      </c>
      <c r="AM2" s="7">
        <v>76834.0</v>
      </c>
      <c r="AN2" s="7">
        <v>74970.0</v>
      </c>
      <c r="AO2" s="7">
        <v>69477.0</v>
      </c>
      <c r="AP2" s="7"/>
      <c r="AQ2" s="7"/>
      <c r="AR2" s="7"/>
      <c r="AS2" s="7"/>
      <c r="AT2" s="7"/>
      <c r="AU2" s="7"/>
      <c r="AV2" s="7"/>
      <c r="AW2" s="7"/>
      <c r="AX2" s="7"/>
      <c r="AY2" s="7"/>
      <c r="AZ2" s="7"/>
      <c r="BA2" s="8"/>
    </row>
    <row r="3" ht="21.75" customHeight="1">
      <c r="A3" s="9"/>
      <c r="B3" s="10" t="s">
        <v>5</v>
      </c>
      <c r="C3" s="11" t="s">
        <v>4</v>
      </c>
      <c r="D3" s="11" t="s">
        <v>4</v>
      </c>
      <c r="E3" s="11" t="s">
        <v>4</v>
      </c>
      <c r="F3" s="11" t="s">
        <v>4</v>
      </c>
      <c r="G3" s="11" t="s">
        <v>4</v>
      </c>
      <c r="H3" s="12">
        <v>33953.0</v>
      </c>
      <c r="I3" s="12">
        <v>53983.0</v>
      </c>
      <c r="J3" s="12">
        <v>27124.0</v>
      </c>
      <c r="K3" s="12">
        <v>20144.0</v>
      </c>
      <c r="L3" s="12">
        <v>44959.0</v>
      </c>
      <c r="M3" s="12">
        <v>33654.0</v>
      </c>
      <c r="N3" s="12">
        <v>43194.0</v>
      </c>
      <c r="O3" s="12">
        <v>30179.0</v>
      </c>
      <c r="P3" s="12">
        <v>55253.0</v>
      </c>
      <c r="Q3" s="12">
        <v>21186.0</v>
      </c>
      <c r="R3" s="12">
        <v>56195.0</v>
      </c>
      <c r="S3" s="12">
        <v>35256.0</v>
      </c>
      <c r="T3" s="12">
        <v>51991.0</v>
      </c>
      <c r="U3" s="12">
        <v>60284.0</v>
      </c>
      <c r="V3" s="12">
        <v>55043.0</v>
      </c>
      <c r="W3" s="12">
        <v>22865.0</v>
      </c>
      <c r="X3" s="12">
        <v>31638.0</v>
      </c>
      <c r="Y3" s="12">
        <v>23031.0</v>
      </c>
      <c r="Z3" s="12">
        <v>38426.0</v>
      </c>
      <c r="AA3" s="12">
        <v>43470.0</v>
      </c>
      <c r="AB3" s="12">
        <v>47108.0</v>
      </c>
      <c r="AC3" s="12">
        <v>43936.0</v>
      </c>
      <c r="AD3" s="12">
        <v>26951.0</v>
      </c>
      <c r="AE3" s="12">
        <v>39922.0</v>
      </c>
      <c r="AF3" s="12">
        <v>48433.0</v>
      </c>
      <c r="AG3" s="12">
        <v>42640.0</v>
      </c>
      <c r="AH3" s="12">
        <v>57465.0</v>
      </c>
      <c r="AI3" s="12">
        <v>33025.0</v>
      </c>
      <c r="AJ3" s="12">
        <v>30973.0</v>
      </c>
      <c r="AK3" s="12">
        <v>54942.0</v>
      </c>
      <c r="AL3" s="12">
        <v>26208.0</v>
      </c>
      <c r="AM3" s="12">
        <v>47844.0</v>
      </c>
      <c r="AN3" s="12">
        <v>50641.0</v>
      </c>
      <c r="AO3" s="12">
        <v>46397.0</v>
      </c>
      <c r="AP3" s="12"/>
      <c r="AQ3" s="12"/>
      <c r="AR3" s="12"/>
      <c r="AS3" s="12"/>
      <c r="AT3" s="12"/>
      <c r="AU3" s="12"/>
      <c r="AV3" s="12"/>
      <c r="AW3" s="12"/>
      <c r="AX3" s="12"/>
      <c r="AY3" s="12"/>
      <c r="AZ3" s="12"/>
      <c r="BA3" s="13"/>
    </row>
    <row r="4" ht="21.75" customHeight="1">
      <c r="A4" s="9"/>
      <c r="B4" s="14" t="s">
        <v>6</v>
      </c>
      <c r="C4" s="15" t="s">
        <v>7</v>
      </c>
      <c r="D4" s="15" t="s">
        <v>7</v>
      </c>
      <c r="E4" s="15" t="s">
        <v>7</v>
      </c>
      <c r="F4" s="15" t="s">
        <v>7</v>
      </c>
      <c r="G4" s="15" t="s">
        <v>7</v>
      </c>
      <c r="H4" s="16">
        <f t="shared" ref="H4:BA4" si="1">AVERAGE(H2:H3)</f>
        <v>47156.5</v>
      </c>
      <c r="I4" s="16">
        <f t="shared" si="1"/>
        <v>60012.5</v>
      </c>
      <c r="J4" s="16">
        <f t="shared" si="1"/>
        <v>44299</v>
      </c>
      <c r="K4" s="16">
        <f t="shared" si="1"/>
        <v>35965</v>
      </c>
      <c r="L4" s="16">
        <f t="shared" si="1"/>
        <v>50301</v>
      </c>
      <c r="M4" s="16">
        <f t="shared" si="1"/>
        <v>41957</v>
      </c>
      <c r="N4" s="16">
        <f t="shared" si="1"/>
        <v>52835.5</v>
      </c>
      <c r="O4" s="16">
        <f t="shared" si="1"/>
        <v>39829.5</v>
      </c>
      <c r="P4" s="16">
        <f t="shared" si="1"/>
        <v>58807.5</v>
      </c>
      <c r="Q4" s="16">
        <f t="shared" si="1"/>
        <v>35474.5</v>
      </c>
      <c r="R4" s="16">
        <f t="shared" si="1"/>
        <v>64045</v>
      </c>
      <c r="S4" s="16">
        <f t="shared" si="1"/>
        <v>47949</v>
      </c>
      <c r="T4" s="16">
        <f t="shared" si="1"/>
        <v>59471.5</v>
      </c>
      <c r="U4" s="16">
        <f t="shared" si="1"/>
        <v>65349</v>
      </c>
      <c r="V4" s="16">
        <f t="shared" si="1"/>
        <v>61485</v>
      </c>
      <c r="W4" s="16">
        <f t="shared" si="1"/>
        <v>36635</v>
      </c>
      <c r="X4" s="16">
        <f t="shared" si="1"/>
        <v>41140.5</v>
      </c>
      <c r="Y4" s="16">
        <f t="shared" si="1"/>
        <v>33679</v>
      </c>
      <c r="Z4" s="16">
        <f t="shared" si="1"/>
        <v>44409.5</v>
      </c>
      <c r="AA4" s="16">
        <f t="shared" si="1"/>
        <v>50704.5</v>
      </c>
      <c r="AB4" s="16">
        <f t="shared" si="1"/>
        <v>56561</v>
      </c>
      <c r="AC4" s="16">
        <f t="shared" si="1"/>
        <v>50153.5</v>
      </c>
      <c r="AD4" s="16">
        <f t="shared" si="1"/>
        <v>38920.5</v>
      </c>
      <c r="AE4" s="16">
        <f t="shared" si="1"/>
        <v>51154.5</v>
      </c>
      <c r="AF4" s="16">
        <f t="shared" si="1"/>
        <v>57849</v>
      </c>
      <c r="AG4" s="16">
        <f t="shared" si="1"/>
        <v>53127</v>
      </c>
      <c r="AH4" s="16">
        <f t="shared" si="1"/>
        <v>62011.5</v>
      </c>
      <c r="AI4" s="16">
        <f t="shared" si="1"/>
        <v>41921</v>
      </c>
      <c r="AJ4" s="16">
        <f t="shared" si="1"/>
        <v>42457.5</v>
      </c>
      <c r="AK4" s="16">
        <f t="shared" si="1"/>
        <v>60297</v>
      </c>
      <c r="AL4" s="16">
        <f t="shared" si="1"/>
        <v>47952.5</v>
      </c>
      <c r="AM4" s="16">
        <f t="shared" si="1"/>
        <v>62339</v>
      </c>
      <c r="AN4" s="16">
        <f t="shared" si="1"/>
        <v>62805.5</v>
      </c>
      <c r="AO4" s="16">
        <f t="shared" si="1"/>
        <v>57937</v>
      </c>
      <c r="AP4" s="16" t="str">
        <f t="shared" si="1"/>
        <v>#DIV/0!</v>
      </c>
      <c r="AQ4" s="16" t="str">
        <f t="shared" si="1"/>
        <v>#DIV/0!</v>
      </c>
      <c r="AR4" s="16" t="str">
        <f t="shared" si="1"/>
        <v>#DIV/0!</v>
      </c>
      <c r="AS4" s="16" t="str">
        <f t="shared" si="1"/>
        <v>#DIV/0!</v>
      </c>
      <c r="AT4" s="16" t="str">
        <f t="shared" si="1"/>
        <v>#DIV/0!</v>
      </c>
      <c r="AU4" s="16" t="str">
        <f t="shared" si="1"/>
        <v>#DIV/0!</v>
      </c>
      <c r="AV4" s="16" t="str">
        <f t="shared" si="1"/>
        <v>#DIV/0!</v>
      </c>
      <c r="AW4" s="16" t="str">
        <f t="shared" si="1"/>
        <v>#DIV/0!</v>
      </c>
      <c r="AX4" s="16" t="str">
        <f t="shared" si="1"/>
        <v>#DIV/0!</v>
      </c>
      <c r="AY4" s="16" t="str">
        <f t="shared" si="1"/>
        <v>#DIV/0!</v>
      </c>
      <c r="AZ4" s="16" t="str">
        <f t="shared" si="1"/>
        <v>#DIV/0!</v>
      </c>
      <c r="BA4" s="17" t="str">
        <f t="shared" si="1"/>
        <v>#DIV/0!</v>
      </c>
    </row>
    <row r="5" ht="21.75" customHeight="1">
      <c r="A5" s="18"/>
      <c r="B5" s="19" t="s">
        <v>8</v>
      </c>
      <c r="C5" s="20" t="s">
        <v>7</v>
      </c>
      <c r="D5" s="20" t="s">
        <v>7</v>
      </c>
      <c r="E5" s="20" t="s">
        <v>7</v>
      </c>
      <c r="F5" s="20" t="s">
        <v>7</v>
      </c>
      <c r="G5" s="20" t="s">
        <v>7</v>
      </c>
      <c r="H5" s="21">
        <f t="shared" ref="H5:BA5" si="2">H3/H2</f>
        <v>0.5625082836</v>
      </c>
      <c r="I5" s="21">
        <f t="shared" si="2"/>
        <v>0.8174040762</v>
      </c>
      <c r="J5" s="21">
        <f t="shared" si="2"/>
        <v>0.4412271855</v>
      </c>
      <c r="K5" s="21">
        <f t="shared" si="2"/>
        <v>0.3889854401</v>
      </c>
      <c r="L5" s="21">
        <f t="shared" si="2"/>
        <v>0.8079902234</v>
      </c>
      <c r="M5" s="21">
        <f t="shared" si="2"/>
        <v>0.6695980899</v>
      </c>
      <c r="N5" s="21">
        <f t="shared" si="2"/>
        <v>0.6913584199</v>
      </c>
      <c r="O5" s="21">
        <f t="shared" si="2"/>
        <v>0.6099232013</v>
      </c>
      <c r="P5" s="21">
        <f t="shared" si="2"/>
        <v>0.8860042975</v>
      </c>
      <c r="Q5" s="21">
        <f t="shared" si="2"/>
        <v>0.4257379981</v>
      </c>
      <c r="R5" s="21">
        <f t="shared" si="2"/>
        <v>0.7816259823</v>
      </c>
      <c r="S5" s="21">
        <f t="shared" si="2"/>
        <v>0.5813792421</v>
      </c>
      <c r="T5" s="21">
        <f t="shared" si="2"/>
        <v>0.7765414028</v>
      </c>
      <c r="U5" s="21">
        <f t="shared" si="2"/>
        <v>0.8561365638</v>
      </c>
      <c r="V5" s="21">
        <f t="shared" si="2"/>
        <v>0.8103257909</v>
      </c>
      <c r="W5" s="21">
        <f t="shared" si="2"/>
        <v>0.4536256324</v>
      </c>
      <c r="X5" s="21">
        <f t="shared" si="2"/>
        <v>0.6247260233</v>
      </c>
      <c r="Y5" s="21">
        <f t="shared" si="2"/>
        <v>0.519570465</v>
      </c>
      <c r="Z5" s="21">
        <f t="shared" si="2"/>
        <v>0.7625265414</v>
      </c>
      <c r="AA5" s="21">
        <f t="shared" si="2"/>
        <v>0.7502718376</v>
      </c>
      <c r="AB5" s="21">
        <f t="shared" si="2"/>
        <v>0.7136062047</v>
      </c>
      <c r="AC5" s="21">
        <f t="shared" si="2"/>
        <v>0.7794078516</v>
      </c>
      <c r="AD5" s="21">
        <f t="shared" si="2"/>
        <v>0.5295932403</v>
      </c>
      <c r="AE5" s="21">
        <f t="shared" si="2"/>
        <v>0.6399089554</v>
      </c>
      <c r="AF5" s="21">
        <f t="shared" si="2"/>
        <v>0.7200327065</v>
      </c>
      <c r="AG5" s="21">
        <f t="shared" si="2"/>
        <v>0.6702927029</v>
      </c>
      <c r="AH5" s="21">
        <f t="shared" si="2"/>
        <v>0.8633823132</v>
      </c>
      <c r="AI5" s="21">
        <f t="shared" si="2"/>
        <v>0.6498809454</v>
      </c>
      <c r="AJ5" s="21">
        <f t="shared" si="2"/>
        <v>0.5741907975</v>
      </c>
      <c r="AK5" s="21">
        <f t="shared" si="2"/>
        <v>0.8368671175</v>
      </c>
      <c r="AL5" s="21">
        <f t="shared" si="2"/>
        <v>0.3760276626</v>
      </c>
      <c r="AM5" s="21">
        <f t="shared" si="2"/>
        <v>0.6226930786</v>
      </c>
      <c r="AN5" s="21">
        <f t="shared" si="2"/>
        <v>0.6754835267</v>
      </c>
      <c r="AO5" s="21">
        <f t="shared" si="2"/>
        <v>0.6678037336</v>
      </c>
      <c r="AP5" s="21" t="str">
        <f t="shared" si="2"/>
        <v>#DIV/0!</v>
      </c>
      <c r="AQ5" s="21" t="str">
        <f t="shared" si="2"/>
        <v>#DIV/0!</v>
      </c>
      <c r="AR5" s="21" t="str">
        <f t="shared" si="2"/>
        <v>#DIV/0!</v>
      </c>
      <c r="AS5" s="21" t="str">
        <f t="shared" si="2"/>
        <v>#DIV/0!</v>
      </c>
      <c r="AT5" s="21" t="str">
        <f t="shared" si="2"/>
        <v>#DIV/0!</v>
      </c>
      <c r="AU5" s="21" t="str">
        <f t="shared" si="2"/>
        <v>#DIV/0!</v>
      </c>
      <c r="AV5" s="21" t="str">
        <f t="shared" si="2"/>
        <v>#DIV/0!</v>
      </c>
      <c r="AW5" s="21" t="str">
        <f t="shared" si="2"/>
        <v>#DIV/0!</v>
      </c>
      <c r="AX5" s="21" t="str">
        <f t="shared" si="2"/>
        <v>#DIV/0!</v>
      </c>
      <c r="AY5" s="21" t="str">
        <f t="shared" si="2"/>
        <v>#DIV/0!</v>
      </c>
      <c r="AZ5" s="21" t="str">
        <f t="shared" si="2"/>
        <v>#DIV/0!</v>
      </c>
      <c r="BA5" s="22" t="str">
        <f t="shared" si="2"/>
        <v>#DIV/0!</v>
      </c>
    </row>
    <row r="6" ht="21.75" customHeight="1">
      <c r="A6" s="4" t="s">
        <v>9</v>
      </c>
      <c r="B6" s="5" t="s">
        <v>3</v>
      </c>
      <c r="C6" s="6" t="s">
        <v>4</v>
      </c>
      <c r="D6" s="6" t="s">
        <v>4</v>
      </c>
      <c r="E6" s="6" t="s">
        <v>4</v>
      </c>
      <c r="F6" s="6" t="s">
        <v>4</v>
      </c>
      <c r="G6" s="6" t="s">
        <v>4</v>
      </c>
      <c r="H6" s="7">
        <v>278604.0</v>
      </c>
      <c r="I6" s="7">
        <v>316434.0</v>
      </c>
      <c r="J6" s="7">
        <v>305562.0</v>
      </c>
      <c r="K6" s="7">
        <v>261282.0</v>
      </c>
      <c r="L6" s="7">
        <v>287810.0</v>
      </c>
      <c r="M6" s="7">
        <v>229901.0</v>
      </c>
      <c r="N6" s="7">
        <v>284081.0</v>
      </c>
      <c r="O6" s="7">
        <v>216395.0</v>
      </c>
      <c r="P6" s="7">
        <v>297874.0</v>
      </c>
      <c r="Q6" s="7">
        <v>240284.0</v>
      </c>
      <c r="R6" s="7">
        <v>320030.0</v>
      </c>
      <c r="S6" s="7">
        <v>333516.0</v>
      </c>
      <c r="T6" s="7">
        <v>332692.0</v>
      </c>
      <c r="U6" s="7">
        <v>360488.0</v>
      </c>
      <c r="V6" s="7">
        <v>328041.0</v>
      </c>
      <c r="W6" s="7">
        <v>222981.0</v>
      </c>
      <c r="X6" s="7">
        <v>242339.0</v>
      </c>
      <c r="Y6" s="7">
        <v>223149.0</v>
      </c>
      <c r="Z6" s="7">
        <v>263830.0</v>
      </c>
      <c r="AA6" s="7">
        <v>283106.0</v>
      </c>
      <c r="AB6" s="7">
        <v>313186.0</v>
      </c>
      <c r="AC6" s="7">
        <v>260486.0</v>
      </c>
      <c r="AD6" s="7">
        <v>220106.0</v>
      </c>
      <c r="AE6" s="7">
        <v>279452.0</v>
      </c>
      <c r="AF6" s="7">
        <v>322098.0</v>
      </c>
      <c r="AG6" s="7">
        <v>288429.0</v>
      </c>
      <c r="AH6" s="7">
        <v>321749.0</v>
      </c>
      <c r="AI6" s="7">
        <v>233838.0</v>
      </c>
      <c r="AJ6" s="7">
        <v>250280.0</v>
      </c>
      <c r="AK6" s="7">
        <v>333928.0</v>
      </c>
      <c r="AL6" s="7">
        <v>342948.0</v>
      </c>
      <c r="AM6" s="7">
        <v>361997.0</v>
      </c>
      <c r="AN6" s="7">
        <v>374502.0</v>
      </c>
      <c r="AO6" s="7">
        <v>348598.0</v>
      </c>
      <c r="AP6" s="7"/>
      <c r="AQ6" s="7"/>
      <c r="AR6" s="7"/>
      <c r="AS6" s="7"/>
      <c r="AT6" s="7"/>
      <c r="AU6" s="7"/>
      <c r="AV6" s="7"/>
      <c r="AW6" s="7"/>
      <c r="AX6" s="7"/>
      <c r="AY6" s="7"/>
      <c r="AZ6" s="7"/>
      <c r="BA6" s="8"/>
    </row>
    <row r="7" ht="21.75" customHeight="1">
      <c r="A7" s="9"/>
      <c r="B7" s="10" t="s">
        <v>5</v>
      </c>
      <c r="C7" s="11" t="s">
        <v>4</v>
      </c>
      <c r="D7" s="11" t="s">
        <v>4</v>
      </c>
      <c r="E7" s="11" t="s">
        <v>4</v>
      </c>
      <c r="F7" s="11" t="s">
        <v>4</v>
      </c>
      <c r="G7" s="11" t="s">
        <v>4</v>
      </c>
      <c r="H7" s="12">
        <v>161252.0</v>
      </c>
      <c r="I7" s="12">
        <v>247676.0</v>
      </c>
      <c r="J7" s="12">
        <v>109841.0</v>
      </c>
      <c r="K7" s="12">
        <v>53882.0</v>
      </c>
      <c r="L7" s="12">
        <v>251872.0</v>
      </c>
      <c r="M7" s="12">
        <v>166569.0</v>
      </c>
      <c r="N7" s="12">
        <v>227918.0</v>
      </c>
      <c r="O7" s="12">
        <v>67340.0</v>
      </c>
      <c r="P7" s="12">
        <v>255634.0</v>
      </c>
      <c r="Q7" s="12">
        <v>91125.0</v>
      </c>
      <c r="R7" s="12">
        <v>272687.0</v>
      </c>
      <c r="S7" s="12">
        <v>239316.0</v>
      </c>
      <c r="T7" s="12">
        <v>232657.0</v>
      </c>
      <c r="U7" s="12">
        <v>298946.0</v>
      </c>
      <c r="V7" s="12">
        <v>235390.0</v>
      </c>
      <c r="W7" s="12">
        <v>132183.0</v>
      </c>
      <c r="X7" s="12">
        <v>156300.0</v>
      </c>
      <c r="Y7" s="12">
        <v>85550.0</v>
      </c>
      <c r="Z7" s="12">
        <v>204281.0</v>
      </c>
      <c r="AA7" s="12">
        <v>224012.0</v>
      </c>
      <c r="AB7" s="12">
        <v>226323.0</v>
      </c>
      <c r="AC7" s="12">
        <v>193760.0</v>
      </c>
      <c r="AD7" s="12">
        <v>139470.0</v>
      </c>
      <c r="AE7" s="12">
        <v>206312.0</v>
      </c>
      <c r="AF7" s="12">
        <v>241594.0</v>
      </c>
      <c r="AG7" s="12">
        <v>217659.0</v>
      </c>
      <c r="AH7" s="12">
        <v>258638.0</v>
      </c>
      <c r="AI7" s="12">
        <v>122179.0</v>
      </c>
      <c r="AJ7" s="12">
        <v>157674.0</v>
      </c>
      <c r="AK7" s="12">
        <v>270008.0</v>
      </c>
      <c r="AL7" s="12">
        <v>161845.0</v>
      </c>
      <c r="AM7" s="12">
        <v>234048.0</v>
      </c>
      <c r="AN7" s="12">
        <v>287809.0</v>
      </c>
      <c r="AO7" s="12">
        <v>260100.0</v>
      </c>
      <c r="AP7" s="12"/>
      <c r="AQ7" s="12"/>
      <c r="AR7" s="12"/>
      <c r="AS7" s="12"/>
      <c r="AT7" s="12"/>
      <c r="AU7" s="12"/>
      <c r="AV7" s="12"/>
      <c r="AW7" s="12"/>
      <c r="AX7" s="12"/>
      <c r="AY7" s="12"/>
      <c r="AZ7" s="12"/>
      <c r="BA7" s="13"/>
    </row>
    <row r="8" ht="21.75" customHeight="1">
      <c r="A8" s="9"/>
      <c r="B8" s="14" t="s">
        <v>6</v>
      </c>
      <c r="C8" s="15" t="s">
        <v>7</v>
      </c>
      <c r="D8" s="15" t="s">
        <v>7</v>
      </c>
      <c r="E8" s="15" t="s">
        <v>7</v>
      </c>
      <c r="F8" s="15" t="s">
        <v>7</v>
      </c>
      <c r="G8" s="15" t="s">
        <v>7</v>
      </c>
      <c r="H8" s="16">
        <f t="shared" ref="H8:BA8" si="3">AVERAGE(H6:H7)</f>
        <v>219928</v>
      </c>
      <c r="I8" s="16">
        <f t="shared" si="3"/>
        <v>282055</v>
      </c>
      <c r="J8" s="16">
        <f t="shared" si="3"/>
        <v>207701.5</v>
      </c>
      <c r="K8" s="16">
        <f t="shared" si="3"/>
        <v>157582</v>
      </c>
      <c r="L8" s="16">
        <f t="shared" si="3"/>
        <v>269841</v>
      </c>
      <c r="M8" s="16">
        <f t="shared" si="3"/>
        <v>198235</v>
      </c>
      <c r="N8" s="16">
        <f t="shared" si="3"/>
        <v>255999.5</v>
      </c>
      <c r="O8" s="16">
        <f t="shared" si="3"/>
        <v>141867.5</v>
      </c>
      <c r="P8" s="16">
        <f t="shared" si="3"/>
        <v>276754</v>
      </c>
      <c r="Q8" s="16">
        <f t="shared" si="3"/>
        <v>165704.5</v>
      </c>
      <c r="R8" s="16">
        <f t="shared" si="3"/>
        <v>296358.5</v>
      </c>
      <c r="S8" s="16">
        <f t="shared" si="3"/>
        <v>286416</v>
      </c>
      <c r="T8" s="16">
        <f t="shared" si="3"/>
        <v>282674.5</v>
      </c>
      <c r="U8" s="16">
        <f t="shared" si="3"/>
        <v>329717</v>
      </c>
      <c r="V8" s="16">
        <f t="shared" si="3"/>
        <v>281715.5</v>
      </c>
      <c r="W8" s="16">
        <f t="shared" si="3"/>
        <v>177582</v>
      </c>
      <c r="X8" s="16">
        <f t="shared" si="3"/>
        <v>199319.5</v>
      </c>
      <c r="Y8" s="16">
        <f t="shared" si="3"/>
        <v>154349.5</v>
      </c>
      <c r="Z8" s="16">
        <f t="shared" si="3"/>
        <v>234055.5</v>
      </c>
      <c r="AA8" s="16">
        <f t="shared" si="3"/>
        <v>253559</v>
      </c>
      <c r="AB8" s="16">
        <f t="shared" si="3"/>
        <v>269754.5</v>
      </c>
      <c r="AC8" s="16">
        <f t="shared" si="3"/>
        <v>227123</v>
      </c>
      <c r="AD8" s="16">
        <f t="shared" si="3"/>
        <v>179788</v>
      </c>
      <c r="AE8" s="16">
        <f t="shared" si="3"/>
        <v>242882</v>
      </c>
      <c r="AF8" s="16">
        <f t="shared" si="3"/>
        <v>281846</v>
      </c>
      <c r="AG8" s="16">
        <f t="shared" si="3"/>
        <v>253044</v>
      </c>
      <c r="AH8" s="16">
        <f t="shared" si="3"/>
        <v>290193.5</v>
      </c>
      <c r="AI8" s="16">
        <f t="shared" si="3"/>
        <v>178008.5</v>
      </c>
      <c r="AJ8" s="16">
        <f t="shared" si="3"/>
        <v>203977</v>
      </c>
      <c r="AK8" s="16">
        <f t="shared" si="3"/>
        <v>301968</v>
      </c>
      <c r="AL8" s="16">
        <f t="shared" si="3"/>
        <v>252396.5</v>
      </c>
      <c r="AM8" s="16">
        <f t="shared" si="3"/>
        <v>298022.5</v>
      </c>
      <c r="AN8" s="16">
        <f t="shared" si="3"/>
        <v>331155.5</v>
      </c>
      <c r="AO8" s="16">
        <f t="shared" si="3"/>
        <v>304349</v>
      </c>
      <c r="AP8" s="16" t="str">
        <f t="shared" si="3"/>
        <v>#DIV/0!</v>
      </c>
      <c r="AQ8" s="16" t="str">
        <f t="shared" si="3"/>
        <v>#DIV/0!</v>
      </c>
      <c r="AR8" s="16" t="str">
        <f t="shared" si="3"/>
        <v>#DIV/0!</v>
      </c>
      <c r="AS8" s="16" t="str">
        <f t="shared" si="3"/>
        <v>#DIV/0!</v>
      </c>
      <c r="AT8" s="16" t="str">
        <f t="shared" si="3"/>
        <v>#DIV/0!</v>
      </c>
      <c r="AU8" s="16" t="str">
        <f t="shared" si="3"/>
        <v>#DIV/0!</v>
      </c>
      <c r="AV8" s="16" t="str">
        <f t="shared" si="3"/>
        <v>#DIV/0!</v>
      </c>
      <c r="AW8" s="16" t="str">
        <f t="shared" si="3"/>
        <v>#DIV/0!</v>
      </c>
      <c r="AX8" s="16" t="str">
        <f t="shared" si="3"/>
        <v>#DIV/0!</v>
      </c>
      <c r="AY8" s="16" t="str">
        <f t="shared" si="3"/>
        <v>#DIV/0!</v>
      </c>
      <c r="AZ8" s="16" t="str">
        <f t="shared" si="3"/>
        <v>#DIV/0!</v>
      </c>
      <c r="BA8" s="17" t="str">
        <f t="shared" si="3"/>
        <v>#DIV/0!</v>
      </c>
    </row>
    <row r="9" ht="21.75" customHeight="1">
      <c r="A9" s="18"/>
      <c r="B9" s="19" t="s">
        <v>8</v>
      </c>
      <c r="C9" s="20" t="s">
        <v>7</v>
      </c>
      <c r="D9" s="20" t="s">
        <v>7</v>
      </c>
      <c r="E9" s="20" t="s">
        <v>7</v>
      </c>
      <c r="F9" s="20" t="s">
        <v>7</v>
      </c>
      <c r="G9" s="20" t="s">
        <v>7</v>
      </c>
      <c r="H9" s="21">
        <f t="shared" ref="H9:BA9" si="4">H7/H6</f>
        <v>0.5787856599</v>
      </c>
      <c r="I9" s="21">
        <f t="shared" si="4"/>
        <v>0.7827098226</v>
      </c>
      <c r="J9" s="21">
        <f t="shared" si="4"/>
        <v>0.3594720548</v>
      </c>
      <c r="K9" s="21">
        <f t="shared" si="4"/>
        <v>0.2062216303</v>
      </c>
      <c r="L9" s="21">
        <f t="shared" si="4"/>
        <v>0.8751329002</v>
      </c>
      <c r="M9" s="21">
        <f t="shared" si="4"/>
        <v>0.7245249042</v>
      </c>
      <c r="N9" s="21">
        <f t="shared" si="4"/>
        <v>0.8022993442</v>
      </c>
      <c r="O9" s="21">
        <f t="shared" si="4"/>
        <v>0.3111901846</v>
      </c>
      <c r="P9" s="21">
        <f t="shared" si="4"/>
        <v>0.8581950758</v>
      </c>
      <c r="Q9" s="21">
        <f t="shared" si="4"/>
        <v>0.3792387342</v>
      </c>
      <c r="R9" s="21">
        <f t="shared" si="4"/>
        <v>0.8520669937</v>
      </c>
      <c r="S9" s="21">
        <f t="shared" si="4"/>
        <v>0.71755478</v>
      </c>
      <c r="T9" s="21">
        <f t="shared" si="4"/>
        <v>0.6993164849</v>
      </c>
      <c r="U9" s="21">
        <f t="shared" si="4"/>
        <v>0.8292814185</v>
      </c>
      <c r="V9" s="21">
        <f t="shared" si="4"/>
        <v>0.7175627437</v>
      </c>
      <c r="W9" s="21">
        <f t="shared" si="4"/>
        <v>0.5927993865</v>
      </c>
      <c r="X9" s="21">
        <f t="shared" si="4"/>
        <v>0.6449642856</v>
      </c>
      <c r="Y9" s="21">
        <f t="shared" si="4"/>
        <v>0.3833761299</v>
      </c>
      <c r="Z9" s="21">
        <f t="shared" si="4"/>
        <v>0.7742902627</v>
      </c>
      <c r="AA9" s="21">
        <f t="shared" si="4"/>
        <v>0.7912654624</v>
      </c>
      <c r="AB9" s="21">
        <f t="shared" si="4"/>
        <v>0.7226472448</v>
      </c>
      <c r="AC9" s="21">
        <f t="shared" si="4"/>
        <v>0.7438403599</v>
      </c>
      <c r="AD9" s="21">
        <f t="shared" si="4"/>
        <v>0.6336492417</v>
      </c>
      <c r="AE9" s="21">
        <f t="shared" si="4"/>
        <v>0.7382734781</v>
      </c>
      <c r="AF9" s="21">
        <f t="shared" si="4"/>
        <v>0.7500636452</v>
      </c>
      <c r="AG9" s="21">
        <f t="shared" si="4"/>
        <v>0.754636323</v>
      </c>
      <c r="AH9" s="21">
        <f t="shared" si="4"/>
        <v>0.8038502062</v>
      </c>
      <c r="AI9" s="21">
        <f t="shared" si="4"/>
        <v>0.5224942054</v>
      </c>
      <c r="AJ9" s="21">
        <f t="shared" si="4"/>
        <v>0.6299904107</v>
      </c>
      <c r="AK9" s="21">
        <f t="shared" si="4"/>
        <v>0.8085814906</v>
      </c>
      <c r="AL9" s="21">
        <f t="shared" si="4"/>
        <v>0.4719228571</v>
      </c>
      <c r="AM9" s="21">
        <f t="shared" si="4"/>
        <v>0.6465467946</v>
      </c>
      <c r="AN9" s="21">
        <f t="shared" si="4"/>
        <v>0.7685112496</v>
      </c>
      <c r="AO9" s="21">
        <f t="shared" si="4"/>
        <v>0.7461316473</v>
      </c>
      <c r="AP9" s="21" t="str">
        <f t="shared" si="4"/>
        <v>#DIV/0!</v>
      </c>
      <c r="AQ9" s="21" t="str">
        <f t="shared" si="4"/>
        <v>#DIV/0!</v>
      </c>
      <c r="AR9" s="21" t="str">
        <f t="shared" si="4"/>
        <v>#DIV/0!</v>
      </c>
      <c r="AS9" s="21" t="str">
        <f t="shared" si="4"/>
        <v>#DIV/0!</v>
      </c>
      <c r="AT9" s="21" t="str">
        <f t="shared" si="4"/>
        <v>#DIV/0!</v>
      </c>
      <c r="AU9" s="21" t="str">
        <f t="shared" si="4"/>
        <v>#DIV/0!</v>
      </c>
      <c r="AV9" s="21" t="str">
        <f t="shared" si="4"/>
        <v>#DIV/0!</v>
      </c>
      <c r="AW9" s="21" t="str">
        <f t="shared" si="4"/>
        <v>#DIV/0!</v>
      </c>
      <c r="AX9" s="21" t="str">
        <f t="shared" si="4"/>
        <v>#DIV/0!</v>
      </c>
      <c r="AY9" s="21" t="str">
        <f t="shared" si="4"/>
        <v>#DIV/0!</v>
      </c>
      <c r="AZ9" s="21" t="str">
        <f t="shared" si="4"/>
        <v>#DIV/0!</v>
      </c>
      <c r="BA9" s="22" t="str">
        <f t="shared" si="4"/>
        <v>#DIV/0!</v>
      </c>
    </row>
    <row r="10" ht="21.75" customHeight="1">
      <c r="A10" s="4" t="s">
        <v>10</v>
      </c>
      <c r="B10" s="5" t="s">
        <v>3</v>
      </c>
      <c r="C10" s="6" t="s">
        <v>4</v>
      </c>
      <c r="D10" s="6" t="s">
        <v>4</v>
      </c>
      <c r="E10" s="6" t="s">
        <v>4</v>
      </c>
      <c r="F10" s="6" t="s">
        <v>4</v>
      </c>
      <c r="G10" s="6" t="s">
        <v>4</v>
      </c>
      <c r="H10" s="7">
        <v>320589.0</v>
      </c>
      <c r="I10" s="7">
        <v>564441.0</v>
      </c>
      <c r="J10" s="7">
        <v>508373.0</v>
      </c>
      <c r="K10" s="7">
        <v>466863.0</v>
      </c>
      <c r="L10" s="7">
        <v>377305.0</v>
      </c>
      <c r="M10" s="7">
        <v>396430.0</v>
      </c>
      <c r="N10" s="7">
        <v>583395.0</v>
      </c>
      <c r="O10" s="7">
        <v>402129.0</v>
      </c>
      <c r="P10" s="7">
        <v>559854.0</v>
      </c>
      <c r="Q10" s="7">
        <v>448959.0</v>
      </c>
      <c r="R10" s="7">
        <v>643708.0</v>
      </c>
      <c r="S10" s="7">
        <v>560722.0</v>
      </c>
      <c r="T10" s="7">
        <v>612325.0</v>
      </c>
      <c r="U10" s="7">
        <v>563808.0</v>
      </c>
      <c r="V10" s="7">
        <v>614977.0</v>
      </c>
      <c r="W10" s="7">
        <v>437181.0</v>
      </c>
      <c r="X10" s="7">
        <v>451298.0</v>
      </c>
      <c r="Y10" s="7">
        <v>305035.0</v>
      </c>
      <c r="Z10" s="7">
        <v>496613.0</v>
      </c>
      <c r="AA10" s="7">
        <v>416523.0</v>
      </c>
      <c r="AB10" s="7">
        <v>503087.0</v>
      </c>
      <c r="AC10" s="7">
        <v>372799.0</v>
      </c>
      <c r="AD10" s="7">
        <v>434822.0</v>
      </c>
      <c r="AE10" s="7">
        <v>478835.0</v>
      </c>
      <c r="AF10" s="7">
        <v>583227.0</v>
      </c>
      <c r="AG10" s="7">
        <v>559801.0</v>
      </c>
      <c r="AH10" s="7">
        <v>517250.0</v>
      </c>
      <c r="AI10" s="7">
        <v>319715.0</v>
      </c>
      <c r="AJ10" s="7">
        <v>401679.0</v>
      </c>
      <c r="AK10" s="7">
        <v>595195.0</v>
      </c>
      <c r="AL10" s="7">
        <v>649482.0</v>
      </c>
      <c r="AM10" s="7">
        <v>606420.0</v>
      </c>
      <c r="AN10" s="7">
        <v>596006.0</v>
      </c>
      <c r="AO10" s="7">
        <v>612529.0</v>
      </c>
      <c r="AP10" s="7"/>
      <c r="AQ10" s="7"/>
      <c r="AR10" s="7"/>
      <c r="AS10" s="7"/>
      <c r="AT10" s="7"/>
      <c r="AU10" s="7"/>
      <c r="AV10" s="7"/>
      <c r="AW10" s="7"/>
      <c r="AX10" s="7"/>
      <c r="AY10" s="7"/>
      <c r="AZ10" s="7"/>
      <c r="BA10" s="8"/>
    </row>
    <row r="11" ht="21.75" customHeight="1">
      <c r="A11" s="9"/>
      <c r="B11" s="10" t="s">
        <v>5</v>
      </c>
      <c r="C11" s="11" t="s">
        <v>4</v>
      </c>
      <c r="D11" s="11" t="s">
        <v>4</v>
      </c>
      <c r="E11" s="11" t="s">
        <v>4</v>
      </c>
      <c r="F11" s="11" t="s">
        <v>4</v>
      </c>
      <c r="G11" s="11" t="s">
        <v>4</v>
      </c>
      <c r="H11" s="12">
        <v>216564.0</v>
      </c>
      <c r="I11" s="12">
        <v>339390.0</v>
      </c>
      <c r="J11" s="12">
        <v>301876.0</v>
      </c>
      <c r="K11" s="12">
        <v>272542.0</v>
      </c>
      <c r="L11" s="12">
        <v>297346.0</v>
      </c>
      <c r="M11" s="12">
        <v>228942.0</v>
      </c>
      <c r="N11" s="12">
        <v>319646.0</v>
      </c>
      <c r="O11" s="12">
        <v>203630.0</v>
      </c>
      <c r="P11" s="12">
        <v>397046.0</v>
      </c>
      <c r="Q11" s="12">
        <v>263547.0</v>
      </c>
      <c r="R11" s="12">
        <v>454657.0</v>
      </c>
      <c r="S11" s="12">
        <v>358454.0</v>
      </c>
      <c r="T11" s="12">
        <v>448900.0</v>
      </c>
      <c r="U11" s="12">
        <v>444237.0</v>
      </c>
      <c r="V11" s="12">
        <v>413590.0</v>
      </c>
      <c r="W11" s="12">
        <v>230691.0</v>
      </c>
      <c r="X11" s="12">
        <v>273844.0</v>
      </c>
      <c r="Y11" s="12">
        <v>204005.0</v>
      </c>
      <c r="Z11" s="12">
        <v>325856.0</v>
      </c>
      <c r="AA11" s="12">
        <v>311484.0</v>
      </c>
      <c r="AB11" s="12">
        <v>322213.0</v>
      </c>
      <c r="AC11" s="12">
        <v>245814.0</v>
      </c>
      <c r="AD11" s="12">
        <v>310280.0</v>
      </c>
      <c r="AE11" s="12">
        <v>337374.0</v>
      </c>
      <c r="AF11" s="12">
        <v>367826.0</v>
      </c>
      <c r="AG11" s="12">
        <v>376710.0</v>
      </c>
      <c r="AH11" s="12">
        <v>414303.0</v>
      </c>
      <c r="AI11" s="12">
        <v>222505.0</v>
      </c>
      <c r="AJ11" s="12">
        <v>303278.0</v>
      </c>
      <c r="AK11" s="12">
        <v>465962.0</v>
      </c>
      <c r="AL11" s="12">
        <v>319722.0</v>
      </c>
      <c r="AM11" s="12">
        <v>362711.0</v>
      </c>
      <c r="AN11" s="12">
        <v>473626.0</v>
      </c>
      <c r="AO11" s="12">
        <v>357596.0</v>
      </c>
      <c r="AP11" s="12"/>
      <c r="AQ11" s="12"/>
      <c r="AR11" s="12"/>
      <c r="AS11" s="12"/>
      <c r="AT11" s="12"/>
      <c r="AU11" s="12"/>
      <c r="AV11" s="12"/>
      <c r="AW11" s="12"/>
      <c r="AX11" s="12"/>
      <c r="AY11" s="12"/>
      <c r="AZ11" s="12"/>
      <c r="BA11" s="13"/>
    </row>
    <row r="12" ht="21.75" customHeight="1">
      <c r="A12" s="9"/>
      <c r="B12" s="14" t="s">
        <v>6</v>
      </c>
      <c r="C12" s="15" t="s">
        <v>7</v>
      </c>
      <c r="D12" s="15" t="s">
        <v>7</v>
      </c>
      <c r="E12" s="15" t="s">
        <v>7</v>
      </c>
      <c r="F12" s="15" t="s">
        <v>7</v>
      </c>
      <c r="G12" s="15" t="s">
        <v>7</v>
      </c>
      <c r="H12" s="16">
        <f t="shared" ref="H12:BA12" si="5">AVERAGE(H10:H11)</f>
        <v>268576.5</v>
      </c>
      <c r="I12" s="16">
        <f t="shared" si="5"/>
        <v>451915.5</v>
      </c>
      <c r="J12" s="16">
        <f t="shared" si="5"/>
        <v>405124.5</v>
      </c>
      <c r="K12" s="16">
        <f t="shared" si="5"/>
        <v>369702.5</v>
      </c>
      <c r="L12" s="16">
        <f t="shared" si="5"/>
        <v>337325.5</v>
      </c>
      <c r="M12" s="16">
        <f t="shared" si="5"/>
        <v>312686</v>
      </c>
      <c r="N12" s="16">
        <f t="shared" si="5"/>
        <v>451520.5</v>
      </c>
      <c r="O12" s="16">
        <f t="shared" si="5"/>
        <v>302879.5</v>
      </c>
      <c r="P12" s="16">
        <f t="shared" si="5"/>
        <v>478450</v>
      </c>
      <c r="Q12" s="16">
        <f t="shared" si="5"/>
        <v>356253</v>
      </c>
      <c r="R12" s="16">
        <f t="shared" si="5"/>
        <v>549182.5</v>
      </c>
      <c r="S12" s="16">
        <f t="shared" si="5"/>
        <v>459588</v>
      </c>
      <c r="T12" s="16">
        <f t="shared" si="5"/>
        <v>530612.5</v>
      </c>
      <c r="U12" s="16">
        <f t="shared" si="5"/>
        <v>504022.5</v>
      </c>
      <c r="V12" s="16">
        <f t="shared" si="5"/>
        <v>514283.5</v>
      </c>
      <c r="W12" s="16">
        <f t="shared" si="5"/>
        <v>333936</v>
      </c>
      <c r="X12" s="16">
        <f t="shared" si="5"/>
        <v>362571</v>
      </c>
      <c r="Y12" s="16">
        <f t="shared" si="5"/>
        <v>254520</v>
      </c>
      <c r="Z12" s="16">
        <f t="shared" si="5"/>
        <v>411234.5</v>
      </c>
      <c r="AA12" s="16">
        <f t="shared" si="5"/>
        <v>364003.5</v>
      </c>
      <c r="AB12" s="16">
        <f t="shared" si="5"/>
        <v>412650</v>
      </c>
      <c r="AC12" s="16">
        <f t="shared" si="5"/>
        <v>309306.5</v>
      </c>
      <c r="AD12" s="16">
        <f t="shared" si="5"/>
        <v>372551</v>
      </c>
      <c r="AE12" s="16">
        <f t="shared" si="5"/>
        <v>408104.5</v>
      </c>
      <c r="AF12" s="16">
        <f t="shared" si="5"/>
        <v>475526.5</v>
      </c>
      <c r="AG12" s="16">
        <f t="shared" si="5"/>
        <v>468255.5</v>
      </c>
      <c r="AH12" s="16">
        <f t="shared" si="5"/>
        <v>465776.5</v>
      </c>
      <c r="AI12" s="16">
        <f t="shared" si="5"/>
        <v>271110</v>
      </c>
      <c r="AJ12" s="16">
        <f t="shared" si="5"/>
        <v>352478.5</v>
      </c>
      <c r="AK12" s="16">
        <f t="shared" si="5"/>
        <v>530578.5</v>
      </c>
      <c r="AL12" s="16">
        <f t="shared" si="5"/>
        <v>484602</v>
      </c>
      <c r="AM12" s="16">
        <f t="shared" si="5"/>
        <v>484565.5</v>
      </c>
      <c r="AN12" s="16">
        <f t="shared" si="5"/>
        <v>534816</v>
      </c>
      <c r="AO12" s="16">
        <f t="shared" si="5"/>
        <v>485062.5</v>
      </c>
      <c r="AP12" s="16" t="str">
        <f t="shared" si="5"/>
        <v>#DIV/0!</v>
      </c>
      <c r="AQ12" s="16" t="str">
        <f t="shared" si="5"/>
        <v>#DIV/0!</v>
      </c>
      <c r="AR12" s="16" t="str">
        <f t="shared" si="5"/>
        <v>#DIV/0!</v>
      </c>
      <c r="AS12" s="16" t="str">
        <f t="shared" si="5"/>
        <v>#DIV/0!</v>
      </c>
      <c r="AT12" s="16" t="str">
        <f t="shared" si="5"/>
        <v>#DIV/0!</v>
      </c>
      <c r="AU12" s="16" t="str">
        <f t="shared" si="5"/>
        <v>#DIV/0!</v>
      </c>
      <c r="AV12" s="16" t="str">
        <f t="shared" si="5"/>
        <v>#DIV/0!</v>
      </c>
      <c r="AW12" s="16" t="str">
        <f t="shared" si="5"/>
        <v>#DIV/0!</v>
      </c>
      <c r="AX12" s="16" t="str">
        <f t="shared" si="5"/>
        <v>#DIV/0!</v>
      </c>
      <c r="AY12" s="16" t="str">
        <f t="shared" si="5"/>
        <v>#DIV/0!</v>
      </c>
      <c r="AZ12" s="16" t="str">
        <f t="shared" si="5"/>
        <v>#DIV/0!</v>
      </c>
      <c r="BA12" s="17" t="str">
        <f t="shared" si="5"/>
        <v>#DIV/0!</v>
      </c>
    </row>
    <row r="13" ht="21.75" customHeight="1">
      <c r="A13" s="18"/>
      <c r="B13" s="19" t="s">
        <v>8</v>
      </c>
      <c r="C13" s="20" t="s">
        <v>7</v>
      </c>
      <c r="D13" s="20" t="s">
        <v>7</v>
      </c>
      <c r="E13" s="20" t="s">
        <v>7</v>
      </c>
      <c r="F13" s="20" t="s">
        <v>7</v>
      </c>
      <c r="G13" s="20" t="s">
        <v>7</v>
      </c>
      <c r="H13" s="21">
        <f t="shared" ref="H13:BA13" si="6">H11/H10</f>
        <v>0.6755191226</v>
      </c>
      <c r="I13" s="21">
        <f t="shared" si="6"/>
        <v>0.6012851653</v>
      </c>
      <c r="J13" s="21">
        <f t="shared" si="6"/>
        <v>0.5938080897</v>
      </c>
      <c r="K13" s="21">
        <f t="shared" si="6"/>
        <v>0.5837729698</v>
      </c>
      <c r="L13" s="21">
        <f t="shared" si="6"/>
        <v>0.7880786101</v>
      </c>
      <c r="M13" s="21">
        <f t="shared" si="6"/>
        <v>0.5775092702</v>
      </c>
      <c r="N13" s="21">
        <f t="shared" si="6"/>
        <v>0.5479066499</v>
      </c>
      <c r="O13" s="21">
        <f t="shared" si="6"/>
        <v>0.5063797935</v>
      </c>
      <c r="P13" s="21">
        <f t="shared" si="6"/>
        <v>0.7091956117</v>
      </c>
      <c r="Q13" s="21">
        <f t="shared" si="6"/>
        <v>0.5870179682</v>
      </c>
      <c r="R13" s="21">
        <f t="shared" si="6"/>
        <v>0.7063093825</v>
      </c>
      <c r="S13" s="21">
        <f t="shared" si="6"/>
        <v>0.639272224</v>
      </c>
      <c r="T13" s="21">
        <f t="shared" si="6"/>
        <v>0.7331074184</v>
      </c>
      <c r="U13" s="21">
        <f t="shared" si="6"/>
        <v>0.7879224842</v>
      </c>
      <c r="V13" s="21">
        <f t="shared" si="6"/>
        <v>0.6725292165</v>
      </c>
      <c r="W13" s="21">
        <f t="shared" si="6"/>
        <v>0.5276784673</v>
      </c>
      <c r="X13" s="21">
        <f t="shared" si="6"/>
        <v>0.6067919645</v>
      </c>
      <c r="Y13" s="21">
        <f t="shared" si="6"/>
        <v>0.6687921058</v>
      </c>
      <c r="Z13" s="21">
        <f t="shared" si="6"/>
        <v>0.6561568062</v>
      </c>
      <c r="AA13" s="21">
        <f t="shared" si="6"/>
        <v>0.7478194481</v>
      </c>
      <c r="AB13" s="21">
        <f t="shared" si="6"/>
        <v>0.6404717276</v>
      </c>
      <c r="AC13" s="21">
        <f t="shared" si="6"/>
        <v>0.6593740863</v>
      </c>
      <c r="AD13" s="21">
        <f t="shared" si="6"/>
        <v>0.7135793497</v>
      </c>
      <c r="AE13" s="21">
        <f t="shared" si="6"/>
        <v>0.7045725563</v>
      </c>
      <c r="AF13" s="21">
        <f t="shared" si="6"/>
        <v>0.63067382</v>
      </c>
      <c r="AG13" s="21">
        <f t="shared" si="6"/>
        <v>0.672935561</v>
      </c>
      <c r="AH13" s="21">
        <f t="shared" si="6"/>
        <v>0.8009724505</v>
      </c>
      <c r="AI13" s="21">
        <f t="shared" si="6"/>
        <v>0.6959479536</v>
      </c>
      <c r="AJ13" s="21">
        <f t="shared" si="6"/>
        <v>0.7550257793</v>
      </c>
      <c r="AK13" s="21">
        <f t="shared" si="6"/>
        <v>0.78287284</v>
      </c>
      <c r="AL13" s="21">
        <f t="shared" si="6"/>
        <v>0.4922723032</v>
      </c>
      <c r="AM13" s="21">
        <f t="shared" si="6"/>
        <v>0.5981184657</v>
      </c>
      <c r="AN13" s="21">
        <f t="shared" si="6"/>
        <v>0.7946664966</v>
      </c>
      <c r="AO13" s="21">
        <f t="shared" si="6"/>
        <v>0.5838025628</v>
      </c>
      <c r="AP13" s="21" t="str">
        <f t="shared" si="6"/>
        <v>#DIV/0!</v>
      </c>
      <c r="AQ13" s="21" t="str">
        <f t="shared" si="6"/>
        <v>#DIV/0!</v>
      </c>
      <c r="AR13" s="21" t="str">
        <f t="shared" si="6"/>
        <v>#DIV/0!</v>
      </c>
      <c r="AS13" s="21" t="str">
        <f t="shared" si="6"/>
        <v>#DIV/0!</v>
      </c>
      <c r="AT13" s="21" t="str">
        <f t="shared" si="6"/>
        <v>#DIV/0!</v>
      </c>
      <c r="AU13" s="21" t="str">
        <f t="shared" si="6"/>
        <v>#DIV/0!</v>
      </c>
      <c r="AV13" s="21" t="str">
        <f t="shared" si="6"/>
        <v>#DIV/0!</v>
      </c>
      <c r="AW13" s="21" t="str">
        <f t="shared" si="6"/>
        <v>#DIV/0!</v>
      </c>
      <c r="AX13" s="21" t="str">
        <f t="shared" si="6"/>
        <v>#DIV/0!</v>
      </c>
      <c r="AY13" s="21" t="str">
        <f t="shared" si="6"/>
        <v>#DIV/0!</v>
      </c>
      <c r="AZ13" s="21" t="str">
        <f t="shared" si="6"/>
        <v>#DIV/0!</v>
      </c>
      <c r="BA13" s="22" t="str">
        <f t="shared" si="6"/>
        <v>#DIV/0!</v>
      </c>
    </row>
    <row r="14" ht="21.75" customHeight="1">
      <c r="A14" s="4" t="s">
        <v>11</v>
      </c>
      <c r="B14" s="5" t="s">
        <v>3</v>
      </c>
      <c r="C14" s="6" t="s">
        <v>4</v>
      </c>
      <c r="D14" s="6" t="s">
        <v>4</v>
      </c>
      <c r="E14" s="6" t="s">
        <v>4</v>
      </c>
      <c r="F14" s="6" t="s">
        <v>4</v>
      </c>
      <c r="G14" s="6" t="s">
        <v>4</v>
      </c>
      <c r="H14" s="7">
        <v>75110.0</v>
      </c>
      <c r="I14" s="7">
        <v>150403.0</v>
      </c>
      <c r="J14" s="7">
        <v>173283.0</v>
      </c>
      <c r="K14" s="7">
        <v>95170.0</v>
      </c>
      <c r="L14" s="7">
        <v>137652.0</v>
      </c>
      <c r="M14" s="7">
        <v>117968.0</v>
      </c>
      <c r="N14" s="7">
        <v>236723.0</v>
      </c>
      <c r="O14" s="7">
        <v>163073.0</v>
      </c>
      <c r="P14" s="7">
        <v>237280.0</v>
      </c>
      <c r="Q14" s="7">
        <v>141313.0</v>
      </c>
      <c r="R14" s="7">
        <v>297040.0</v>
      </c>
      <c r="S14" s="7">
        <v>179098.0</v>
      </c>
      <c r="T14" s="7">
        <v>222341.0</v>
      </c>
      <c r="U14" s="7">
        <v>165783.0</v>
      </c>
      <c r="V14" s="7">
        <v>181188.0</v>
      </c>
      <c r="W14" s="7">
        <v>154876.0</v>
      </c>
      <c r="X14" s="7">
        <v>98513.0</v>
      </c>
      <c r="Y14" s="7">
        <v>92783.0</v>
      </c>
      <c r="Z14" s="7">
        <v>167910.0</v>
      </c>
      <c r="AA14" s="7">
        <v>92380.0</v>
      </c>
      <c r="AB14" s="7">
        <v>179904.0</v>
      </c>
      <c r="AC14" s="7">
        <v>75950.0</v>
      </c>
      <c r="AD14" s="7">
        <v>175810.0</v>
      </c>
      <c r="AE14" s="7">
        <v>185649.0</v>
      </c>
      <c r="AF14" s="7">
        <v>142066.0</v>
      </c>
      <c r="AG14" s="7">
        <v>208853.0</v>
      </c>
      <c r="AH14" s="7">
        <v>214021.0</v>
      </c>
      <c r="AI14" s="7">
        <v>91834.0</v>
      </c>
      <c r="AJ14" s="7">
        <v>173675.0</v>
      </c>
      <c r="AK14" s="7">
        <v>209293.0</v>
      </c>
      <c r="AL14" s="7">
        <v>185674.0</v>
      </c>
      <c r="AM14" s="7">
        <v>163214.0</v>
      </c>
      <c r="AN14" s="7">
        <v>247091.0</v>
      </c>
      <c r="AO14" s="7">
        <v>262577.0</v>
      </c>
      <c r="AP14" s="7"/>
      <c r="AQ14" s="7"/>
      <c r="AR14" s="7"/>
      <c r="AS14" s="7"/>
      <c r="AT14" s="7"/>
      <c r="AU14" s="7"/>
      <c r="AV14" s="7"/>
      <c r="AW14" s="7"/>
      <c r="AX14" s="7"/>
      <c r="AY14" s="7"/>
      <c r="AZ14" s="7"/>
      <c r="BA14" s="8"/>
    </row>
    <row r="15" ht="21.75" customHeight="1">
      <c r="A15" s="9"/>
      <c r="B15" s="10" t="s">
        <v>5</v>
      </c>
      <c r="C15" s="11" t="s">
        <v>4</v>
      </c>
      <c r="D15" s="11" t="s">
        <v>4</v>
      </c>
      <c r="E15" s="11" t="s">
        <v>4</v>
      </c>
      <c r="F15" s="11" t="s">
        <v>4</v>
      </c>
      <c r="G15" s="11" t="s">
        <v>4</v>
      </c>
      <c r="H15" s="12">
        <v>68517.0</v>
      </c>
      <c r="I15" s="12">
        <v>63010.0</v>
      </c>
      <c r="J15" s="12">
        <v>107269.0</v>
      </c>
      <c r="K15" s="12">
        <v>51211.0</v>
      </c>
      <c r="L15" s="12">
        <v>85165.0</v>
      </c>
      <c r="M15" s="12">
        <v>92885.0</v>
      </c>
      <c r="N15" s="12">
        <v>75896.0</v>
      </c>
      <c r="O15" s="12">
        <v>125783.0</v>
      </c>
      <c r="P15" s="12">
        <v>158953.0</v>
      </c>
      <c r="Q15" s="12">
        <v>83111.0</v>
      </c>
      <c r="R15" s="12">
        <v>117626.0</v>
      </c>
      <c r="S15" s="12">
        <v>52651.0</v>
      </c>
      <c r="T15" s="12">
        <v>114130.0</v>
      </c>
      <c r="U15" s="12">
        <v>115098.0</v>
      </c>
      <c r="V15" s="12">
        <v>89311.0</v>
      </c>
      <c r="W15" s="12">
        <v>39580.0</v>
      </c>
      <c r="X15" s="12">
        <v>49866.0</v>
      </c>
      <c r="Y15" s="12">
        <v>83818.0</v>
      </c>
      <c r="Z15" s="12">
        <v>60221.0</v>
      </c>
      <c r="AA15" s="12">
        <v>87396.0</v>
      </c>
      <c r="AB15" s="12">
        <v>80501.0</v>
      </c>
      <c r="AC15" s="12">
        <v>34836.0</v>
      </c>
      <c r="AD15" s="12">
        <v>65705.0</v>
      </c>
      <c r="AE15" s="12">
        <v>67987.0</v>
      </c>
      <c r="AF15" s="12">
        <v>79841.0</v>
      </c>
      <c r="AG15" s="12">
        <v>73250.0</v>
      </c>
      <c r="AH15" s="12">
        <v>81662.0</v>
      </c>
      <c r="AI15" s="12">
        <v>58320.0</v>
      </c>
      <c r="AJ15" s="12">
        <v>84724.0</v>
      </c>
      <c r="AK15" s="12">
        <v>71711.0</v>
      </c>
      <c r="AL15" s="12">
        <v>49880.0</v>
      </c>
      <c r="AM15" s="12">
        <v>90703.0</v>
      </c>
      <c r="AN15" s="12">
        <v>99920.0</v>
      </c>
      <c r="AO15" s="12">
        <v>119306.0</v>
      </c>
      <c r="AP15" s="12"/>
      <c r="AQ15" s="12"/>
      <c r="AR15" s="12"/>
      <c r="AS15" s="12"/>
      <c r="AT15" s="12"/>
      <c r="AU15" s="12"/>
      <c r="AV15" s="12"/>
      <c r="AW15" s="12"/>
      <c r="AX15" s="12"/>
      <c r="AY15" s="12"/>
      <c r="AZ15" s="12"/>
      <c r="BA15" s="13"/>
    </row>
    <row r="16" ht="21.75" customHeight="1">
      <c r="A16" s="9"/>
      <c r="B16" s="14" t="s">
        <v>6</v>
      </c>
      <c r="C16" s="15" t="s">
        <v>7</v>
      </c>
      <c r="D16" s="15" t="s">
        <v>7</v>
      </c>
      <c r="E16" s="15" t="s">
        <v>7</v>
      </c>
      <c r="F16" s="15" t="s">
        <v>7</v>
      </c>
      <c r="G16" s="15" t="s">
        <v>7</v>
      </c>
      <c r="H16" s="16">
        <f t="shared" ref="H16:BA16" si="7">AVERAGE(H14:H15)</f>
        <v>71813.5</v>
      </c>
      <c r="I16" s="16">
        <f t="shared" si="7"/>
        <v>106706.5</v>
      </c>
      <c r="J16" s="16">
        <f t="shared" si="7"/>
        <v>140276</v>
      </c>
      <c r="K16" s="16">
        <f t="shared" si="7"/>
        <v>73190.5</v>
      </c>
      <c r="L16" s="16">
        <f t="shared" si="7"/>
        <v>111408.5</v>
      </c>
      <c r="M16" s="16">
        <f t="shared" si="7"/>
        <v>105426.5</v>
      </c>
      <c r="N16" s="16">
        <f t="shared" si="7"/>
        <v>156309.5</v>
      </c>
      <c r="O16" s="16">
        <f t="shared" si="7"/>
        <v>144428</v>
      </c>
      <c r="P16" s="16">
        <f t="shared" si="7"/>
        <v>198116.5</v>
      </c>
      <c r="Q16" s="16">
        <f t="shared" si="7"/>
        <v>112212</v>
      </c>
      <c r="R16" s="16">
        <f t="shared" si="7"/>
        <v>207333</v>
      </c>
      <c r="S16" s="16">
        <f t="shared" si="7"/>
        <v>115874.5</v>
      </c>
      <c r="T16" s="16">
        <f t="shared" si="7"/>
        <v>168235.5</v>
      </c>
      <c r="U16" s="16">
        <f t="shared" si="7"/>
        <v>140440.5</v>
      </c>
      <c r="V16" s="16">
        <f t="shared" si="7"/>
        <v>135249.5</v>
      </c>
      <c r="W16" s="16">
        <f t="shared" si="7"/>
        <v>97228</v>
      </c>
      <c r="X16" s="16">
        <f t="shared" si="7"/>
        <v>74189.5</v>
      </c>
      <c r="Y16" s="16">
        <f t="shared" si="7"/>
        <v>88300.5</v>
      </c>
      <c r="Z16" s="16">
        <f t="shared" si="7"/>
        <v>114065.5</v>
      </c>
      <c r="AA16" s="16">
        <f t="shared" si="7"/>
        <v>89888</v>
      </c>
      <c r="AB16" s="16">
        <f t="shared" si="7"/>
        <v>130202.5</v>
      </c>
      <c r="AC16" s="16">
        <f t="shared" si="7"/>
        <v>55393</v>
      </c>
      <c r="AD16" s="16">
        <f t="shared" si="7"/>
        <v>120757.5</v>
      </c>
      <c r="AE16" s="16">
        <f t="shared" si="7"/>
        <v>126818</v>
      </c>
      <c r="AF16" s="16">
        <f t="shared" si="7"/>
        <v>110953.5</v>
      </c>
      <c r="AG16" s="16">
        <f t="shared" si="7"/>
        <v>141051.5</v>
      </c>
      <c r="AH16" s="16">
        <f t="shared" si="7"/>
        <v>147841.5</v>
      </c>
      <c r="AI16" s="16">
        <f t="shared" si="7"/>
        <v>75077</v>
      </c>
      <c r="AJ16" s="16">
        <f t="shared" si="7"/>
        <v>129199.5</v>
      </c>
      <c r="AK16" s="16">
        <f t="shared" si="7"/>
        <v>140502</v>
      </c>
      <c r="AL16" s="16">
        <f t="shared" si="7"/>
        <v>117777</v>
      </c>
      <c r="AM16" s="16">
        <f t="shared" si="7"/>
        <v>126958.5</v>
      </c>
      <c r="AN16" s="16">
        <f t="shared" si="7"/>
        <v>173505.5</v>
      </c>
      <c r="AO16" s="16">
        <f t="shared" si="7"/>
        <v>190941.5</v>
      </c>
      <c r="AP16" s="16" t="str">
        <f t="shared" si="7"/>
        <v>#DIV/0!</v>
      </c>
      <c r="AQ16" s="16" t="str">
        <f t="shared" si="7"/>
        <v>#DIV/0!</v>
      </c>
      <c r="AR16" s="16" t="str">
        <f t="shared" si="7"/>
        <v>#DIV/0!</v>
      </c>
      <c r="AS16" s="16" t="str">
        <f t="shared" si="7"/>
        <v>#DIV/0!</v>
      </c>
      <c r="AT16" s="16" t="str">
        <f t="shared" si="7"/>
        <v>#DIV/0!</v>
      </c>
      <c r="AU16" s="16" t="str">
        <f t="shared" si="7"/>
        <v>#DIV/0!</v>
      </c>
      <c r="AV16" s="16" t="str">
        <f t="shared" si="7"/>
        <v>#DIV/0!</v>
      </c>
      <c r="AW16" s="16" t="str">
        <f t="shared" si="7"/>
        <v>#DIV/0!</v>
      </c>
      <c r="AX16" s="16" t="str">
        <f t="shared" si="7"/>
        <v>#DIV/0!</v>
      </c>
      <c r="AY16" s="16" t="str">
        <f t="shared" si="7"/>
        <v>#DIV/0!</v>
      </c>
      <c r="AZ16" s="16" t="str">
        <f t="shared" si="7"/>
        <v>#DIV/0!</v>
      </c>
      <c r="BA16" s="17" t="str">
        <f t="shared" si="7"/>
        <v>#DIV/0!</v>
      </c>
    </row>
    <row r="17" ht="21.75" customHeight="1">
      <c r="A17" s="18"/>
      <c r="B17" s="19" t="s">
        <v>8</v>
      </c>
      <c r="C17" s="20" t="s">
        <v>7</v>
      </c>
      <c r="D17" s="20" t="s">
        <v>7</v>
      </c>
      <c r="E17" s="20" t="s">
        <v>7</v>
      </c>
      <c r="F17" s="20" t="s">
        <v>7</v>
      </c>
      <c r="G17" s="20" t="s">
        <v>7</v>
      </c>
      <c r="H17" s="21">
        <f t="shared" ref="H17:BA17" si="8">H15/H14</f>
        <v>0.9122220743</v>
      </c>
      <c r="I17" s="21">
        <f t="shared" si="8"/>
        <v>0.4189411115</v>
      </c>
      <c r="J17" s="21">
        <f t="shared" si="8"/>
        <v>0.6190393749</v>
      </c>
      <c r="K17" s="21">
        <f t="shared" si="8"/>
        <v>0.5381002417</v>
      </c>
      <c r="L17" s="21">
        <f t="shared" si="8"/>
        <v>0.6186978758</v>
      </c>
      <c r="M17" s="21">
        <f t="shared" si="8"/>
        <v>0.7873745422</v>
      </c>
      <c r="N17" s="21">
        <f t="shared" si="8"/>
        <v>0.3206110095</v>
      </c>
      <c r="O17" s="21">
        <f t="shared" si="8"/>
        <v>0.7713294046</v>
      </c>
      <c r="P17" s="21">
        <f t="shared" si="8"/>
        <v>0.669896325</v>
      </c>
      <c r="Q17" s="21">
        <f t="shared" si="8"/>
        <v>0.5881341419</v>
      </c>
      <c r="R17" s="21">
        <f t="shared" si="8"/>
        <v>0.3959938055</v>
      </c>
      <c r="S17" s="21">
        <f t="shared" si="8"/>
        <v>0.2939787156</v>
      </c>
      <c r="T17" s="21">
        <f t="shared" si="8"/>
        <v>0.5133106355</v>
      </c>
      <c r="U17" s="21">
        <f t="shared" si="8"/>
        <v>0.6942690143</v>
      </c>
      <c r="V17" s="21">
        <f t="shared" si="8"/>
        <v>0.4929189571</v>
      </c>
      <c r="W17" s="21">
        <f t="shared" si="8"/>
        <v>0.2555592861</v>
      </c>
      <c r="X17" s="21">
        <f t="shared" si="8"/>
        <v>0.5061870007</v>
      </c>
      <c r="Y17" s="21">
        <f t="shared" si="8"/>
        <v>0.9033766962</v>
      </c>
      <c r="Z17" s="21">
        <f t="shared" si="8"/>
        <v>0.3586504675</v>
      </c>
      <c r="AA17" s="21">
        <f t="shared" si="8"/>
        <v>0.9460489283</v>
      </c>
      <c r="AB17" s="21">
        <f t="shared" si="8"/>
        <v>0.4474664265</v>
      </c>
      <c r="AC17" s="21">
        <f t="shared" si="8"/>
        <v>0.4586701777</v>
      </c>
      <c r="AD17" s="21">
        <f t="shared" si="8"/>
        <v>0.3737273193</v>
      </c>
      <c r="AE17" s="21">
        <f t="shared" si="8"/>
        <v>0.366212584</v>
      </c>
      <c r="AF17" s="21">
        <f t="shared" si="8"/>
        <v>0.5619993524</v>
      </c>
      <c r="AG17" s="21">
        <f t="shared" si="8"/>
        <v>0.3507251512</v>
      </c>
      <c r="AH17" s="21">
        <f t="shared" si="8"/>
        <v>0.381560688</v>
      </c>
      <c r="AI17" s="21">
        <f t="shared" si="8"/>
        <v>0.6350589106</v>
      </c>
      <c r="AJ17" s="21">
        <f t="shared" si="8"/>
        <v>0.4878307183</v>
      </c>
      <c r="AK17" s="21">
        <f t="shared" si="8"/>
        <v>0.3426344885</v>
      </c>
      <c r="AL17" s="21">
        <f t="shared" si="8"/>
        <v>0.2686428902</v>
      </c>
      <c r="AM17" s="21">
        <f t="shared" si="8"/>
        <v>0.5557305133</v>
      </c>
      <c r="AN17" s="21">
        <f t="shared" si="8"/>
        <v>0.4043854289</v>
      </c>
      <c r="AO17" s="21">
        <f t="shared" si="8"/>
        <v>0.454365767</v>
      </c>
      <c r="AP17" s="21" t="str">
        <f t="shared" si="8"/>
        <v>#DIV/0!</v>
      </c>
      <c r="AQ17" s="21" t="str">
        <f t="shared" si="8"/>
        <v>#DIV/0!</v>
      </c>
      <c r="AR17" s="21" t="str">
        <f t="shared" si="8"/>
        <v>#DIV/0!</v>
      </c>
      <c r="AS17" s="21" t="str">
        <f t="shared" si="8"/>
        <v>#DIV/0!</v>
      </c>
      <c r="AT17" s="21" t="str">
        <f t="shared" si="8"/>
        <v>#DIV/0!</v>
      </c>
      <c r="AU17" s="21" t="str">
        <f t="shared" si="8"/>
        <v>#DIV/0!</v>
      </c>
      <c r="AV17" s="21" t="str">
        <f t="shared" si="8"/>
        <v>#DIV/0!</v>
      </c>
      <c r="AW17" s="21" t="str">
        <f t="shared" si="8"/>
        <v>#DIV/0!</v>
      </c>
      <c r="AX17" s="21" t="str">
        <f t="shared" si="8"/>
        <v>#DIV/0!</v>
      </c>
      <c r="AY17" s="21" t="str">
        <f t="shared" si="8"/>
        <v>#DIV/0!</v>
      </c>
      <c r="AZ17" s="21" t="str">
        <f t="shared" si="8"/>
        <v>#DIV/0!</v>
      </c>
      <c r="BA17" s="22" t="str">
        <f t="shared" si="8"/>
        <v>#DIV/0!</v>
      </c>
    </row>
    <row r="18" ht="21.75" customHeight="1">
      <c r="A18" s="4" t="s">
        <v>12</v>
      </c>
      <c r="B18" s="5" t="s">
        <v>3</v>
      </c>
      <c r="C18" s="6" t="s">
        <v>4</v>
      </c>
      <c r="D18" s="6" t="s">
        <v>4</v>
      </c>
      <c r="E18" s="6" t="s">
        <v>4</v>
      </c>
      <c r="F18" s="6" t="s">
        <v>4</v>
      </c>
      <c r="G18" s="6" t="s">
        <v>4</v>
      </c>
      <c r="H18" s="7">
        <v>16006.0</v>
      </c>
      <c r="I18" s="7">
        <v>60349.0</v>
      </c>
      <c r="J18" s="7">
        <v>43301.0</v>
      </c>
      <c r="K18" s="7">
        <v>20983.0</v>
      </c>
      <c r="L18" s="7">
        <v>23663.0</v>
      </c>
      <c r="M18" s="7">
        <v>32614.0</v>
      </c>
      <c r="N18" s="7">
        <v>97720.0</v>
      </c>
      <c r="O18" s="7">
        <v>18807.0</v>
      </c>
      <c r="P18" s="7">
        <v>84138.0</v>
      </c>
      <c r="Q18" s="7">
        <v>33421.0</v>
      </c>
      <c r="R18" s="7">
        <v>102025.0</v>
      </c>
      <c r="S18" s="7">
        <v>69566.0</v>
      </c>
      <c r="T18" s="7">
        <v>58654.0</v>
      </c>
      <c r="U18" s="7">
        <v>64386.0</v>
      </c>
      <c r="V18" s="7">
        <v>121102.0</v>
      </c>
      <c r="W18" s="7">
        <v>31974.0</v>
      </c>
      <c r="X18" s="7">
        <v>53146.0</v>
      </c>
      <c r="Y18" s="7">
        <v>30020.0</v>
      </c>
      <c r="Z18" s="7">
        <v>45072.0</v>
      </c>
      <c r="AA18" s="7">
        <v>24858.0</v>
      </c>
      <c r="AB18" s="7">
        <v>49287.0</v>
      </c>
      <c r="AC18" s="7">
        <v>29561.0</v>
      </c>
      <c r="AD18" s="7">
        <v>40514.0</v>
      </c>
      <c r="AE18" s="7">
        <v>56163.0</v>
      </c>
      <c r="AF18" s="7">
        <v>55946.0</v>
      </c>
      <c r="AG18" s="7">
        <v>81037.0</v>
      </c>
      <c r="AH18" s="7">
        <v>67958.0</v>
      </c>
      <c r="AI18" s="7">
        <v>23688.0</v>
      </c>
      <c r="AJ18" s="7">
        <v>62182.0</v>
      </c>
      <c r="AK18" s="7">
        <v>86277.0</v>
      </c>
      <c r="AL18" s="7">
        <v>93482.0</v>
      </c>
      <c r="AM18" s="7">
        <v>40203.0</v>
      </c>
      <c r="AN18" s="7">
        <v>47276.0</v>
      </c>
      <c r="AO18" s="7">
        <v>123857.0</v>
      </c>
      <c r="AP18" s="7"/>
      <c r="AQ18" s="7"/>
      <c r="AR18" s="7"/>
      <c r="AS18" s="7"/>
      <c r="AT18" s="7"/>
      <c r="AU18" s="7"/>
      <c r="AV18" s="7"/>
      <c r="AW18" s="7"/>
      <c r="AX18" s="7"/>
      <c r="AY18" s="7"/>
      <c r="AZ18" s="7"/>
      <c r="BA18" s="8"/>
    </row>
    <row r="19" ht="21.75" customHeight="1">
      <c r="A19" s="9"/>
      <c r="B19" s="10" t="s">
        <v>5</v>
      </c>
      <c r="C19" s="11" t="s">
        <v>4</v>
      </c>
      <c r="D19" s="11" t="s">
        <v>4</v>
      </c>
      <c r="E19" s="11" t="s">
        <v>4</v>
      </c>
      <c r="F19" s="11" t="s">
        <v>4</v>
      </c>
      <c r="G19" s="11" t="s">
        <v>4</v>
      </c>
      <c r="H19" s="12">
        <v>13385.0</v>
      </c>
      <c r="I19" s="12">
        <v>28752.0</v>
      </c>
      <c r="J19" s="12">
        <v>19227.0</v>
      </c>
      <c r="K19" s="12">
        <v>12418.0</v>
      </c>
      <c r="L19" s="12">
        <v>14078.0</v>
      </c>
      <c r="M19" s="12">
        <v>12171.0</v>
      </c>
      <c r="N19" s="12">
        <v>16023.0</v>
      </c>
      <c r="O19" s="12">
        <v>10185.0</v>
      </c>
      <c r="P19" s="12">
        <v>53975.0</v>
      </c>
      <c r="Q19" s="12">
        <v>16664.0</v>
      </c>
      <c r="R19" s="12">
        <v>32820.0</v>
      </c>
      <c r="S19" s="12">
        <v>21933.0</v>
      </c>
      <c r="T19" s="12">
        <v>33759.0</v>
      </c>
      <c r="U19" s="12">
        <v>49551.0</v>
      </c>
      <c r="V19" s="12">
        <v>37468.0</v>
      </c>
      <c r="W19" s="12">
        <v>15434.0</v>
      </c>
      <c r="X19" s="12">
        <v>20732.0</v>
      </c>
      <c r="Y19" s="12">
        <v>24638.0</v>
      </c>
      <c r="Z19" s="12">
        <v>18724.0</v>
      </c>
      <c r="AA19" s="12">
        <v>20074.0</v>
      </c>
      <c r="AB19" s="12">
        <v>21801.0</v>
      </c>
      <c r="AC19" s="12">
        <v>16265.0</v>
      </c>
      <c r="AD19" s="12">
        <v>17908.0</v>
      </c>
      <c r="AE19" s="12">
        <v>29294.0</v>
      </c>
      <c r="AF19" s="12">
        <v>25446.0</v>
      </c>
      <c r="AG19" s="12">
        <v>27875.0</v>
      </c>
      <c r="AH19" s="12">
        <v>28456.0</v>
      </c>
      <c r="AI19" s="12">
        <v>18788.0</v>
      </c>
      <c r="AJ19" s="12">
        <v>44278.0</v>
      </c>
      <c r="AK19" s="12">
        <v>35226.0</v>
      </c>
      <c r="AL19" s="12">
        <v>28960.0</v>
      </c>
      <c r="AM19" s="12">
        <v>36745.0</v>
      </c>
      <c r="AN19" s="12">
        <v>31384.0</v>
      </c>
      <c r="AO19" s="12">
        <v>64346.0</v>
      </c>
      <c r="AP19" s="12"/>
      <c r="AQ19" s="12"/>
      <c r="AR19" s="12"/>
      <c r="AS19" s="12"/>
      <c r="AT19" s="12"/>
      <c r="AU19" s="12"/>
      <c r="AV19" s="12"/>
      <c r="AW19" s="12"/>
      <c r="AX19" s="12"/>
      <c r="AY19" s="12"/>
      <c r="AZ19" s="12"/>
      <c r="BA19" s="13"/>
    </row>
    <row r="20" ht="21.75" customHeight="1">
      <c r="A20" s="9"/>
      <c r="B20" s="14" t="s">
        <v>6</v>
      </c>
      <c r="C20" s="15" t="s">
        <v>7</v>
      </c>
      <c r="D20" s="15" t="s">
        <v>7</v>
      </c>
      <c r="E20" s="15" t="s">
        <v>7</v>
      </c>
      <c r="F20" s="15" t="s">
        <v>7</v>
      </c>
      <c r="G20" s="15" t="s">
        <v>7</v>
      </c>
      <c r="H20" s="16">
        <f t="shared" ref="H20:BA20" si="9">AVERAGE(H18:H19)</f>
        <v>14695.5</v>
      </c>
      <c r="I20" s="16">
        <f t="shared" si="9"/>
        <v>44550.5</v>
      </c>
      <c r="J20" s="16">
        <f t="shared" si="9"/>
        <v>31264</v>
      </c>
      <c r="K20" s="16">
        <f t="shared" si="9"/>
        <v>16700.5</v>
      </c>
      <c r="L20" s="16">
        <f t="shared" si="9"/>
        <v>18870.5</v>
      </c>
      <c r="M20" s="16">
        <f t="shared" si="9"/>
        <v>22392.5</v>
      </c>
      <c r="N20" s="16">
        <f t="shared" si="9"/>
        <v>56871.5</v>
      </c>
      <c r="O20" s="16">
        <f t="shared" si="9"/>
        <v>14496</v>
      </c>
      <c r="P20" s="16">
        <f t="shared" si="9"/>
        <v>69056.5</v>
      </c>
      <c r="Q20" s="16">
        <f t="shared" si="9"/>
        <v>25042.5</v>
      </c>
      <c r="R20" s="16">
        <f t="shared" si="9"/>
        <v>67422.5</v>
      </c>
      <c r="S20" s="16">
        <f t="shared" si="9"/>
        <v>45749.5</v>
      </c>
      <c r="T20" s="16">
        <f t="shared" si="9"/>
        <v>46206.5</v>
      </c>
      <c r="U20" s="16">
        <f t="shared" si="9"/>
        <v>56968.5</v>
      </c>
      <c r="V20" s="16">
        <f t="shared" si="9"/>
        <v>79285</v>
      </c>
      <c r="W20" s="16">
        <f t="shared" si="9"/>
        <v>23704</v>
      </c>
      <c r="X20" s="16">
        <f t="shared" si="9"/>
        <v>36939</v>
      </c>
      <c r="Y20" s="16">
        <f t="shared" si="9"/>
        <v>27329</v>
      </c>
      <c r="Z20" s="16">
        <f t="shared" si="9"/>
        <v>31898</v>
      </c>
      <c r="AA20" s="16">
        <f t="shared" si="9"/>
        <v>22466</v>
      </c>
      <c r="AB20" s="16">
        <f t="shared" si="9"/>
        <v>35544</v>
      </c>
      <c r="AC20" s="16">
        <f t="shared" si="9"/>
        <v>22913</v>
      </c>
      <c r="AD20" s="16">
        <f t="shared" si="9"/>
        <v>29211</v>
      </c>
      <c r="AE20" s="16">
        <f t="shared" si="9"/>
        <v>42728.5</v>
      </c>
      <c r="AF20" s="16">
        <f t="shared" si="9"/>
        <v>40696</v>
      </c>
      <c r="AG20" s="16">
        <f t="shared" si="9"/>
        <v>54456</v>
      </c>
      <c r="AH20" s="16">
        <f t="shared" si="9"/>
        <v>48207</v>
      </c>
      <c r="AI20" s="16">
        <f t="shared" si="9"/>
        <v>21238</v>
      </c>
      <c r="AJ20" s="16">
        <f t="shared" si="9"/>
        <v>53230</v>
      </c>
      <c r="AK20" s="16">
        <f t="shared" si="9"/>
        <v>60751.5</v>
      </c>
      <c r="AL20" s="16">
        <f t="shared" si="9"/>
        <v>61221</v>
      </c>
      <c r="AM20" s="16">
        <f t="shared" si="9"/>
        <v>38474</v>
      </c>
      <c r="AN20" s="16">
        <f t="shared" si="9"/>
        <v>39330</v>
      </c>
      <c r="AO20" s="16">
        <f t="shared" si="9"/>
        <v>94101.5</v>
      </c>
      <c r="AP20" s="16" t="str">
        <f t="shared" si="9"/>
        <v>#DIV/0!</v>
      </c>
      <c r="AQ20" s="16" t="str">
        <f t="shared" si="9"/>
        <v>#DIV/0!</v>
      </c>
      <c r="AR20" s="16" t="str">
        <f t="shared" si="9"/>
        <v>#DIV/0!</v>
      </c>
      <c r="AS20" s="16" t="str">
        <f t="shared" si="9"/>
        <v>#DIV/0!</v>
      </c>
      <c r="AT20" s="16" t="str">
        <f t="shared" si="9"/>
        <v>#DIV/0!</v>
      </c>
      <c r="AU20" s="16" t="str">
        <f t="shared" si="9"/>
        <v>#DIV/0!</v>
      </c>
      <c r="AV20" s="16" t="str">
        <f t="shared" si="9"/>
        <v>#DIV/0!</v>
      </c>
      <c r="AW20" s="16" t="str">
        <f t="shared" si="9"/>
        <v>#DIV/0!</v>
      </c>
      <c r="AX20" s="16" t="str">
        <f t="shared" si="9"/>
        <v>#DIV/0!</v>
      </c>
      <c r="AY20" s="16" t="str">
        <f t="shared" si="9"/>
        <v>#DIV/0!</v>
      </c>
      <c r="AZ20" s="16" t="str">
        <f t="shared" si="9"/>
        <v>#DIV/0!</v>
      </c>
      <c r="BA20" s="17" t="str">
        <f t="shared" si="9"/>
        <v>#DIV/0!</v>
      </c>
    </row>
    <row r="21" ht="21.75" customHeight="1">
      <c r="A21" s="18"/>
      <c r="B21" s="19" t="s">
        <v>8</v>
      </c>
      <c r="C21" s="20" t="s">
        <v>7</v>
      </c>
      <c r="D21" s="20" t="s">
        <v>7</v>
      </c>
      <c r="E21" s="20" t="s">
        <v>7</v>
      </c>
      <c r="F21" s="20" t="s">
        <v>7</v>
      </c>
      <c r="G21" s="20" t="s">
        <v>7</v>
      </c>
      <c r="H21" s="21">
        <f t="shared" ref="H21:BA21" si="10">H19/H18</f>
        <v>0.8362489067</v>
      </c>
      <c r="I21" s="21">
        <f t="shared" si="10"/>
        <v>0.4764287726</v>
      </c>
      <c r="J21" s="21">
        <f t="shared" si="10"/>
        <v>0.4440313157</v>
      </c>
      <c r="K21" s="21">
        <f t="shared" si="10"/>
        <v>0.5918124196</v>
      </c>
      <c r="L21" s="21">
        <f t="shared" si="10"/>
        <v>0.5949372438</v>
      </c>
      <c r="M21" s="21">
        <f t="shared" si="10"/>
        <v>0.3731832955</v>
      </c>
      <c r="N21" s="21">
        <f t="shared" si="10"/>
        <v>0.1639684814</v>
      </c>
      <c r="O21" s="21">
        <f t="shared" si="10"/>
        <v>0.5415536768</v>
      </c>
      <c r="P21" s="21">
        <f t="shared" si="10"/>
        <v>0.6415056217</v>
      </c>
      <c r="Q21" s="21">
        <f t="shared" si="10"/>
        <v>0.4986086592</v>
      </c>
      <c r="R21" s="21">
        <f t="shared" si="10"/>
        <v>0.3216858613</v>
      </c>
      <c r="S21" s="21">
        <f t="shared" si="10"/>
        <v>0.3152833281</v>
      </c>
      <c r="T21" s="21">
        <f t="shared" si="10"/>
        <v>0.575561769</v>
      </c>
      <c r="U21" s="21">
        <f t="shared" si="10"/>
        <v>0.7695927686</v>
      </c>
      <c r="V21" s="21">
        <f t="shared" si="10"/>
        <v>0.3093920827</v>
      </c>
      <c r="W21" s="21">
        <f t="shared" si="10"/>
        <v>0.4827046976</v>
      </c>
      <c r="X21" s="21">
        <f t="shared" si="10"/>
        <v>0.3900952094</v>
      </c>
      <c r="Y21" s="21">
        <f t="shared" si="10"/>
        <v>0.8207195203</v>
      </c>
      <c r="Z21" s="21">
        <f t="shared" si="10"/>
        <v>0.4154242102</v>
      </c>
      <c r="AA21" s="21">
        <f t="shared" si="10"/>
        <v>0.8075468662</v>
      </c>
      <c r="AB21" s="21">
        <f t="shared" si="10"/>
        <v>0.4423275915</v>
      </c>
      <c r="AC21" s="21">
        <f t="shared" si="10"/>
        <v>0.5502181929</v>
      </c>
      <c r="AD21" s="21">
        <f t="shared" si="10"/>
        <v>0.4420200425</v>
      </c>
      <c r="AE21" s="21">
        <f t="shared" si="10"/>
        <v>0.5215889465</v>
      </c>
      <c r="AF21" s="21">
        <f t="shared" si="10"/>
        <v>0.4548314446</v>
      </c>
      <c r="AG21" s="21">
        <f t="shared" si="10"/>
        <v>0.3439786764</v>
      </c>
      <c r="AH21" s="21">
        <f t="shared" si="10"/>
        <v>0.4187292151</v>
      </c>
      <c r="AI21" s="21">
        <f t="shared" si="10"/>
        <v>0.793144208</v>
      </c>
      <c r="AJ21" s="21">
        <f t="shared" si="10"/>
        <v>0.7120710173</v>
      </c>
      <c r="AK21" s="21">
        <f t="shared" si="10"/>
        <v>0.4082895789</v>
      </c>
      <c r="AL21" s="21">
        <f t="shared" si="10"/>
        <v>0.3097922595</v>
      </c>
      <c r="AM21" s="21">
        <f t="shared" si="10"/>
        <v>0.9139865184</v>
      </c>
      <c r="AN21" s="21">
        <f t="shared" si="10"/>
        <v>0.6638463491</v>
      </c>
      <c r="AO21" s="21">
        <f t="shared" si="10"/>
        <v>0.519518477</v>
      </c>
      <c r="AP21" s="21" t="str">
        <f t="shared" si="10"/>
        <v>#DIV/0!</v>
      </c>
      <c r="AQ21" s="21" t="str">
        <f t="shared" si="10"/>
        <v>#DIV/0!</v>
      </c>
      <c r="AR21" s="21" t="str">
        <f t="shared" si="10"/>
        <v>#DIV/0!</v>
      </c>
      <c r="AS21" s="21" t="str">
        <f t="shared" si="10"/>
        <v>#DIV/0!</v>
      </c>
      <c r="AT21" s="21" t="str">
        <f t="shared" si="10"/>
        <v>#DIV/0!</v>
      </c>
      <c r="AU21" s="21" t="str">
        <f t="shared" si="10"/>
        <v>#DIV/0!</v>
      </c>
      <c r="AV21" s="21" t="str">
        <f t="shared" si="10"/>
        <v>#DIV/0!</v>
      </c>
      <c r="AW21" s="21" t="str">
        <f t="shared" si="10"/>
        <v>#DIV/0!</v>
      </c>
      <c r="AX21" s="21" t="str">
        <f t="shared" si="10"/>
        <v>#DIV/0!</v>
      </c>
      <c r="AY21" s="21" t="str">
        <f t="shared" si="10"/>
        <v>#DIV/0!</v>
      </c>
      <c r="AZ21" s="21" t="str">
        <f t="shared" si="10"/>
        <v>#DIV/0!</v>
      </c>
      <c r="BA21" s="22" t="str">
        <f t="shared" si="10"/>
        <v>#DIV/0!</v>
      </c>
    </row>
    <row r="22" ht="21.75" customHeight="1">
      <c r="A22" s="4" t="s">
        <v>13</v>
      </c>
      <c r="B22" s="5" t="s">
        <v>3</v>
      </c>
      <c r="C22" s="6" t="s">
        <v>4</v>
      </c>
      <c r="D22" s="6" t="s">
        <v>4</v>
      </c>
      <c r="E22" s="6" t="s">
        <v>4</v>
      </c>
      <c r="F22" s="6" t="s">
        <v>4</v>
      </c>
      <c r="G22" s="6" t="s">
        <v>4</v>
      </c>
      <c r="H22" s="7">
        <v>90203.0</v>
      </c>
      <c r="I22" s="7">
        <v>120196.0</v>
      </c>
      <c r="J22" s="7">
        <v>121293.0</v>
      </c>
      <c r="K22" s="7">
        <v>67891.0</v>
      </c>
      <c r="L22" s="7">
        <v>94692.0</v>
      </c>
      <c r="M22" s="7">
        <v>104492.0</v>
      </c>
      <c r="N22" s="7">
        <v>113720.0</v>
      </c>
      <c r="O22" s="7">
        <v>86267.0</v>
      </c>
      <c r="P22" s="7">
        <v>122820.0</v>
      </c>
      <c r="Q22" s="7">
        <v>79035.0</v>
      </c>
      <c r="R22" s="7">
        <v>135379.0</v>
      </c>
      <c r="S22" s="7">
        <v>111320.0</v>
      </c>
      <c r="T22" s="7">
        <v>133073.0</v>
      </c>
      <c r="U22" s="7">
        <v>129332.0</v>
      </c>
      <c r="V22" s="7">
        <v>113920.0</v>
      </c>
      <c r="W22" s="7">
        <v>94944.0</v>
      </c>
      <c r="X22" s="7">
        <v>72960.0</v>
      </c>
      <c r="Y22" s="7">
        <v>102320.0</v>
      </c>
      <c r="Z22" s="7">
        <v>70995.0</v>
      </c>
      <c r="AA22" s="7">
        <v>115672.0</v>
      </c>
      <c r="AB22" s="7">
        <v>113863.0</v>
      </c>
      <c r="AC22" s="7">
        <v>90973.0</v>
      </c>
      <c r="AD22" s="7">
        <v>76085.0</v>
      </c>
      <c r="AE22" s="7">
        <v>108418.0</v>
      </c>
      <c r="AF22" s="7">
        <v>116017.0</v>
      </c>
      <c r="AG22" s="7">
        <v>94043.0</v>
      </c>
      <c r="AH22" s="7">
        <v>112896.0</v>
      </c>
      <c r="AI22" s="7">
        <v>74943.0</v>
      </c>
      <c r="AJ22" s="7">
        <v>93143.0</v>
      </c>
      <c r="AK22" s="7">
        <v>97420.0</v>
      </c>
      <c r="AL22" s="7">
        <v>119444.0</v>
      </c>
      <c r="AM22" s="7">
        <v>117668.0</v>
      </c>
      <c r="AN22" s="7">
        <v>124025.0</v>
      </c>
      <c r="AO22" s="7">
        <v>102080.0</v>
      </c>
      <c r="AP22" s="7"/>
      <c r="AQ22" s="7"/>
      <c r="AR22" s="7"/>
      <c r="AS22" s="7"/>
      <c r="AT22" s="7"/>
      <c r="AU22" s="7"/>
      <c r="AV22" s="7"/>
      <c r="AW22" s="7"/>
      <c r="AX22" s="7"/>
      <c r="AY22" s="7"/>
      <c r="AZ22" s="7"/>
      <c r="BA22" s="8"/>
    </row>
    <row r="23" ht="21.75" customHeight="1">
      <c r="A23" s="9"/>
      <c r="B23" s="10" t="s">
        <v>5</v>
      </c>
      <c r="C23" s="11" t="s">
        <v>4</v>
      </c>
      <c r="D23" s="11" t="s">
        <v>4</v>
      </c>
      <c r="E23" s="11" t="s">
        <v>4</v>
      </c>
      <c r="F23" s="11" t="s">
        <v>4</v>
      </c>
      <c r="G23" s="11" t="s">
        <v>4</v>
      </c>
      <c r="H23" s="12">
        <v>39621.0</v>
      </c>
      <c r="I23" s="12">
        <v>103117.0</v>
      </c>
      <c r="J23" s="12">
        <v>61711.0</v>
      </c>
      <c r="K23" s="12">
        <v>29999.0</v>
      </c>
      <c r="L23" s="12">
        <v>74159.0</v>
      </c>
      <c r="M23" s="12">
        <v>64471.0</v>
      </c>
      <c r="N23" s="12">
        <v>80301.0</v>
      </c>
      <c r="O23" s="12">
        <v>57388.0</v>
      </c>
      <c r="P23" s="12">
        <v>107499.0</v>
      </c>
      <c r="Q23" s="12">
        <v>43899.0</v>
      </c>
      <c r="R23" s="12">
        <v>100026.0</v>
      </c>
      <c r="S23" s="12">
        <v>57378.0</v>
      </c>
      <c r="T23" s="12">
        <v>101031.0</v>
      </c>
      <c r="U23" s="12">
        <v>93424.0</v>
      </c>
      <c r="V23" s="12">
        <v>75416.0</v>
      </c>
      <c r="W23" s="12">
        <v>51732.0</v>
      </c>
      <c r="X23" s="12">
        <v>19707.0</v>
      </c>
      <c r="Y23" s="12">
        <v>51808.0</v>
      </c>
      <c r="Z23" s="12">
        <v>55196.0</v>
      </c>
      <c r="AA23" s="12">
        <v>79699.0</v>
      </c>
      <c r="AB23" s="12">
        <v>67600.0</v>
      </c>
      <c r="AC23" s="12">
        <v>56658.0</v>
      </c>
      <c r="AD23" s="12">
        <v>51543.0</v>
      </c>
      <c r="AE23" s="12">
        <v>58731.0</v>
      </c>
      <c r="AF23" s="12">
        <v>77710.0</v>
      </c>
      <c r="AG23" s="12">
        <v>66952.0</v>
      </c>
      <c r="AH23" s="12">
        <v>79289.0</v>
      </c>
      <c r="AI23" s="12">
        <v>53117.0</v>
      </c>
      <c r="AJ23" s="12">
        <v>64451.0</v>
      </c>
      <c r="AK23" s="12">
        <v>64115.0</v>
      </c>
      <c r="AL23" s="12">
        <v>67166.0</v>
      </c>
      <c r="AM23" s="12">
        <v>60289.0</v>
      </c>
      <c r="AN23" s="12">
        <v>29116.0</v>
      </c>
      <c r="AO23" s="12">
        <v>65989.0</v>
      </c>
      <c r="AP23" s="12"/>
      <c r="AQ23" s="12"/>
      <c r="AR23" s="12"/>
      <c r="AS23" s="12"/>
      <c r="AT23" s="12"/>
      <c r="AU23" s="12"/>
      <c r="AV23" s="12"/>
      <c r="AW23" s="12"/>
      <c r="AX23" s="12"/>
      <c r="AY23" s="12"/>
      <c r="AZ23" s="12"/>
      <c r="BA23" s="13"/>
    </row>
    <row r="24" ht="21.75" customHeight="1">
      <c r="A24" s="9"/>
      <c r="B24" s="14" t="s">
        <v>6</v>
      </c>
      <c r="C24" s="15" t="s">
        <v>7</v>
      </c>
      <c r="D24" s="15" t="s">
        <v>7</v>
      </c>
      <c r="E24" s="15" t="s">
        <v>7</v>
      </c>
      <c r="F24" s="15" t="s">
        <v>7</v>
      </c>
      <c r="G24" s="15" t="s">
        <v>7</v>
      </c>
      <c r="H24" s="16">
        <f t="shared" ref="H24:BA24" si="11">AVERAGE(H22:H23)</f>
        <v>64912</v>
      </c>
      <c r="I24" s="16">
        <f t="shared" si="11"/>
        <v>111656.5</v>
      </c>
      <c r="J24" s="16">
        <f t="shared" si="11"/>
        <v>91502</v>
      </c>
      <c r="K24" s="16">
        <f t="shared" si="11"/>
        <v>48945</v>
      </c>
      <c r="L24" s="16">
        <f t="shared" si="11"/>
        <v>84425.5</v>
      </c>
      <c r="M24" s="16">
        <f t="shared" si="11"/>
        <v>84481.5</v>
      </c>
      <c r="N24" s="16">
        <f t="shared" si="11"/>
        <v>97010.5</v>
      </c>
      <c r="O24" s="16">
        <f t="shared" si="11"/>
        <v>71827.5</v>
      </c>
      <c r="P24" s="16">
        <f t="shared" si="11"/>
        <v>115159.5</v>
      </c>
      <c r="Q24" s="16">
        <f t="shared" si="11"/>
        <v>61467</v>
      </c>
      <c r="R24" s="16">
        <f t="shared" si="11"/>
        <v>117702.5</v>
      </c>
      <c r="S24" s="16">
        <f t="shared" si="11"/>
        <v>84349</v>
      </c>
      <c r="T24" s="16">
        <f t="shared" si="11"/>
        <v>117052</v>
      </c>
      <c r="U24" s="16">
        <f t="shared" si="11"/>
        <v>111378</v>
      </c>
      <c r="V24" s="16">
        <f t="shared" si="11"/>
        <v>94668</v>
      </c>
      <c r="W24" s="16">
        <f t="shared" si="11"/>
        <v>73338</v>
      </c>
      <c r="X24" s="16">
        <f t="shared" si="11"/>
        <v>46333.5</v>
      </c>
      <c r="Y24" s="16">
        <f t="shared" si="11"/>
        <v>77064</v>
      </c>
      <c r="Z24" s="16">
        <f t="shared" si="11"/>
        <v>63095.5</v>
      </c>
      <c r="AA24" s="16">
        <f t="shared" si="11"/>
        <v>97685.5</v>
      </c>
      <c r="AB24" s="16">
        <f t="shared" si="11"/>
        <v>90731.5</v>
      </c>
      <c r="AC24" s="16">
        <f t="shared" si="11"/>
        <v>73815.5</v>
      </c>
      <c r="AD24" s="16">
        <f t="shared" si="11"/>
        <v>63814</v>
      </c>
      <c r="AE24" s="16">
        <f t="shared" si="11"/>
        <v>83574.5</v>
      </c>
      <c r="AF24" s="16">
        <f t="shared" si="11"/>
        <v>96863.5</v>
      </c>
      <c r="AG24" s="16">
        <f t="shared" si="11"/>
        <v>80497.5</v>
      </c>
      <c r="AH24" s="16">
        <f t="shared" si="11"/>
        <v>96092.5</v>
      </c>
      <c r="AI24" s="16">
        <f t="shared" si="11"/>
        <v>64030</v>
      </c>
      <c r="AJ24" s="16">
        <f t="shared" si="11"/>
        <v>78797</v>
      </c>
      <c r="AK24" s="16">
        <f t="shared" si="11"/>
        <v>80767.5</v>
      </c>
      <c r="AL24" s="16">
        <f t="shared" si="11"/>
        <v>93305</v>
      </c>
      <c r="AM24" s="16">
        <f t="shared" si="11"/>
        <v>88978.5</v>
      </c>
      <c r="AN24" s="16">
        <f t="shared" si="11"/>
        <v>76570.5</v>
      </c>
      <c r="AO24" s="16">
        <f t="shared" si="11"/>
        <v>84034.5</v>
      </c>
      <c r="AP24" s="16" t="str">
        <f t="shared" si="11"/>
        <v>#DIV/0!</v>
      </c>
      <c r="AQ24" s="16" t="str">
        <f t="shared" si="11"/>
        <v>#DIV/0!</v>
      </c>
      <c r="AR24" s="16" t="str">
        <f t="shared" si="11"/>
        <v>#DIV/0!</v>
      </c>
      <c r="AS24" s="16" t="str">
        <f t="shared" si="11"/>
        <v>#DIV/0!</v>
      </c>
      <c r="AT24" s="16" t="str">
        <f t="shared" si="11"/>
        <v>#DIV/0!</v>
      </c>
      <c r="AU24" s="16" t="str">
        <f t="shared" si="11"/>
        <v>#DIV/0!</v>
      </c>
      <c r="AV24" s="16" t="str">
        <f t="shared" si="11"/>
        <v>#DIV/0!</v>
      </c>
      <c r="AW24" s="16" t="str">
        <f t="shared" si="11"/>
        <v>#DIV/0!</v>
      </c>
      <c r="AX24" s="16" t="str">
        <f t="shared" si="11"/>
        <v>#DIV/0!</v>
      </c>
      <c r="AY24" s="16" t="str">
        <f t="shared" si="11"/>
        <v>#DIV/0!</v>
      </c>
      <c r="AZ24" s="16" t="str">
        <f t="shared" si="11"/>
        <v>#DIV/0!</v>
      </c>
      <c r="BA24" s="17" t="str">
        <f t="shared" si="11"/>
        <v>#DIV/0!</v>
      </c>
    </row>
    <row r="25" ht="21.75" customHeight="1">
      <c r="A25" s="18"/>
      <c r="B25" s="19" t="s">
        <v>8</v>
      </c>
      <c r="C25" s="20" t="s">
        <v>7</v>
      </c>
      <c r="D25" s="20" t="s">
        <v>7</v>
      </c>
      <c r="E25" s="20" t="s">
        <v>7</v>
      </c>
      <c r="F25" s="20" t="s">
        <v>7</v>
      </c>
      <c r="G25" s="20" t="s">
        <v>7</v>
      </c>
      <c r="H25" s="21">
        <f t="shared" ref="H25:BA25" si="12">H23/H22</f>
        <v>0.4392425973</v>
      </c>
      <c r="I25" s="21">
        <f t="shared" si="12"/>
        <v>0.8579070851</v>
      </c>
      <c r="J25" s="21">
        <f t="shared" si="12"/>
        <v>0.508776269</v>
      </c>
      <c r="K25" s="21">
        <f t="shared" si="12"/>
        <v>0.4418700564</v>
      </c>
      <c r="L25" s="21">
        <f t="shared" si="12"/>
        <v>0.7831601402</v>
      </c>
      <c r="M25" s="21">
        <f t="shared" si="12"/>
        <v>0.6169946025</v>
      </c>
      <c r="N25" s="21">
        <f t="shared" si="12"/>
        <v>0.706129089</v>
      </c>
      <c r="O25" s="21">
        <f t="shared" si="12"/>
        <v>0.6652369968</v>
      </c>
      <c r="P25" s="21">
        <f t="shared" si="12"/>
        <v>0.8752564729</v>
      </c>
      <c r="Q25" s="21">
        <f t="shared" si="12"/>
        <v>0.5554374644</v>
      </c>
      <c r="R25" s="21">
        <f t="shared" si="12"/>
        <v>0.7388590549</v>
      </c>
      <c r="S25" s="21">
        <f t="shared" si="12"/>
        <v>0.515432986</v>
      </c>
      <c r="T25" s="21">
        <f t="shared" si="12"/>
        <v>0.759214867</v>
      </c>
      <c r="U25" s="21">
        <f t="shared" si="12"/>
        <v>0.7223579625</v>
      </c>
      <c r="V25" s="21">
        <f t="shared" si="12"/>
        <v>0.662008427</v>
      </c>
      <c r="W25" s="21">
        <f t="shared" si="12"/>
        <v>0.5448685541</v>
      </c>
      <c r="X25" s="21">
        <f t="shared" si="12"/>
        <v>0.2701069079</v>
      </c>
      <c r="Y25" s="21">
        <f t="shared" si="12"/>
        <v>0.5063330727</v>
      </c>
      <c r="Z25" s="21">
        <f t="shared" si="12"/>
        <v>0.7774632016</v>
      </c>
      <c r="AA25" s="21">
        <f t="shared" si="12"/>
        <v>0.689008576</v>
      </c>
      <c r="AB25" s="21">
        <f t="shared" si="12"/>
        <v>0.5936959328</v>
      </c>
      <c r="AC25" s="21">
        <f t="shared" si="12"/>
        <v>0.6228001715</v>
      </c>
      <c r="AD25" s="21">
        <f t="shared" si="12"/>
        <v>0.6774397056</v>
      </c>
      <c r="AE25" s="21">
        <f t="shared" si="12"/>
        <v>0.5417089413</v>
      </c>
      <c r="AF25" s="21">
        <f t="shared" si="12"/>
        <v>0.6698156305</v>
      </c>
      <c r="AG25" s="21">
        <f t="shared" si="12"/>
        <v>0.7119296492</v>
      </c>
      <c r="AH25" s="21">
        <f t="shared" si="12"/>
        <v>0.7023189484</v>
      </c>
      <c r="AI25" s="21">
        <f t="shared" si="12"/>
        <v>0.7087653283</v>
      </c>
      <c r="AJ25" s="21">
        <f t="shared" si="12"/>
        <v>0.6919575277</v>
      </c>
      <c r="AK25" s="21">
        <f t="shared" si="12"/>
        <v>0.6581297475</v>
      </c>
      <c r="AL25" s="21">
        <f t="shared" si="12"/>
        <v>0.5623220924</v>
      </c>
      <c r="AM25" s="21">
        <f t="shared" si="12"/>
        <v>0.512365299</v>
      </c>
      <c r="AN25" s="21">
        <f t="shared" si="12"/>
        <v>0.2347591211</v>
      </c>
      <c r="AO25" s="21">
        <f t="shared" si="12"/>
        <v>0.6464439655</v>
      </c>
      <c r="AP25" s="21" t="str">
        <f t="shared" si="12"/>
        <v>#DIV/0!</v>
      </c>
      <c r="AQ25" s="21" t="str">
        <f t="shared" si="12"/>
        <v>#DIV/0!</v>
      </c>
      <c r="AR25" s="21" t="str">
        <f t="shared" si="12"/>
        <v>#DIV/0!</v>
      </c>
      <c r="AS25" s="21" t="str">
        <f t="shared" si="12"/>
        <v>#DIV/0!</v>
      </c>
      <c r="AT25" s="21" t="str">
        <f t="shared" si="12"/>
        <v>#DIV/0!</v>
      </c>
      <c r="AU25" s="21" t="str">
        <f t="shared" si="12"/>
        <v>#DIV/0!</v>
      </c>
      <c r="AV25" s="21" t="str">
        <f t="shared" si="12"/>
        <v>#DIV/0!</v>
      </c>
      <c r="AW25" s="21" t="str">
        <f t="shared" si="12"/>
        <v>#DIV/0!</v>
      </c>
      <c r="AX25" s="21" t="str">
        <f t="shared" si="12"/>
        <v>#DIV/0!</v>
      </c>
      <c r="AY25" s="21" t="str">
        <f t="shared" si="12"/>
        <v>#DIV/0!</v>
      </c>
      <c r="AZ25" s="21" t="str">
        <f t="shared" si="12"/>
        <v>#DIV/0!</v>
      </c>
      <c r="BA25" s="22" t="str">
        <f t="shared" si="12"/>
        <v>#DIV/0!</v>
      </c>
    </row>
    <row r="26" ht="21.75" customHeight="1">
      <c r="A26" s="4" t="s">
        <v>14</v>
      </c>
      <c r="B26" s="5" t="s">
        <v>3</v>
      </c>
      <c r="C26" s="6" t="s">
        <v>4</v>
      </c>
      <c r="D26" s="6" t="s">
        <v>4</v>
      </c>
      <c r="E26" s="6" t="s">
        <v>4</v>
      </c>
      <c r="F26" s="6" t="s">
        <v>4</v>
      </c>
      <c r="G26" s="6" t="s">
        <v>4</v>
      </c>
      <c r="H26" s="7">
        <v>348786.0</v>
      </c>
      <c r="I26" s="7">
        <v>394568.0</v>
      </c>
      <c r="J26" s="7">
        <v>436589.0</v>
      </c>
      <c r="K26" s="7">
        <v>318524.0</v>
      </c>
      <c r="L26" s="7">
        <v>393558.0</v>
      </c>
      <c r="M26" s="7">
        <v>368509.0</v>
      </c>
      <c r="N26" s="7">
        <v>497628.0</v>
      </c>
      <c r="O26" s="7">
        <v>403022.0</v>
      </c>
      <c r="P26" s="7">
        <v>453887.0</v>
      </c>
      <c r="Q26" s="7">
        <v>381944.0</v>
      </c>
      <c r="R26" s="7">
        <v>495215.0</v>
      </c>
      <c r="S26" s="7">
        <v>453940.0</v>
      </c>
      <c r="T26" s="7">
        <v>484872.0</v>
      </c>
      <c r="U26" s="7">
        <v>477272.0</v>
      </c>
      <c r="V26" s="7">
        <v>447345.0</v>
      </c>
      <c r="W26" s="7">
        <v>349179.0</v>
      </c>
      <c r="X26" s="7">
        <v>353014.0</v>
      </c>
      <c r="Y26" s="7">
        <v>294894.0</v>
      </c>
      <c r="Z26" s="7">
        <v>386652.0</v>
      </c>
      <c r="AA26" s="7">
        <v>366342.0</v>
      </c>
      <c r="AB26" s="7">
        <v>409029.0</v>
      </c>
      <c r="AC26" s="7">
        <v>321741.0</v>
      </c>
      <c r="AD26" s="7">
        <v>355024.0</v>
      </c>
      <c r="AE26" s="7">
        <v>395569.0</v>
      </c>
      <c r="AF26" s="7">
        <v>434511.0</v>
      </c>
      <c r="AG26" s="7">
        <v>397255.0</v>
      </c>
      <c r="AH26" s="7">
        <v>406930.0</v>
      </c>
      <c r="AI26" s="7">
        <v>327131.0</v>
      </c>
      <c r="AJ26" s="7">
        <v>357460.0</v>
      </c>
      <c r="AK26" s="7">
        <v>442146.0</v>
      </c>
      <c r="AL26" s="7">
        <v>453399.0</v>
      </c>
      <c r="AM26" s="7">
        <v>481856.0</v>
      </c>
      <c r="AN26" s="7">
        <v>489331.0</v>
      </c>
      <c r="AO26" s="7">
        <v>544837.0</v>
      </c>
      <c r="AP26" s="7"/>
      <c r="AQ26" s="7"/>
      <c r="AR26" s="7"/>
      <c r="AS26" s="7"/>
      <c r="AT26" s="7"/>
      <c r="AU26" s="7"/>
      <c r="AV26" s="7"/>
      <c r="AW26" s="7"/>
      <c r="AX26" s="7"/>
      <c r="AY26" s="7"/>
      <c r="AZ26" s="7"/>
      <c r="BA26" s="8"/>
    </row>
    <row r="27" ht="21.75" customHeight="1">
      <c r="A27" s="9"/>
      <c r="B27" s="10" t="s">
        <v>5</v>
      </c>
      <c r="C27" s="11" t="s">
        <v>4</v>
      </c>
      <c r="D27" s="11" t="s">
        <v>4</v>
      </c>
      <c r="E27" s="11" t="s">
        <v>4</v>
      </c>
      <c r="F27" s="11" t="s">
        <v>4</v>
      </c>
      <c r="G27" s="11" t="s">
        <v>4</v>
      </c>
      <c r="H27" s="12">
        <v>279109.0</v>
      </c>
      <c r="I27" s="12">
        <v>263568.0</v>
      </c>
      <c r="J27" s="12">
        <v>245013.0</v>
      </c>
      <c r="K27" s="12">
        <v>138398.0</v>
      </c>
      <c r="L27" s="12">
        <v>306463.0</v>
      </c>
      <c r="M27" s="12">
        <v>325486.0</v>
      </c>
      <c r="N27" s="12">
        <v>322438.0</v>
      </c>
      <c r="O27" s="12">
        <v>218751.0</v>
      </c>
      <c r="P27" s="12">
        <v>306618.0</v>
      </c>
      <c r="Q27" s="12">
        <v>281041.0</v>
      </c>
      <c r="R27" s="12">
        <v>349355.0</v>
      </c>
      <c r="S27" s="12">
        <v>288670.0</v>
      </c>
      <c r="T27" s="12">
        <v>355900.0</v>
      </c>
      <c r="U27" s="12">
        <v>375607.0</v>
      </c>
      <c r="V27" s="12">
        <v>342043.0</v>
      </c>
      <c r="W27" s="12">
        <v>225206.0</v>
      </c>
      <c r="X27" s="12">
        <v>238951.0</v>
      </c>
      <c r="Y27" s="12">
        <v>215486.0</v>
      </c>
      <c r="Z27" s="12">
        <v>281173.0</v>
      </c>
      <c r="AA27" s="12">
        <v>315315.0</v>
      </c>
      <c r="AB27" s="12">
        <v>301834.0</v>
      </c>
      <c r="AC27" s="12">
        <v>267717.0</v>
      </c>
      <c r="AD27" s="12">
        <v>289919.0</v>
      </c>
      <c r="AE27" s="12">
        <v>281397.0</v>
      </c>
      <c r="AF27" s="12">
        <v>297855.0</v>
      </c>
      <c r="AG27" s="12">
        <v>247533.0</v>
      </c>
      <c r="AH27" s="12">
        <v>251378.0</v>
      </c>
      <c r="AI27" s="12">
        <v>233762.0</v>
      </c>
      <c r="AJ27" s="12">
        <v>281000.0</v>
      </c>
      <c r="AK27" s="12">
        <v>322648.0</v>
      </c>
      <c r="AL27" s="12">
        <v>281224.0</v>
      </c>
      <c r="AM27" s="12">
        <v>364932.0</v>
      </c>
      <c r="AN27" s="12">
        <v>380704.0</v>
      </c>
      <c r="AO27" s="12">
        <v>389382.0</v>
      </c>
      <c r="AP27" s="12"/>
      <c r="AQ27" s="12"/>
      <c r="AR27" s="12"/>
      <c r="AS27" s="12"/>
      <c r="AT27" s="12"/>
      <c r="AU27" s="12"/>
      <c r="AV27" s="12"/>
      <c r="AW27" s="12"/>
      <c r="AX27" s="12"/>
      <c r="AY27" s="12"/>
      <c r="AZ27" s="12"/>
      <c r="BA27" s="13"/>
    </row>
    <row r="28" ht="21.75" customHeight="1">
      <c r="A28" s="9"/>
      <c r="B28" s="14" t="s">
        <v>6</v>
      </c>
      <c r="C28" s="15" t="s">
        <v>7</v>
      </c>
      <c r="D28" s="15" t="s">
        <v>7</v>
      </c>
      <c r="E28" s="15" t="s">
        <v>7</v>
      </c>
      <c r="F28" s="15" t="s">
        <v>7</v>
      </c>
      <c r="G28" s="15" t="s">
        <v>7</v>
      </c>
      <c r="H28" s="16">
        <f t="shared" ref="H28:BA28" si="13">AVERAGE(H26:H27)</f>
        <v>313947.5</v>
      </c>
      <c r="I28" s="16">
        <f t="shared" si="13"/>
        <v>329068</v>
      </c>
      <c r="J28" s="16">
        <f t="shared" si="13"/>
        <v>340801</v>
      </c>
      <c r="K28" s="16">
        <f t="shared" si="13"/>
        <v>228461</v>
      </c>
      <c r="L28" s="16">
        <f t="shared" si="13"/>
        <v>350010.5</v>
      </c>
      <c r="M28" s="16">
        <f t="shared" si="13"/>
        <v>346997.5</v>
      </c>
      <c r="N28" s="16">
        <f t="shared" si="13"/>
        <v>410033</v>
      </c>
      <c r="O28" s="16">
        <f t="shared" si="13"/>
        <v>310886.5</v>
      </c>
      <c r="P28" s="16">
        <f t="shared" si="13"/>
        <v>380252.5</v>
      </c>
      <c r="Q28" s="16">
        <f t="shared" si="13"/>
        <v>331492.5</v>
      </c>
      <c r="R28" s="16">
        <f t="shared" si="13"/>
        <v>422285</v>
      </c>
      <c r="S28" s="16">
        <f t="shared" si="13"/>
        <v>371305</v>
      </c>
      <c r="T28" s="16">
        <f t="shared" si="13"/>
        <v>420386</v>
      </c>
      <c r="U28" s="16">
        <f t="shared" si="13"/>
        <v>426439.5</v>
      </c>
      <c r="V28" s="16">
        <f t="shared" si="13"/>
        <v>394694</v>
      </c>
      <c r="W28" s="16">
        <f t="shared" si="13"/>
        <v>287192.5</v>
      </c>
      <c r="X28" s="16">
        <f t="shared" si="13"/>
        <v>295982.5</v>
      </c>
      <c r="Y28" s="16">
        <f t="shared" si="13"/>
        <v>255190</v>
      </c>
      <c r="Z28" s="16">
        <f t="shared" si="13"/>
        <v>333912.5</v>
      </c>
      <c r="AA28" s="16">
        <f t="shared" si="13"/>
        <v>340828.5</v>
      </c>
      <c r="AB28" s="16">
        <f t="shared" si="13"/>
        <v>355431.5</v>
      </c>
      <c r="AC28" s="16">
        <f t="shared" si="13"/>
        <v>294729</v>
      </c>
      <c r="AD28" s="16">
        <f t="shared" si="13"/>
        <v>322471.5</v>
      </c>
      <c r="AE28" s="16">
        <f t="shared" si="13"/>
        <v>338483</v>
      </c>
      <c r="AF28" s="16">
        <f t="shared" si="13"/>
        <v>366183</v>
      </c>
      <c r="AG28" s="16">
        <f t="shared" si="13"/>
        <v>322394</v>
      </c>
      <c r="AH28" s="16">
        <f t="shared" si="13"/>
        <v>329154</v>
      </c>
      <c r="AI28" s="16">
        <f t="shared" si="13"/>
        <v>280446.5</v>
      </c>
      <c r="AJ28" s="16">
        <f t="shared" si="13"/>
        <v>319230</v>
      </c>
      <c r="AK28" s="16">
        <f t="shared" si="13"/>
        <v>382397</v>
      </c>
      <c r="AL28" s="16">
        <f t="shared" si="13"/>
        <v>367311.5</v>
      </c>
      <c r="AM28" s="16">
        <f t="shared" si="13"/>
        <v>423394</v>
      </c>
      <c r="AN28" s="16">
        <f t="shared" si="13"/>
        <v>435017.5</v>
      </c>
      <c r="AO28" s="16">
        <f t="shared" si="13"/>
        <v>467109.5</v>
      </c>
      <c r="AP28" s="16" t="str">
        <f t="shared" si="13"/>
        <v>#DIV/0!</v>
      </c>
      <c r="AQ28" s="16" t="str">
        <f t="shared" si="13"/>
        <v>#DIV/0!</v>
      </c>
      <c r="AR28" s="16" t="str">
        <f t="shared" si="13"/>
        <v>#DIV/0!</v>
      </c>
      <c r="AS28" s="16" t="str">
        <f t="shared" si="13"/>
        <v>#DIV/0!</v>
      </c>
      <c r="AT28" s="16" t="str">
        <f t="shared" si="13"/>
        <v>#DIV/0!</v>
      </c>
      <c r="AU28" s="16" t="str">
        <f t="shared" si="13"/>
        <v>#DIV/0!</v>
      </c>
      <c r="AV28" s="16" t="str">
        <f t="shared" si="13"/>
        <v>#DIV/0!</v>
      </c>
      <c r="AW28" s="16" t="str">
        <f t="shared" si="13"/>
        <v>#DIV/0!</v>
      </c>
      <c r="AX28" s="16" t="str">
        <f t="shared" si="13"/>
        <v>#DIV/0!</v>
      </c>
      <c r="AY28" s="16" t="str">
        <f t="shared" si="13"/>
        <v>#DIV/0!</v>
      </c>
      <c r="AZ28" s="16" t="str">
        <f t="shared" si="13"/>
        <v>#DIV/0!</v>
      </c>
      <c r="BA28" s="17" t="str">
        <f t="shared" si="13"/>
        <v>#DIV/0!</v>
      </c>
    </row>
    <row r="29" ht="21.75" customHeight="1">
      <c r="A29" s="18"/>
      <c r="B29" s="19" t="s">
        <v>8</v>
      </c>
      <c r="C29" s="20" t="s">
        <v>7</v>
      </c>
      <c r="D29" s="20" t="s">
        <v>7</v>
      </c>
      <c r="E29" s="20" t="s">
        <v>7</v>
      </c>
      <c r="F29" s="20" t="s">
        <v>7</v>
      </c>
      <c r="G29" s="20" t="s">
        <v>7</v>
      </c>
      <c r="H29" s="21">
        <f t="shared" ref="H29:BA29" si="14">H27/H26</f>
        <v>0.8002299404</v>
      </c>
      <c r="I29" s="21">
        <f t="shared" si="14"/>
        <v>0.6679913222</v>
      </c>
      <c r="J29" s="21">
        <f t="shared" si="14"/>
        <v>0.5611982895</v>
      </c>
      <c r="K29" s="21">
        <f t="shared" si="14"/>
        <v>0.4344978714</v>
      </c>
      <c r="L29" s="21">
        <f t="shared" si="14"/>
        <v>0.7786984383</v>
      </c>
      <c r="M29" s="21">
        <f t="shared" si="14"/>
        <v>0.8832511553</v>
      </c>
      <c r="N29" s="21">
        <f t="shared" si="14"/>
        <v>0.6479498742</v>
      </c>
      <c r="O29" s="21">
        <f t="shared" si="14"/>
        <v>0.5427768211</v>
      </c>
      <c r="P29" s="21">
        <f t="shared" si="14"/>
        <v>0.6755381846</v>
      </c>
      <c r="Q29" s="21">
        <f t="shared" si="14"/>
        <v>0.7358172926</v>
      </c>
      <c r="R29" s="21">
        <f t="shared" si="14"/>
        <v>0.7054612643</v>
      </c>
      <c r="S29" s="21">
        <f t="shared" si="14"/>
        <v>0.6359210468</v>
      </c>
      <c r="T29" s="21">
        <f t="shared" si="14"/>
        <v>0.7340081506</v>
      </c>
      <c r="U29" s="21">
        <f t="shared" si="14"/>
        <v>0.7869872945</v>
      </c>
      <c r="V29" s="21">
        <f t="shared" si="14"/>
        <v>0.7646067353</v>
      </c>
      <c r="W29" s="21">
        <f t="shared" si="14"/>
        <v>0.6449586029</v>
      </c>
      <c r="X29" s="21">
        <f t="shared" si="14"/>
        <v>0.6768881687</v>
      </c>
      <c r="Y29" s="21">
        <f t="shared" si="14"/>
        <v>0.730723582</v>
      </c>
      <c r="Z29" s="21">
        <f t="shared" si="14"/>
        <v>0.7271991351</v>
      </c>
      <c r="AA29" s="21">
        <f t="shared" si="14"/>
        <v>0.8607121215</v>
      </c>
      <c r="AB29" s="21">
        <f t="shared" si="14"/>
        <v>0.7379281176</v>
      </c>
      <c r="AC29" s="21">
        <f t="shared" si="14"/>
        <v>0.8320885433</v>
      </c>
      <c r="AD29" s="21">
        <f t="shared" si="14"/>
        <v>0.8166180315</v>
      </c>
      <c r="AE29" s="21">
        <f t="shared" si="14"/>
        <v>0.7113727314</v>
      </c>
      <c r="AF29" s="21">
        <f t="shared" si="14"/>
        <v>0.6854947286</v>
      </c>
      <c r="AG29" s="21">
        <f t="shared" si="14"/>
        <v>0.6231085826</v>
      </c>
      <c r="AH29" s="21">
        <f t="shared" si="14"/>
        <v>0.6177426093</v>
      </c>
      <c r="AI29" s="21">
        <f t="shared" si="14"/>
        <v>0.7145822316</v>
      </c>
      <c r="AJ29" s="21">
        <f t="shared" si="14"/>
        <v>0.7861019415</v>
      </c>
      <c r="AK29" s="21">
        <f t="shared" si="14"/>
        <v>0.729731808</v>
      </c>
      <c r="AL29" s="21">
        <f t="shared" si="14"/>
        <v>0.6202572127</v>
      </c>
      <c r="AM29" s="21">
        <f t="shared" si="14"/>
        <v>0.7573465932</v>
      </c>
      <c r="AN29" s="21">
        <f t="shared" si="14"/>
        <v>0.7780091594</v>
      </c>
      <c r="AO29" s="21">
        <f t="shared" si="14"/>
        <v>0.7146761325</v>
      </c>
      <c r="AP29" s="21" t="str">
        <f t="shared" si="14"/>
        <v>#DIV/0!</v>
      </c>
      <c r="AQ29" s="21" t="str">
        <f t="shared" si="14"/>
        <v>#DIV/0!</v>
      </c>
      <c r="AR29" s="21" t="str">
        <f t="shared" si="14"/>
        <v>#DIV/0!</v>
      </c>
      <c r="AS29" s="21" t="str">
        <f t="shared" si="14"/>
        <v>#DIV/0!</v>
      </c>
      <c r="AT29" s="21" t="str">
        <f t="shared" si="14"/>
        <v>#DIV/0!</v>
      </c>
      <c r="AU29" s="21" t="str">
        <f t="shared" si="14"/>
        <v>#DIV/0!</v>
      </c>
      <c r="AV29" s="21" t="str">
        <f t="shared" si="14"/>
        <v>#DIV/0!</v>
      </c>
      <c r="AW29" s="21" t="str">
        <f t="shared" si="14"/>
        <v>#DIV/0!</v>
      </c>
      <c r="AX29" s="21" t="str">
        <f t="shared" si="14"/>
        <v>#DIV/0!</v>
      </c>
      <c r="AY29" s="21" t="str">
        <f t="shared" si="14"/>
        <v>#DIV/0!</v>
      </c>
      <c r="AZ29" s="21" t="str">
        <f t="shared" si="14"/>
        <v>#DIV/0!</v>
      </c>
      <c r="BA29" s="22" t="str">
        <f t="shared" si="14"/>
        <v>#DIV/0!</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c r="B53" t="s">
        <v>15</v>
      </c>
      <c r="C53" t="s">
        <v>16</v>
      </c>
      <c r="D53">
        <v>1985.0</v>
      </c>
      <c r="E53">
        <v>2030.0</v>
      </c>
    </row>
    <row r="54" ht="15.75" customHeight="1">
      <c r="B54" t="s">
        <v>17</v>
      </c>
      <c r="C54">
        <v>2011.0</v>
      </c>
      <c r="D54">
        <v>64000.0</v>
      </c>
      <c r="E54">
        <v>64000.0</v>
      </c>
    </row>
    <row r="55" ht="15.75" customHeight="1">
      <c r="B55" t="s">
        <v>18</v>
      </c>
      <c r="C55">
        <v>2010.0</v>
      </c>
      <c r="D55">
        <v>334500.0</v>
      </c>
      <c r="E55">
        <v>334500.0</v>
      </c>
    </row>
    <row r="56" ht="15.75" customHeight="1">
      <c r="B56" t="s">
        <v>19</v>
      </c>
      <c r="C56">
        <v>2003.0</v>
      </c>
      <c r="D56">
        <v>77000.0</v>
      </c>
      <c r="E56">
        <v>77000.0</v>
      </c>
    </row>
    <row r="57" ht="15.75" customHeight="1">
      <c r="B57" t="s">
        <v>20</v>
      </c>
      <c r="C57">
        <v>2006.0</v>
      </c>
      <c r="D57">
        <v>612000.0</v>
      </c>
      <c r="E57">
        <v>612000.0</v>
      </c>
    </row>
    <row r="58" ht="15.75" customHeight="1">
      <c r="B58" t="s">
        <v>21</v>
      </c>
      <c r="C58">
        <v>2002.0</v>
      </c>
      <c r="D58">
        <v>161000.0</v>
      </c>
      <c r="E58">
        <v>161000.0</v>
      </c>
    </row>
    <row r="59" ht="15.75" customHeight="1">
      <c r="B59" t="s">
        <v>22</v>
      </c>
      <c r="C59">
        <v>2014.0</v>
      </c>
      <c r="D59">
        <v>99029.0</v>
      </c>
      <c r="E59">
        <v>99029.0</v>
      </c>
    </row>
    <row r="60" ht="15.75" customHeight="1">
      <c r="B60" t="s">
        <v>23</v>
      </c>
      <c r="C60">
        <v>2010.0</v>
      </c>
      <c r="D60">
        <v>634300.0</v>
      </c>
      <c r="E60">
        <v>634300.0</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26:A29"/>
    <mergeCell ref="A2:A5"/>
    <mergeCell ref="A6:A9"/>
    <mergeCell ref="A10:A13"/>
    <mergeCell ref="A14:A17"/>
    <mergeCell ref="A18:A21"/>
    <mergeCell ref="A22:A25"/>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9BD5"/>
    <pageSetUpPr/>
  </sheetPr>
  <sheetViews>
    <sheetView workbookViewId="0"/>
  </sheetViews>
  <sheetFormatPr customHeight="1" defaultColWidth="14.43" defaultRowHeight="15.0"/>
  <cols>
    <col customWidth="1" min="1" max="1" width="41.29"/>
    <col customWidth="1" min="2" max="2" width="5.71"/>
    <col customWidth="1" min="3" max="12" width="14.71"/>
    <col customWidth="1" min="13" max="14" width="16.14"/>
    <col customWidth="1" min="15" max="15" width="14.71"/>
    <col customWidth="1" min="16" max="17" width="16.14"/>
    <col customWidth="1" min="18" max="21" width="14.71"/>
    <col customWidth="1" min="22" max="30" width="7.43"/>
    <col customWidth="1" min="31" max="31" width="5.71"/>
    <col customWidth="1" min="32" max="32" width="7.43"/>
    <col customWidth="1" min="33" max="33" width="9.14"/>
    <col customWidth="1" min="34" max="34" width="5.71"/>
  </cols>
  <sheetData>
    <row r="1" ht="12.75" customHeight="1">
      <c r="A1" s="23" t="s">
        <v>24</v>
      </c>
      <c r="B1" s="24"/>
      <c r="C1" s="24"/>
      <c r="D1" s="24"/>
      <c r="E1" s="24"/>
      <c r="F1" s="24"/>
      <c r="G1" s="24"/>
      <c r="H1" s="24"/>
      <c r="I1" s="25" t="s">
        <v>25</v>
      </c>
      <c r="J1" s="24" t="s">
        <v>26</v>
      </c>
      <c r="K1" s="24"/>
      <c r="L1" s="24"/>
      <c r="M1" s="24"/>
      <c r="N1" s="24"/>
      <c r="O1" s="24"/>
      <c r="P1" s="24"/>
      <c r="Q1" s="24"/>
      <c r="R1" s="24"/>
      <c r="S1" s="24"/>
      <c r="T1" s="24"/>
      <c r="U1" s="24"/>
      <c r="V1" s="24"/>
      <c r="W1" s="24"/>
      <c r="X1" s="24"/>
      <c r="Y1" s="24"/>
      <c r="Z1" s="24"/>
      <c r="AA1" s="24"/>
      <c r="AB1" s="24"/>
      <c r="AC1" s="24"/>
      <c r="AD1" s="24"/>
      <c r="AE1" s="24"/>
      <c r="AF1" s="24"/>
      <c r="AG1" s="24"/>
      <c r="AH1" s="24"/>
    </row>
    <row r="2" ht="12.75" customHeight="1">
      <c r="A2" s="23"/>
      <c r="B2" s="24"/>
      <c r="C2" s="24"/>
      <c r="D2" s="24"/>
      <c r="E2" s="24"/>
      <c r="F2" s="24"/>
      <c r="G2" s="24"/>
      <c r="H2" s="24"/>
      <c r="I2" s="24"/>
      <c r="J2" s="24" t="s">
        <v>27</v>
      </c>
      <c r="K2" s="24"/>
      <c r="L2" s="24"/>
      <c r="M2" s="24"/>
      <c r="N2" s="24"/>
      <c r="O2" s="24"/>
      <c r="P2" s="24"/>
      <c r="Q2" s="24"/>
      <c r="R2" s="24"/>
      <c r="S2" s="24"/>
      <c r="T2" s="24"/>
      <c r="U2" s="24"/>
      <c r="V2" s="24"/>
      <c r="W2" s="24"/>
      <c r="X2" s="24"/>
      <c r="Y2" s="24"/>
      <c r="Z2" s="24"/>
      <c r="AA2" s="24"/>
      <c r="AB2" s="24"/>
      <c r="AC2" s="24"/>
      <c r="AD2" s="24"/>
      <c r="AE2" s="24"/>
      <c r="AF2" s="24"/>
      <c r="AG2" s="24"/>
      <c r="AH2" s="24"/>
    </row>
    <row r="3" ht="12.75" customHeight="1">
      <c r="A3" s="24" t="s">
        <v>28</v>
      </c>
      <c r="B3" s="24"/>
      <c r="C3" s="24"/>
      <c r="D3" s="24"/>
      <c r="E3" s="24"/>
      <c r="F3" s="24"/>
      <c r="G3" s="24"/>
      <c r="H3" s="24"/>
      <c r="I3" s="24"/>
      <c r="J3" s="26" t="s">
        <v>29</v>
      </c>
      <c r="K3" s="24"/>
      <c r="L3" s="24"/>
      <c r="M3" s="24"/>
      <c r="N3" s="24"/>
      <c r="O3" s="24"/>
      <c r="P3" s="24"/>
      <c r="Q3" s="24"/>
      <c r="R3" s="24"/>
      <c r="S3" s="24"/>
      <c r="T3" s="24"/>
      <c r="U3" s="24"/>
      <c r="V3" s="24"/>
      <c r="W3" s="24"/>
      <c r="X3" s="24"/>
      <c r="Y3" s="24"/>
      <c r="Z3" s="24"/>
      <c r="AA3" s="24"/>
      <c r="AB3" s="24"/>
      <c r="AC3" s="24"/>
      <c r="AD3" s="24"/>
      <c r="AE3" s="24"/>
      <c r="AF3" s="24"/>
      <c r="AG3" s="24"/>
      <c r="AH3" s="24"/>
    </row>
    <row r="4" ht="12.75" customHeight="1">
      <c r="A4" s="24" t="s">
        <v>30</v>
      </c>
      <c r="B4" s="24"/>
      <c r="C4" s="24"/>
      <c r="D4" s="24"/>
      <c r="E4" s="24"/>
      <c r="F4" s="24"/>
      <c r="G4" s="24"/>
      <c r="H4" s="24"/>
      <c r="I4" s="24"/>
      <c r="J4" s="26" t="s">
        <v>31</v>
      </c>
      <c r="K4" s="24"/>
      <c r="L4" s="24"/>
      <c r="M4" s="24"/>
      <c r="N4" s="24"/>
      <c r="O4" s="24"/>
      <c r="P4" s="24"/>
      <c r="Q4" s="24"/>
      <c r="R4" s="24"/>
      <c r="S4" s="24"/>
      <c r="T4" s="24"/>
      <c r="U4" s="24"/>
      <c r="V4" s="24"/>
      <c r="W4" s="24"/>
      <c r="X4" s="24"/>
      <c r="Y4" s="24"/>
      <c r="Z4" s="24"/>
      <c r="AA4" s="24"/>
      <c r="AB4" s="24"/>
      <c r="AC4" s="24"/>
      <c r="AD4" s="24"/>
      <c r="AE4" s="24"/>
      <c r="AF4" s="24"/>
      <c r="AG4" s="24"/>
      <c r="AH4" s="24"/>
    </row>
    <row r="5" ht="12.75" customHeight="1">
      <c r="A5" s="24" t="s">
        <v>32</v>
      </c>
      <c r="B5" s="24"/>
      <c r="C5" s="24"/>
      <c r="D5" s="24"/>
      <c r="E5" s="24"/>
      <c r="F5" s="24"/>
      <c r="G5" s="24"/>
      <c r="H5" s="24"/>
      <c r="I5" s="24"/>
      <c r="J5" s="24" t="s">
        <v>33</v>
      </c>
      <c r="K5" s="24"/>
      <c r="L5" s="24"/>
      <c r="M5" s="24"/>
      <c r="N5" s="24"/>
      <c r="O5" s="24"/>
      <c r="P5" s="24"/>
      <c r="Q5" s="24"/>
      <c r="R5" s="24"/>
      <c r="S5" s="24"/>
      <c r="T5" s="24"/>
      <c r="U5" s="24"/>
      <c r="V5" s="24"/>
      <c r="W5" s="24"/>
      <c r="X5" s="24"/>
      <c r="Y5" s="24"/>
      <c r="Z5" s="24"/>
      <c r="AA5" s="24"/>
      <c r="AB5" s="24"/>
      <c r="AC5" s="24"/>
      <c r="AD5" s="24"/>
      <c r="AE5" s="24"/>
      <c r="AF5" s="24"/>
      <c r="AG5" s="24"/>
      <c r="AH5" s="24"/>
    </row>
    <row r="6" ht="12.75" customHeight="1">
      <c r="A6" s="27" t="s">
        <v>34</v>
      </c>
      <c r="B6" s="24"/>
      <c r="C6" s="24"/>
      <c r="D6" s="24"/>
      <c r="E6" s="24"/>
      <c r="F6" s="24"/>
      <c r="G6" s="24"/>
      <c r="H6" s="24"/>
      <c r="I6" s="24"/>
      <c r="J6" s="24" t="s">
        <v>35</v>
      </c>
      <c r="K6" s="24"/>
      <c r="L6" s="24"/>
      <c r="M6" s="24"/>
      <c r="N6" s="24"/>
      <c r="O6" s="24"/>
      <c r="P6" s="24"/>
      <c r="Q6" s="24"/>
      <c r="R6" s="24"/>
      <c r="S6" s="24"/>
      <c r="T6" s="24"/>
      <c r="U6" s="24"/>
      <c r="V6" s="24"/>
      <c r="W6" s="24"/>
      <c r="X6" s="24"/>
      <c r="Y6" s="24"/>
      <c r="Z6" s="24"/>
      <c r="AA6" s="24"/>
      <c r="AB6" s="24"/>
      <c r="AC6" s="24"/>
      <c r="AD6" s="24"/>
      <c r="AE6" s="24"/>
      <c r="AF6" s="24"/>
      <c r="AG6" s="24"/>
      <c r="AH6" s="24"/>
    </row>
    <row r="7" ht="12.75" customHeight="1">
      <c r="A7" s="28"/>
      <c r="B7" s="28"/>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4"/>
    </row>
    <row r="8" ht="19.5" customHeight="1">
      <c r="A8" s="30" t="s">
        <v>36</v>
      </c>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2"/>
      <c r="AH8" s="24"/>
    </row>
    <row r="9" ht="12.75" customHeight="1">
      <c r="A9" s="33" t="s">
        <v>37</v>
      </c>
      <c r="B9" s="34"/>
      <c r="C9" s="35">
        <v>2000.0</v>
      </c>
      <c r="D9" s="35">
        <v>2001.0</v>
      </c>
      <c r="E9" s="35">
        <v>2002.0</v>
      </c>
      <c r="F9" s="35">
        <v>2003.0</v>
      </c>
      <c r="G9" s="35">
        <v>2004.0</v>
      </c>
      <c r="H9" s="35">
        <v>2005.0</v>
      </c>
      <c r="I9" s="35">
        <v>2006.0</v>
      </c>
      <c r="J9" s="35">
        <v>2007.0</v>
      </c>
      <c r="K9" s="35">
        <v>2008.0</v>
      </c>
      <c r="L9" s="35">
        <v>2009.0</v>
      </c>
      <c r="M9" s="35">
        <v>2010.0</v>
      </c>
      <c r="N9" s="35">
        <v>2011.0</v>
      </c>
      <c r="O9" s="35">
        <v>2012.0</v>
      </c>
      <c r="P9" s="35">
        <v>2013.0</v>
      </c>
      <c r="Q9" s="35">
        <v>2014.0</v>
      </c>
      <c r="R9" s="35">
        <v>2015.0</v>
      </c>
      <c r="S9" s="35">
        <v>2016.0</v>
      </c>
      <c r="T9" s="35">
        <v>2017.0</v>
      </c>
      <c r="U9" s="35">
        <v>2018.0</v>
      </c>
      <c r="V9" s="35">
        <v>2019.0</v>
      </c>
      <c r="W9" s="35">
        <v>2020.0</v>
      </c>
      <c r="X9" s="35">
        <v>2021.0</v>
      </c>
      <c r="Y9" s="35">
        <v>2022.0</v>
      </c>
      <c r="Z9" s="35">
        <v>2023.0</v>
      </c>
      <c r="AA9" s="35">
        <v>2024.0</v>
      </c>
      <c r="AB9" s="35">
        <v>2025.0</v>
      </c>
      <c r="AC9" s="35">
        <v>2026.0</v>
      </c>
      <c r="AD9" s="35">
        <v>2027.0</v>
      </c>
      <c r="AE9" s="35">
        <v>2028.0</v>
      </c>
      <c r="AF9" s="35">
        <v>2029.0</v>
      </c>
      <c r="AG9" s="36">
        <v>2030.0</v>
      </c>
      <c r="AH9" s="24"/>
    </row>
    <row r="10" ht="12.75" customHeight="1">
      <c r="A10" s="37" t="s">
        <v>38</v>
      </c>
      <c r="B10" s="38"/>
      <c r="C10" s="39">
        <v>3.0</v>
      </c>
      <c r="D10" s="39">
        <v>4.0</v>
      </c>
      <c r="E10" s="39">
        <v>5.0</v>
      </c>
      <c r="F10" s="39">
        <v>6.0</v>
      </c>
      <c r="G10" s="39">
        <v>7.0</v>
      </c>
      <c r="H10" s="39">
        <v>8.0</v>
      </c>
      <c r="I10" s="39">
        <v>9.0</v>
      </c>
      <c r="J10" s="39">
        <v>10.0</v>
      </c>
      <c r="K10" s="39">
        <v>11.0</v>
      </c>
      <c r="L10" s="39">
        <v>12.0</v>
      </c>
      <c r="M10" s="39">
        <v>13.0</v>
      </c>
      <c r="N10" s="39">
        <v>14.0</v>
      </c>
      <c r="O10" s="39">
        <v>15.0</v>
      </c>
      <c r="P10" s="39">
        <v>16.0</v>
      </c>
      <c r="Q10" s="39">
        <v>17.0</v>
      </c>
      <c r="R10" s="39">
        <v>18.0</v>
      </c>
      <c r="S10" s="39">
        <v>19.0</v>
      </c>
      <c r="T10" s="39">
        <v>20.0</v>
      </c>
      <c r="U10" s="39">
        <v>21.0</v>
      </c>
      <c r="V10" s="39">
        <v>22.0</v>
      </c>
      <c r="W10" s="39">
        <v>23.0</v>
      </c>
      <c r="X10" s="39">
        <v>24.0</v>
      </c>
      <c r="Y10" s="39">
        <v>25.0</v>
      </c>
      <c r="Z10" s="39">
        <v>26.0</v>
      </c>
      <c r="AA10" s="39">
        <v>27.0</v>
      </c>
      <c r="AB10" s="39">
        <v>28.0</v>
      </c>
      <c r="AC10" s="39">
        <v>29.0</v>
      </c>
      <c r="AD10" s="39">
        <v>30.0</v>
      </c>
      <c r="AE10" s="39">
        <v>31.0</v>
      </c>
      <c r="AF10" s="39">
        <v>32.0</v>
      </c>
      <c r="AG10" s="40">
        <v>33.0</v>
      </c>
      <c r="AH10" s="24"/>
    </row>
    <row r="11" ht="12.75" customHeight="1">
      <c r="A11" s="41" t="s">
        <v>39</v>
      </c>
      <c r="B11" s="42"/>
      <c r="C11" s="43">
        <f>SUM(C12:C13)</f>
        <v>12700</v>
      </c>
      <c r="D11" s="44"/>
      <c r="E11" s="44"/>
      <c r="F11" s="44"/>
      <c r="G11" s="44"/>
      <c r="H11" s="44"/>
      <c r="I11" s="44"/>
      <c r="J11" s="44"/>
      <c r="K11" s="44"/>
      <c r="L11" s="43">
        <f>SUM(L12:L13)</f>
        <v>12274</v>
      </c>
      <c r="M11" s="44"/>
      <c r="N11" s="44"/>
      <c r="O11" s="44"/>
      <c r="P11" s="44"/>
      <c r="Q11" s="44"/>
      <c r="R11" s="44"/>
      <c r="S11" s="44"/>
      <c r="T11" s="44"/>
      <c r="U11" s="44"/>
      <c r="V11" s="44"/>
      <c r="W11" s="44"/>
      <c r="X11" s="44"/>
      <c r="Y11" s="44"/>
      <c r="Z11" s="44"/>
      <c r="AA11" s="44"/>
      <c r="AB11" s="44"/>
      <c r="AC11" s="44"/>
      <c r="AD11" s="44"/>
      <c r="AE11" s="44"/>
      <c r="AF11" s="44"/>
      <c r="AG11" s="45"/>
      <c r="AH11" s="24"/>
    </row>
    <row r="12" ht="12.75" customHeight="1">
      <c r="A12" s="46" t="s">
        <v>40</v>
      </c>
      <c r="B12" s="47"/>
      <c r="C12" s="48">
        <v>500.0</v>
      </c>
      <c r="D12" s="49" t="s">
        <v>7</v>
      </c>
      <c r="E12" s="49" t="s">
        <v>7</v>
      </c>
      <c r="F12" s="49" t="s">
        <v>7</v>
      </c>
      <c r="G12" s="49" t="s">
        <v>7</v>
      </c>
      <c r="H12" s="49" t="s">
        <v>7</v>
      </c>
      <c r="I12" s="49" t="s">
        <v>7</v>
      </c>
      <c r="J12" s="49" t="s">
        <v>7</v>
      </c>
      <c r="K12" s="49" t="s">
        <v>7</v>
      </c>
      <c r="L12" s="50">
        <v>501.0</v>
      </c>
      <c r="M12" s="49" t="s">
        <v>7</v>
      </c>
      <c r="N12" s="49" t="s">
        <v>7</v>
      </c>
      <c r="O12" s="49" t="s">
        <v>7</v>
      </c>
      <c r="P12" s="49" t="s">
        <v>7</v>
      </c>
      <c r="Q12" s="49" t="s">
        <v>7</v>
      </c>
      <c r="R12" s="49" t="s">
        <v>7</v>
      </c>
      <c r="S12" s="49" t="s">
        <v>7</v>
      </c>
      <c r="T12" s="49" t="s">
        <v>7</v>
      </c>
      <c r="U12" s="49" t="s">
        <v>7</v>
      </c>
      <c r="V12" s="49" t="s">
        <v>7</v>
      </c>
      <c r="W12" s="49" t="s">
        <v>7</v>
      </c>
      <c r="X12" s="49" t="s">
        <v>7</v>
      </c>
      <c r="Y12" s="49" t="s">
        <v>7</v>
      </c>
      <c r="Z12" s="49" t="s">
        <v>7</v>
      </c>
      <c r="AA12" s="49" t="s">
        <v>7</v>
      </c>
      <c r="AB12" s="49" t="s">
        <v>7</v>
      </c>
      <c r="AC12" s="49" t="s">
        <v>7</v>
      </c>
      <c r="AD12" s="49" t="s">
        <v>7</v>
      </c>
      <c r="AE12" s="49" t="s">
        <v>7</v>
      </c>
      <c r="AF12" s="49" t="s">
        <v>7</v>
      </c>
      <c r="AG12" s="51" t="s">
        <v>7</v>
      </c>
      <c r="AH12" s="24"/>
    </row>
    <row r="13" ht="12.75" customHeight="1">
      <c r="A13" s="52" t="s">
        <v>41</v>
      </c>
      <c r="B13" s="53"/>
      <c r="C13" s="54">
        <v>12200.0</v>
      </c>
      <c r="D13" s="55" t="s">
        <v>7</v>
      </c>
      <c r="E13" s="55" t="s">
        <v>7</v>
      </c>
      <c r="F13" s="55" t="s">
        <v>7</v>
      </c>
      <c r="G13" s="55" t="s">
        <v>7</v>
      </c>
      <c r="H13" s="55" t="s">
        <v>7</v>
      </c>
      <c r="I13" s="55" t="s">
        <v>7</v>
      </c>
      <c r="J13" s="55" t="s">
        <v>7</v>
      </c>
      <c r="K13" s="55" t="s">
        <v>7</v>
      </c>
      <c r="L13" s="56">
        <v>11773.0</v>
      </c>
      <c r="M13" s="55" t="s">
        <v>7</v>
      </c>
      <c r="N13" s="55" t="s">
        <v>7</v>
      </c>
      <c r="O13" s="55" t="s">
        <v>7</v>
      </c>
      <c r="P13" s="55" t="s">
        <v>7</v>
      </c>
      <c r="Q13" s="55" t="s">
        <v>7</v>
      </c>
      <c r="R13" s="55" t="s">
        <v>7</v>
      </c>
      <c r="S13" s="55" t="s">
        <v>7</v>
      </c>
      <c r="T13" s="55" t="s">
        <v>7</v>
      </c>
      <c r="U13" s="55" t="s">
        <v>7</v>
      </c>
      <c r="V13" s="55" t="s">
        <v>7</v>
      </c>
      <c r="W13" s="55" t="s">
        <v>7</v>
      </c>
      <c r="X13" s="55" t="s">
        <v>7</v>
      </c>
      <c r="Y13" s="55" t="s">
        <v>7</v>
      </c>
      <c r="Z13" s="55" t="s">
        <v>7</v>
      </c>
      <c r="AA13" s="55" t="s">
        <v>7</v>
      </c>
      <c r="AB13" s="55" t="s">
        <v>7</v>
      </c>
      <c r="AC13" s="55" t="s">
        <v>7</v>
      </c>
      <c r="AD13" s="55" t="s">
        <v>7</v>
      </c>
      <c r="AE13" s="55" t="s">
        <v>7</v>
      </c>
      <c r="AF13" s="55" t="s">
        <v>7</v>
      </c>
      <c r="AG13" s="58" t="s">
        <v>7</v>
      </c>
      <c r="AH13" s="24"/>
    </row>
    <row r="14" ht="12.75" customHeight="1">
      <c r="A14" s="59" t="s">
        <v>44</v>
      </c>
      <c r="B14" s="60"/>
      <c r="C14" s="63">
        <f>SUM(C15:C16)</f>
        <v>1040</v>
      </c>
      <c r="D14" s="65" t="s">
        <v>7</v>
      </c>
      <c r="E14" s="65" t="s">
        <v>7</v>
      </c>
      <c r="F14" s="65" t="s">
        <v>7</v>
      </c>
      <c r="G14" s="65" t="s">
        <v>7</v>
      </c>
      <c r="H14" s="65" t="s">
        <v>7</v>
      </c>
      <c r="I14" s="65" t="s">
        <v>7</v>
      </c>
      <c r="J14" s="65" t="s">
        <v>7</v>
      </c>
      <c r="K14" s="65" t="s">
        <v>7</v>
      </c>
      <c r="L14" s="67">
        <f>SUM(L15:L16)</f>
        <v>3100</v>
      </c>
      <c r="M14" s="65" t="s">
        <v>7</v>
      </c>
      <c r="N14" s="65" t="s">
        <v>7</v>
      </c>
      <c r="O14" s="65"/>
      <c r="P14" s="65" t="s">
        <v>7</v>
      </c>
      <c r="Q14" s="65" t="s">
        <v>7</v>
      </c>
      <c r="R14" s="65" t="s">
        <v>7</v>
      </c>
      <c r="S14" s="65" t="s">
        <v>7</v>
      </c>
      <c r="T14" s="65" t="s">
        <v>7</v>
      </c>
      <c r="U14" s="65" t="s">
        <v>7</v>
      </c>
      <c r="V14" s="65" t="s">
        <v>7</v>
      </c>
      <c r="W14" s="65" t="s">
        <v>7</v>
      </c>
      <c r="X14" s="65" t="s">
        <v>7</v>
      </c>
      <c r="Y14" s="65" t="s">
        <v>7</v>
      </c>
      <c r="Z14" s="65" t="s">
        <v>7</v>
      </c>
      <c r="AA14" s="65" t="s">
        <v>7</v>
      </c>
      <c r="AB14" s="65" t="s">
        <v>7</v>
      </c>
      <c r="AC14" s="65" t="s">
        <v>7</v>
      </c>
      <c r="AD14" s="65" t="s">
        <v>7</v>
      </c>
      <c r="AE14" s="65" t="s">
        <v>7</v>
      </c>
      <c r="AF14" s="65" t="s">
        <v>7</v>
      </c>
      <c r="AG14" s="69" t="s">
        <v>7</v>
      </c>
      <c r="AH14" s="24"/>
    </row>
    <row r="15" ht="12.75" customHeight="1">
      <c r="A15" s="46" t="s">
        <v>48</v>
      </c>
      <c r="B15" s="47"/>
      <c r="C15" s="48">
        <v>40.0</v>
      </c>
      <c r="D15" s="49" t="s">
        <v>7</v>
      </c>
      <c r="E15" s="49" t="s">
        <v>7</v>
      </c>
      <c r="F15" s="49" t="s">
        <v>7</v>
      </c>
      <c r="G15" s="49" t="s">
        <v>7</v>
      </c>
      <c r="H15" s="49" t="s">
        <v>7</v>
      </c>
      <c r="I15" s="49" t="s">
        <v>7</v>
      </c>
      <c r="J15" s="49" t="s">
        <v>7</v>
      </c>
      <c r="K15" s="49" t="s">
        <v>7</v>
      </c>
      <c r="L15" s="50">
        <f>665+27</f>
        <v>692</v>
      </c>
      <c r="M15" s="71"/>
      <c r="N15" s="72"/>
      <c r="O15" s="49" t="s">
        <v>7</v>
      </c>
      <c r="P15" s="49" t="s">
        <v>7</v>
      </c>
      <c r="Q15" s="49" t="s">
        <v>7</v>
      </c>
      <c r="R15" s="49" t="s">
        <v>7</v>
      </c>
      <c r="S15" s="49" t="s">
        <v>7</v>
      </c>
      <c r="T15" s="49" t="s">
        <v>7</v>
      </c>
      <c r="U15" s="49" t="s">
        <v>7</v>
      </c>
      <c r="V15" s="49" t="s">
        <v>7</v>
      </c>
      <c r="W15" s="49" t="s">
        <v>7</v>
      </c>
      <c r="X15" s="49" t="s">
        <v>7</v>
      </c>
      <c r="Y15" s="49" t="s">
        <v>7</v>
      </c>
      <c r="Z15" s="49" t="s">
        <v>7</v>
      </c>
      <c r="AA15" s="49" t="s">
        <v>7</v>
      </c>
      <c r="AB15" s="49" t="s">
        <v>7</v>
      </c>
      <c r="AC15" s="49" t="s">
        <v>7</v>
      </c>
      <c r="AD15" s="49" t="s">
        <v>7</v>
      </c>
      <c r="AE15" s="49" t="s">
        <v>7</v>
      </c>
      <c r="AF15" s="49" t="s">
        <v>7</v>
      </c>
      <c r="AG15" s="51" t="s">
        <v>7</v>
      </c>
      <c r="AH15" s="24"/>
    </row>
    <row r="16" ht="12.75" customHeight="1">
      <c r="A16" s="74" t="s">
        <v>49</v>
      </c>
      <c r="B16" s="75"/>
      <c r="C16" s="76">
        <v>1000.0</v>
      </c>
      <c r="D16" s="77" t="s">
        <v>7</v>
      </c>
      <c r="E16" s="77" t="s">
        <v>7</v>
      </c>
      <c r="F16" s="77" t="s">
        <v>7</v>
      </c>
      <c r="G16" s="77" t="s">
        <v>7</v>
      </c>
      <c r="H16" s="77" t="s">
        <v>7</v>
      </c>
      <c r="I16" s="77" t="s">
        <v>7</v>
      </c>
      <c r="J16" s="77" t="s">
        <v>7</v>
      </c>
      <c r="K16" s="77" t="s">
        <v>7</v>
      </c>
      <c r="L16" s="78">
        <v>2408.0</v>
      </c>
      <c r="M16" s="79"/>
      <c r="N16" s="80"/>
      <c r="O16" s="77" t="s">
        <v>7</v>
      </c>
      <c r="P16" s="77" t="s">
        <v>7</v>
      </c>
      <c r="Q16" s="77" t="s">
        <v>7</v>
      </c>
      <c r="R16" s="77" t="s">
        <v>7</v>
      </c>
      <c r="S16" s="77" t="s">
        <v>7</v>
      </c>
      <c r="T16" s="77" t="s">
        <v>7</v>
      </c>
      <c r="U16" s="77" t="s">
        <v>7</v>
      </c>
      <c r="V16" s="77" t="s">
        <v>7</v>
      </c>
      <c r="W16" s="77" t="s">
        <v>7</v>
      </c>
      <c r="X16" s="77" t="s">
        <v>7</v>
      </c>
      <c r="Y16" s="77" t="s">
        <v>7</v>
      </c>
      <c r="Z16" s="77" t="s">
        <v>7</v>
      </c>
      <c r="AA16" s="77" t="s">
        <v>7</v>
      </c>
      <c r="AB16" s="77" t="s">
        <v>7</v>
      </c>
      <c r="AC16" s="77" t="s">
        <v>7</v>
      </c>
      <c r="AD16" s="77" t="s">
        <v>7</v>
      </c>
      <c r="AE16" s="77" t="s">
        <v>7</v>
      </c>
      <c r="AF16" s="77" t="s">
        <v>7</v>
      </c>
      <c r="AG16" s="81" t="s">
        <v>7</v>
      </c>
      <c r="AH16" s="24"/>
    </row>
    <row r="17" ht="12.75" customHeight="1">
      <c r="A17" s="41" t="s">
        <v>50</v>
      </c>
      <c r="B17" s="42"/>
      <c r="C17" s="82">
        <f t="shared" ref="C17:AG17" si="1">SUM(C18:C20)</f>
        <v>11991</v>
      </c>
      <c r="D17" s="82">
        <f t="shared" si="1"/>
        <v>11840</v>
      </c>
      <c r="E17" s="82">
        <f t="shared" si="1"/>
        <v>11940</v>
      </c>
      <c r="F17" s="82">
        <f t="shared" si="1"/>
        <v>11880</v>
      </c>
      <c r="G17" s="82">
        <f t="shared" si="1"/>
        <v>11882</v>
      </c>
      <c r="H17" s="82">
        <f t="shared" si="1"/>
        <v>11903</v>
      </c>
      <c r="I17" s="82">
        <f t="shared" si="1"/>
        <v>12039</v>
      </c>
      <c r="J17" s="82">
        <f t="shared" si="1"/>
        <v>12320</v>
      </c>
      <c r="K17" s="82">
        <f t="shared" si="1"/>
        <v>12592</v>
      </c>
      <c r="L17" s="82">
        <f t="shared" si="1"/>
        <v>13374</v>
      </c>
      <c r="M17" s="82">
        <f t="shared" si="1"/>
        <v>13411</v>
      </c>
      <c r="N17" s="82">
        <f t="shared" si="1"/>
        <v>13246</v>
      </c>
      <c r="O17" s="82">
        <f t="shared" si="1"/>
        <v>13285</v>
      </c>
      <c r="P17" s="82">
        <f t="shared" si="1"/>
        <v>13257</v>
      </c>
      <c r="Q17" s="82">
        <f t="shared" si="1"/>
        <v>13191</v>
      </c>
      <c r="R17" s="82">
        <f t="shared" si="1"/>
        <v>13136</v>
      </c>
      <c r="S17" s="82">
        <f t="shared" si="1"/>
        <v>13074</v>
      </c>
      <c r="T17" s="82">
        <f t="shared" si="1"/>
        <v>12935</v>
      </c>
      <c r="U17" s="82">
        <f t="shared" si="1"/>
        <v>12765</v>
      </c>
      <c r="V17" s="82">
        <f t="shared" si="1"/>
        <v>0</v>
      </c>
      <c r="W17" s="82">
        <f t="shared" si="1"/>
        <v>0</v>
      </c>
      <c r="X17" s="82">
        <f t="shared" si="1"/>
        <v>0</v>
      </c>
      <c r="Y17" s="82">
        <f t="shared" si="1"/>
        <v>0</v>
      </c>
      <c r="Z17" s="82">
        <f t="shared" si="1"/>
        <v>0</v>
      </c>
      <c r="AA17" s="82">
        <f t="shared" si="1"/>
        <v>0</v>
      </c>
      <c r="AB17" s="82">
        <f t="shared" si="1"/>
        <v>0</v>
      </c>
      <c r="AC17" s="82">
        <f t="shared" si="1"/>
        <v>0</v>
      </c>
      <c r="AD17" s="82">
        <f t="shared" si="1"/>
        <v>0</v>
      </c>
      <c r="AE17" s="82">
        <f t="shared" si="1"/>
        <v>0</v>
      </c>
      <c r="AF17" s="82">
        <f t="shared" si="1"/>
        <v>0</v>
      </c>
      <c r="AG17" s="83">
        <f t="shared" si="1"/>
        <v>0</v>
      </c>
      <c r="AH17" s="24"/>
    </row>
    <row r="18" ht="12.75" customHeight="1">
      <c r="A18" s="46" t="s">
        <v>40</v>
      </c>
      <c r="B18" s="51" t="s">
        <v>51</v>
      </c>
      <c r="C18" s="84">
        <f>VLOOKUP($A18,'US Census Population Estimates'!$A$20:$AG$266,C$10,FALSE)</f>
        <v>517</v>
      </c>
      <c r="D18" s="84">
        <f>VLOOKUP($A18,'US Census Population Estimates'!$A$20:$AG$266,D$10,FALSE)</f>
        <v>510</v>
      </c>
      <c r="E18" s="84">
        <f>VLOOKUP($A18,'US Census Population Estimates'!$A$20:$AG$266,E$10,FALSE)</f>
        <v>505</v>
      </c>
      <c r="F18" s="84">
        <f>VLOOKUP($A18,'US Census Population Estimates'!$A$20:$AG$266,F$10,FALSE)</f>
        <v>504</v>
      </c>
      <c r="G18" s="84">
        <f>VLOOKUP($A18,'US Census Population Estimates'!$A$20:$AG$266,G$10,FALSE)</f>
        <v>508</v>
      </c>
      <c r="H18" s="84">
        <f>VLOOKUP($A18,'US Census Population Estimates'!$A$20:$AG$266,H$10,FALSE)</f>
        <v>511</v>
      </c>
      <c r="I18" s="84">
        <f>VLOOKUP($A18,'US Census Population Estimates'!$A$20:$AG$266,I$10,FALSE)</f>
        <v>518</v>
      </c>
      <c r="J18" s="84">
        <f>VLOOKUP($A18,'US Census Population Estimates'!$A$20:$AG$266,J$10,FALSE)</f>
        <v>527</v>
      </c>
      <c r="K18" s="84">
        <f>VLOOKUP($A18,'US Census Population Estimates'!$A$20:$AG$266,K$10,FALSE)</f>
        <v>536</v>
      </c>
      <c r="L18" s="84">
        <f>VLOOKUP($A18,'US Census Population Estimates'!$A$20:$AG$266,L$10,FALSE)</f>
        <v>541</v>
      </c>
      <c r="M18" s="84">
        <f>VLOOKUP($A18,'US Census Population Estimates'!$A$20:$AG$266,M$10,FALSE)</f>
        <v>534</v>
      </c>
      <c r="N18" s="84">
        <f>VLOOKUP($A18,'US Census Population Estimates'!$A$20:$AG$266,N$10,FALSE)</f>
        <v>528</v>
      </c>
      <c r="O18" s="84">
        <f>VLOOKUP($A18,'US Census Population Estimates'!$A$20:$AG$266,O$10,FALSE)</f>
        <v>529</v>
      </c>
      <c r="P18" s="84">
        <f>VLOOKUP($A18,'US Census Population Estimates'!$A$20:$AG$266,P$10,FALSE)</f>
        <v>538</v>
      </c>
      <c r="Q18" s="84">
        <f>VLOOKUP($A18,'US Census Population Estimates'!$A$20:$AG$266,Q$10,FALSE)</f>
        <v>546</v>
      </c>
      <c r="R18" s="84">
        <f>VLOOKUP($A18,'US Census Population Estimates'!$A$20:$AG$266,R$10,FALSE)</f>
        <v>547</v>
      </c>
      <c r="S18" s="84">
        <f>VLOOKUP($A18,'US Census Population Estimates'!$A$20:$AG$266,S$10,FALSE)</f>
        <v>554</v>
      </c>
      <c r="T18" s="84">
        <f>VLOOKUP($A18,'US Census Population Estimates'!$A$20:$AG$266,T$10,FALSE)</f>
        <v>551</v>
      </c>
      <c r="U18" s="84">
        <f>VLOOKUP($A18,'US Census Population Estimates'!$A$20:$AG$266,U$10,FALSE)</f>
        <v>548</v>
      </c>
      <c r="V18" s="84" t="str">
        <f>VLOOKUP($A18,'US Census Population Estimates'!$A$20:$AG$266,V$10,FALSE)</f>
        <v/>
      </c>
      <c r="W18" s="84" t="str">
        <f>VLOOKUP($A18,'US Census Population Estimates'!$A$20:$AG$266,W$10,FALSE)</f>
        <v/>
      </c>
      <c r="X18" s="84" t="str">
        <f>VLOOKUP($A18,'US Census Population Estimates'!$A$20:$AG$266,X$10,FALSE)</f>
        <v/>
      </c>
      <c r="Y18" s="84" t="str">
        <f>VLOOKUP($A18,'US Census Population Estimates'!$A$20:$AG$266,Y$10,FALSE)</f>
        <v/>
      </c>
      <c r="Z18" s="84" t="str">
        <f>VLOOKUP($A18,'US Census Population Estimates'!$A$20:$AG$266,Z$10,FALSE)</f>
        <v/>
      </c>
      <c r="AA18" s="84" t="str">
        <f>VLOOKUP($A18,'US Census Population Estimates'!$A$20:$AG$266,AA$10,FALSE)</f>
        <v/>
      </c>
      <c r="AB18" s="84" t="str">
        <f>VLOOKUP($A18,'US Census Population Estimates'!$A$20:$AG$266,AB$10,FALSE)</f>
        <v/>
      </c>
      <c r="AC18" s="84" t="str">
        <f>VLOOKUP($A18,'US Census Population Estimates'!$A$20:$AG$266,AC$10,FALSE)</f>
        <v/>
      </c>
      <c r="AD18" s="84" t="str">
        <f>VLOOKUP($A18,'US Census Population Estimates'!$A$20:$AG$266,AD$10,FALSE)</f>
        <v/>
      </c>
      <c r="AE18" s="84" t="str">
        <f>VLOOKUP($A18,'US Census Population Estimates'!$A$20:$AG$266,AE$10,FALSE)</f>
        <v/>
      </c>
      <c r="AF18" s="84" t="str">
        <f>VLOOKUP($A18,'US Census Population Estimates'!$A$20:$AG$266,AF$10,FALSE)</f>
        <v/>
      </c>
      <c r="AG18" s="88" t="str">
        <f>VLOOKUP($A18,'US Census Population Estimates'!$A$20:$AG$266,AG$10,FALSE)</f>
        <v/>
      </c>
      <c r="AH18" s="24"/>
    </row>
    <row r="19" ht="12.75" customHeight="1">
      <c r="A19" s="46" t="s">
        <v>41</v>
      </c>
      <c r="B19" s="51" t="s">
        <v>52</v>
      </c>
      <c r="C19" s="84">
        <f>VLOOKUP($A19,'US Census Population Estimates'!$A$20:$AG$266,C$10,FALSE)</f>
        <v>11474</v>
      </c>
      <c r="D19" s="84">
        <f>VLOOKUP($A19,'US Census Population Estimates'!$A$20:$AG$266,D$10,FALSE)</f>
        <v>11330</v>
      </c>
      <c r="E19" s="84">
        <f>VLOOKUP($A19,'US Census Population Estimates'!$A$20:$AG$266,E$10,FALSE)</f>
        <v>11435</v>
      </c>
      <c r="F19" s="84">
        <f>VLOOKUP($A19,'US Census Population Estimates'!$A$20:$AG$266,F$10,FALSE)</f>
        <v>11376</v>
      </c>
      <c r="G19" s="84">
        <f>VLOOKUP($A19,'US Census Population Estimates'!$A$20:$AG$266,G$10,FALSE)</f>
        <v>11374</v>
      </c>
      <c r="H19" s="84">
        <f>VLOOKUP($A19,'US Census Population Estimates'!$A$20:$AG$266,H$10,FALSE)</f>
        <v>11392</v>
      </c>
      <c r="I19" s="84">
        <f>VLOOKUP($A19,'US Census Population Estimates'!$A$20:$AG$266,I$10,FALSE)</f>
        <v>11521</v>
      </c>
      <c r="J19" s="84">
        <f>VLOOKUP($A19,'US Census Population Estimates'!$A$20:$AG$266,J$10,FALSE)</f>
        <v>11793</v>
      </c>
      <c r="K19" s="84">
        <f>VLOOKUP($A19,'US Census Population Estimates'!$A$20:$AG$266,K$10,FALSE)</f>
        <v>12056</v>
      </c>
      <c r="L19" s="84">
        <f>VLOOKUP($A19,'US Census Population Estimates'!$A$20:$AG$266,L$10,FALSE)</f>
        <v>12318</v>
      </c>
      <c r="M19" s="84">
        <f>VLOOKUP($A19,'US Census Population Estimates'!$A$20:$AG$266,M$10,FALSE)</f>
        <v>12360</v>
      </c>
      <c r="N19" s="84">
        <f>VLOOKUP($A19,'US Census Population Estimates'!$A$20:$AG$266,N$10,FALSE)</f>
        <v>12197</v>
      </c>
      <c r="O19" s="84">
        <f>VLOOKUP($A19,'US Census Population Estimates'!$A$20:$AG$266,O$10,FALSE)</f>
        <v>12232</v>
      </c>
      <c r="P19" s="84">
        <f>VLOOKUP($A19,'US Census Population Estimates'!$A$20:$AG$266,P$10,FALSE)</f>
        <v>12198</v>
      </c>
      <c r="Q19" s="84">
        <f>VLOOKUP($A19,'US Census Population Estimates'!$A$20:$AG$266,Q$10,FALSE)</f>
        <v>12117</v>
      </c>
      <c r="R19" s="84">
        <f>VLOOKUP($A19,'US Census Population Estimates'!$A$20:$AG$266,R$10,FALSE)</f>
        <v>12062</v>
      </c>
      <c r="S19" s="84">
        <f>VLOOKUP($A19,'US Census Population Estimates'!$A$20:$AG$266,S$10,FALSE)</f>
        <v>11994</v>
      </c>
      <c r="T19" s="84">
        <f>VLOOKUP($A19,'US Census Population Estimates'!$A$20:$AG$266,T$10,FALSE)</f>
        <v>11866</v>
      </c>
      <c r="U19" s="84">
        <f>VLOOKUP($A19,'US Census Population Estimates'!$A$20:$AG$266,U$10,FALSE)</f>
        <v>11704</v>
      </c>
      <c r="V19" s="84" t="str">
        <f>VLOOKUP($A19,'US Census Population Estimates'!$A$20:$AG$266,V$10,FALSE)</f>
        <v/>
      </c>
      <c r="W19" s="84" t="str">
        <f>VLOOKUP($A19,'US Census Population Estimates'!$A$20:$AG$266,W$10,FALSE)</f>
        <v/>
      </c>
      <c r="X19" s="84" t="str">
        <f>VLOOKUP($A19,'US Census Population Estimates'!$A$20:$AG$266,X$10,FALSE)</f>
        <v/>
      </c>
      <c r="Y19" s="84" t="str">
        <f>VLOOKUP($A19,'US Census Population Estimates'!$A$20:$AG$266,Y$10,FALSE)</f>
        <v/>
      </c>
      <c r="Z19" s="84" t="str">
        <f>VLOOKUP($A19,'US Census Population Estimates'!$A$20:$AG$266,Z$10,FALSE)</f>
        <v/>
      </c>
      <c r="AA19" s="84" t="str">
        <f>VLOOKUP($A19,'US Census Population Estimates'!$A$20:$AG$266,AA$10,FALSE)</f>
        <v/>
      </c>
      <c r="AB19" s="84" t="str">
        <f>VLOOKUP($A19,'US Census Population Estimates'!$A$20:$AG$266,AB$10,FALSE)</f>
        <v/>
      </c>
      <c r="AC19" s="84" t="str">
        <f>VLOOKUP($A19,'US Census Population Estimates'!$A$20:$AG$266,AC$10,FALSE)</f>
        <v/>
      </c>
      <c r="AD19" s="84" t="str">
        <f>VLOOKUP($A19,'US Census Population Estimates'!$A$20:$AG$266,AD$10,FALSE)</f>
        <v/>
      </c>
      <c r="AE19" s="84" t="str">
        <f>VLOOKUP($A19,'US Census Population Estimates'!$A$20:$AG$266,AE$10,FALSE)</f>
        <v/>
      </c>
      <c r="AF19" s="84" t="str">
        <f>VLOOKUP($A19,'US Census Population Estimates'!$A$20:$AG$266,AF$10,FALSE)</f>
        <v/>
      </c>
      <c r="AG19" s="88" t="str">
        <f>VLOOKUP($A19,'US Census Population Estimates'!$A$20:$AG$266,AG$10,FALSE)</f>
        <v/>
      </c>
      <c r="AH19" s="24"/>
    </row>
    <row r="20" ht="12.75" customHeight="1">
      <c r="A20" s="52" t="s">
        <v>54</v>
      </c>
      <c r="B20" s="58" t="s">
        <v>51</v>
      </c>
      <c r="C20" s="98" t="s">
        <v>7</v>
      </c>
      <c r="D20" s="98" t="s">
        <v>7</v>
      </c>
      <c r="E20" s="98" t="s">
        <v>7</v>
      </c>
      <c r="F20" s="98" t="s">
        <v>7</v>
      </c>
      <c r="G20" s="98" t="s">
        <v>7</v>
      </c>
      <c r="H20" s="98" t="s">
        <v>7</v>
      </c>
      <c r="I20" s="98" t="s">
        <v>7</v>
      </c>
      <c r="J20" s="98" t="s">
        <v>7</v>
      </c>
      <c r="K20" s="98" t="s">
        <v>7</v>
      </c>
      <c r="L20" s="98">
        <f>VLOOKUP($A20,'US Census Population Estimates'!$A$20:$AG$266,L$10,FALSE)</f>
        <v>515</v>
      </c>
      <c r="M20" s="98">
        <f>VLOOKUP($A20,'US Census Population Estimates'!$A$20:$AG$266,M$10,FALSE)</f>
        <v>517</v>
      </c>
      <c r="N20" s="98">
        <f>VLOOKUP($A20,'US Census Population Estimates'!$A$20:$AG$266,N$10,FALSE)</f>
        <v>521</v>
      </c>
      <c r="O20" s="98">
        <f>VLOOKUP($A20,'US Census Population Estimates'!$A$20:$AG$266,O$10,FALSE)</f>
        <v>524</v>
      </c>
      <c r="P20" s="98">
        <f>VLOOKUP($A20,'US Census Population Estimates'!$A$20:$AG$266,P$10,FALSE)</f>
        <v>521</v>
      </c>
      <c r="Q20" s="98">
        <f>VLOOKUP($A20,'US Census Population Estimates'!$A$20:$AG$266,Q$10,FALSE)</f>
        <v>528</v>
      </c>
      <c r="R20" s="98">
        <f>VLOOKUP($A20,'US Census Population Estimates'!$A$20:$AG$266,R$10,FALSE)</f>
        <v>527</v>
      </c>
      <c r="S20" s="98">
        <f>VLOOKUP($A20,'US Census Population Estimates'!$A$20:$AG$266,S$10,FALSE)</f>
        <v>526</v>
      </c>
      <c r="T20" s="98">
        <f>VLOOKUP($A20,'US Census Population Estimates'!$A$20:$AG$266,T$10,FALSE)</f>
        <v>518</v>
      </c>
      <c r="U20" s="98">
        <f>VLOOKUP($A20,'US Census Population Estimates'!$A$20:$AG$266,U$10,FALSE)</f>
        <v>513</v>
      </c>
      <c r="V20" s="98" t="str">
        <f>VLOOKUP($A20,'US Census Population Estimates'!$A$20:$AG$266,V$10,FALSE)</f>
        <v/>
      </c>
      <c r="W20" s="98" t="str">
        <f>VLOOKUP($A20,'US Census Population Estimates'!$A$20:$AG$266,W$10,FALSE)</f>
        <v/>
      </c>
      <c r="X20" s="98" t="str">
        <f>VLOOKUP($A20,'US Census Population Estimates'!$A$20:$AG$266,X$10,FALSE)</f>
        <v/>
      </c>
      <c r="Y20" s="98" t="str">
        <f>VLOOKUP($A20,'US Census Population Estimates'!$A$20:$AG$266,Y$10,FALSE)</f>
        <v/>
      </c>
      <c r="Z20" s="98" t="str">
        <f>VLOOKUP($A20,'US Census Population Estimates'!$A$20:$AG$266,Z$10,FALSE)</f>
        <v/>
      </c>
      <c r="AA20" s="98" t="str">
        <f>VLOOKUP($A20,'US Census Population Estimates'!$A$20:$AG$266,AA$10,FALSE)</f>
        <v/>
      </c>
      <c r="AB20" s="98" t="str">
        <f>VLOOKUP($A20,'US Census Population Estimates'!$A$20:$AG$266,AB$10,FALSE)</f>
        <v/>
      </c>
      <c r="AC20" s="98" t="str">
        <f>VLOOKUP($A20,'US Census Population Estimates'!$A$20:$AG$266,AC$10,FALSE)</f>
        <v/>
      </c>
      <c r="AD20" s="98" t="str">
        <f>VLOOKUP($A20,'US Census Population Estimates'!$A$20:$AG$266,AD$10,FALSE)</f>
        <v/>
      </c>
      <c r="AE20" s="98" t="str">
        <f>VLOOKUP($A20,'US Census Population Estimates'!$A$20:$AG$266,AE$10,FALSE)</f>
        <v/>
      </c>
      <c r="AF20" s="98" t="str">
        <f>VLOOKUP($A20,'US Census Population Estimates'!$A$20:$AG$266,AF$10,FALSE)</f>
        <v/>
      </c>
      <c r="AG20" s="113" t="str">
        <f>VLOOKUP($A20,'US Census Population Estimates'!$A$20:$AG$266,AG$10,FALSE)</f>
        <v/>
      </c>
      <c r="AH20" s="24"/>
    </row>
    <row r="21" ht="12.75" customHeight="1">
      <c r="A21" s="59" t="s">
        <v>61</v>
      </c>
      <c r="B21" s="60"/>
      <c r="C21" s="115">
        <f t="shared" ref="C21:AG21" si="2">C22+C23</f>
        <v>1040</v>
      </c>
      <c r="D21" s="115">
        <f t="shared" si="2"/>
        <v>1026.908301</v>
      </c>
      <c r="E21" s="115">
        <f t="shared" si="2"/>
        <v>1035.672578</v>
      </c>
      <c r="F21" s="115">
        <f t="shared" si="2"/>
        <v>1030.453148</v>
      </c>
      <c r="G21" s="115">
        <f t="shared" si="2"/>
        <v>1030.588319</v>
      </c>
      <c r="H21" s="115">
        <f t="shared" si="2"/>
        <v>1032.389191</v>
      </c>
      <c r="I21" s="115">
        <f t="shared" si="2"/>
        <v>1044.173587</v>
      </c>
      <c r="J21" s="115">
        <f t="shared" si="2"/>
        <v>1068.575681</v>
      </c>
      <c r="K21" s="115">
        <f t="shared" si="2"/>
        <v>1092.193394</v>
      </c>
      <c r="L21" s="115">
        <f t="shared" si="2"/>
        <v>3100</v>
      </c>
      <c r="M21" s="115">
        <f t="shared" si="2"/>
        <v>3104.933909</v>
      </c>
      <c r="N21" s="115">
        <f t="shared" si="2"/>
        <v>3071.759039</v>
      </c>
      <c r="O21" s="115">
        <f t="shared" si="2"/>
        <v>3081.222271</v>
      </c>
      <c r="P21" s="115">
        <f t="shared" si="2"/>
        <v>3078.507555</v>
      </c>
      <c r="Q21" s="115">
        <f t="shared" si="2"/>
        <v>3072.502712</v>
      </c>
      <c r="R21" s="115">
        <f t="shared" si="2"/>
        <v>3061.750967</v>
      </c>
      <c r="S21" s="115">
        <f t="shared" si="2"/>
        <v>3052.389718</v>
      </c>
      <c r="T21" s="115">
        <f t="shared" si="2"/>
        <v>3020.159141</v>
      </c>
      <c r="U21" s="115">
        <f t="shared" si="2"/>
        <v>2983.247939</v>
      </c>
      <c r="V21" s="115">
        <f t="shared" si="2"/>
        <v>0</v>
      </c>
      <c r="W21" s="115">
        <f t="shared" si="2"/>
        <v>0</v>
      </c>
      <c r="X21" s="115">
        <f t="shared" si="2"/>
        <v>0</v>
      </c>
      <c r="Y21" s="115">
        <f t="shared" si="2"/>
        <v>0</v>
      </c>
      <c r="Z21" s="115">
        <f t="shared" si="2"/>
        <v>0</v>
      </c>
      <c r="AA21" s="115">
        <f t="shared" si="2"/>
        <v>0</v>
      </c>
      <c r="AB21" s="115">
        <f t="shared" si="2"/>
        <v>0</v>
      </c>
      <c r="AC21" s="115">
        <f t="shared" si="2"/>
        <v>0</v>
      </c>
      <c r="AD21" s="115">
        <f t="shared" si="2"/>
        <v>0</v>
      </c>
      <c r="AE21" s="115">
        <f t="shared" si="2"/>
        <v>0</v>
      </c>
      <c r="AF21" s="115">
        <f t="shared" si="2"/>
        <v>0</v>
      </c>
      <c r="AG21" s="120">
        <f t="shared" si="2"/>
        <v>0</v>
      </c>
      <c r="AH21" s="24"/>
    </row>
    <row r="22" ht="12.75" customHeight="1">
      <c r="A22" s="46" t="s">
        <v>48</v>
      </c>
      <c r="B22" s="47"/>
      <c r="C22" s="84">
        <f t="shared" ref="C22:K22" si="3">($C$15/$C$18)*C18</f>
        <v>40</v>
      </c>
      <c r="D22" s="84">
        <f t="shared" si="3"/>
        <v>39.45841393</v>
      </c>
      <c r="E22" s="84">
        <f t="shared" si="3"/>
        <v>39.07156673</v>
      </c>
      <c r="F22" s="84">
        <f t="shared" si="3"/>
        <v>38.99419729</v>
      </c>
      <c r="G22" s="84">
        <f t="shared" si="3"/>
        <v>39.30367505</v>
      </c>
      <c r="H22" s="84">
        <f t="shared" si="3"/>
        <v>39.53578337</v>
      </c>
      <c r="I22" s="84">
        <f t="shared" si="3"/>
        <v>40.07736944</v>
      </c>
      <c r="J22" s="84">
        <f t="shared" si="3"/>
        <v>40.77369439</v>
      </c>
      <c r="K22" s="84">
        <f t="shared" si="3"/>
        <v>41.47001934</v>
      </c>
      <c r="L22" s="84">
        <f t="shared" ref="L22:AG22" si="4">($L$15/SUM($L$18+$L$20))*SUM(L18+L20)</f>
        <v>692</v>
      </c>
      <c r="M22" s="84">
        <f t="shared" si="4"/>
        <v>688.7234848</v>
      </c>
      <c r="N22" s="84">
        <f t="shared" si="4"/>
        <v>687.4128788</v>
      </c>
      <c r="O22" s="84">
        <f t="shared" si="4"/>
        <v>690.0340909</v>
      </c>
      <c r="P22" s="84">
        <f t="shared" si="4"/>
        <v>693.9659091</v>
      </c>
      <c r="Q22" s="84">
        <f t="shared" si="4"/>
        <v>703.7954545</v>
      </c>
      <c r="R22" s="84">
        <f t="shared" si="4"/>
        <v>703.7954545</v>
      </c>
      <c r="S22" s="84">
        <f t="shared" si="4"/>
        <v>707.7272727</v>
      </c>
      <c r="T22" s="84">
        <f t="shared" si="4"/>
        <v>700.5189394</v>
      </c>
      <c r="U22" s="84">
        <f t="shared" si="4"/>
        <v>695.2765152</v>
      </c>
      <c r="V22" s="84">
        <f t="shared" si="4"/>
        <v>0</v>
      </c>
      <c r="W22" s="84">
        <f t="shared" si="4"/>
        <v>0</v>
      </c>
      <c r="X22" s="84">
        <f t="shared" si="4"/>
        <v>0</v>
      </c>
      <c r="Y22" s="84">
        <f t="shared" si="4"/>
        <v>0</v>
      </c>
      <c r="Z22" s="84">
        <f t="shared" si="4"/>
        <v>0</v>
      </c>
      <c r="AA22" s="84">
        <f t="shared" si="4"/>
        <v>0</v>
      </c>
      <c r="AB22" s="84">
        <f t="shared" si="4"/>
        <v>0</v>
      </c>
      <c r="AC22" s="84">
        <f t="shared" si="4"/>
        <v>0</v>
      </c>
      <c r="AD22" s="84">
        <f t="shared" si="4"/>
        <v>0</v>
      </c>
      <c r="AE22" s="84">
        <f t="shared" si="4"/>
        <v>0</v>
      </c>
      <c r="AF22" s="84">
        <f t="shared" si="4"/>
        <v>0</v>
      </c>
      <c r="AG22" s="88">
        <f t="shared" si="4"/>
        <v>0</v>
      </c>
      <c r="AH22" s="24"/>
    </row>
    <row r="23" ht="12.75" customHeight="1">
      <c r="A23" s="74" t="s">
        <v>49</v>
      </c>
      <c r="B23" s="75"/>
      <c r="C23" s="126">
        <f t="shared" ref="C23:K23" si="5">($C$16/$C$19)*C19</f>
        <v>1000</v>
      </c>
      <c r="D23" s="126">
        <f t="shared" si="5"/>
        <v>987.4498867</v>
      </c>
      <c r="E23" s="126">
        <f t="shared" si="5"/>
        <v>996.601011</v>
      </c>
      <c r="F23" s="126">
        <f t="shared" si="5"/>
        <v>991.4589507</v>
      </c>
      <c r="G23" s="126">
        <f t="shared" si="5"/>
        <v>991.2846435</v>
      </c>
      <c r="H23" s="126">
        <f t="shared" si="5"/>
        <v>992.8534077</v>
      </c>
      <c r="I23" s="126">
        <f t="shared" si="5"/>
        <v>1004.096218</v>
      </c>
      <c r="J23" s="126">
        <f t="shared" si="5"/>
        <v>1027.801987</v>
      </c>
      <c r="K23" s="126">
        <f t="shared" si="5"/>
        <v>1050.723375</v>
      </c>
      <c r="L23" s="126">
        <f t="shared" ref="L23:AG23" si="6">($L$16/$L$19)*L19</f>
        <v>2408</v>
      </c>
      <c r="M23" s="126">
        <f t="shared" si="6"/>
        <v>2416.210424</v>
      </c>
      <c r="N23" s="126">
        <f t="shared" si="6"/>
        <v>2384.34616</v>
      </c>
      <c r="O23" s="126">
        <f t="shared" si="6"/>
        <v>2391.18818</v>
      </c>
      <c r="P23" s="126">
        <f t="shared" si="6"/>
        <v>2384.541646</v>
      </c>
      <c r="Q23" s="126">
        <f t="shared" si="6"/>
        <v>2368.707258</v>
      </c>
      <c r="R23" s="126">
        <f t="shared" si="6"/>
        <v>2357.955512</v>
      </c>
      <c r="S23" s="126">
        <f t="shared" si="6"/>
        <v>2344.662445</v>
      </c>
      <c r="T23" s="126">
        <f t="shared" si="6"/>
        <v>2319.640201</v>
      </c>
      <c r="U23" s="126">
        <f t="shared" si="6"/>
        <v>2287.971424</v>
      </c>
      <c r="V23" s="126">
        <f t="shared" si="6"/>
        <v>0</v>
      </c>
      <c r="W23" s="126">
        <f t="shared" si="6"/>
        <v>0</v>
      </c>
      <c r="X23" s="126">
        <f t="shared" si="6"/>
        <v>0</v>
      </c>
      <c r="Y23" s="126">
        <f t="shared" si="6"/>
        <v>0</v>
      </c>
      <c r="Z23" s="126">
        <f t="shared" si="6"/>
        <v>0</v>
      </c>
      <c r="AA23" s="126">
        <f t="shared" si="6"/>
        <v>0</v>
      </c>
      <c r="AB23" s="126">
        <f t="shared" si="6"/>
        <v>0</v>
      </c>
      <c r="AC23" s="126">
        <f t="shared" si="6"/>
        <v>0</v>
      </c>
      <c r="AD23" s="126">
        <f t="shared" si="6"/>
        <v>0</v>
      </c>
      <c r="AE23" s="126">
        <f t="shared" si="6"/>
        <v>0</v>
      </c>
      <c r="AF23" s="126">
        <f t="shared" si="6"/>
        <v>0</v>
      </c>
      <c r="AG23" s="129">
        <f t="shared" si="6"/>
        <v>0</v>
      </c>
      <c r="AH23" s="24"/>
    </row>
    <row r="24" ht="12.75" customHeight="1">
      <c r="A24" s="130" t="s">
        <v>63</v>
      </c>
      <c r="B24" s="131"/>
      <c r="C24" s="132"/>
      <c r="D24" s="132"/>
      <c r="E24" s="132"/>
      <c r="F24" s="132"/>
      <c r="G24" s="132"/>
      <c r="H24" s="132"/>
      <c r="I24" s="132"/>
      <c r="J24" s="132"/>
      <c r="K24" s="132"/>
      <c r="L24" s="132"/>
      <c r="M24" s="132"/>
      <c r="N24" s="132"/>
      <c r="O24" s="134"/>
      <c r="P24" s="134"/>
      <c r="Q24" s="134"/>
      <c r="R24" s="134"/>
      <c r="S24" s="134"/>
      <c r="T24" s="134"/>
      <c r="U24" s="134"/>
      <c r="V24" s="134"/>
      <c r="W24" s="134"/>
      <c r="X24" s="134"/>
      <c r="Y24" s="134"/>
      <c r="Z24" s="134"/>
      <c r="AA24" s="134"/>
      <c r="AB24" s="134"/>
      <c r="AC24" s="134"/>
      <c r="AD24" s="134"/>
      <c r="AE24" s="134"/>
      <c r="AF24" s="134"/>
      <c r="AG24" s="135"/>
      <c r="AH24" s="24"/>
    </row>
    <row r="25" ht="12.75" customHeight="1">
      <c r="A25" s="46" t="s">
        <v>64</v>
      </c>
      <c r="B25" s="136" t="s">
        <v>51</v>
      </c>
      <c r="C25" s="48">
        <v>2400.0</v>
      </c>
      <c r="D25" s="49" t="s">
        <v>7</v>
      </c>
      <c r="E25" s="49" t="s">
        <v>7</v>
      </c>
      <c r="F25" s="49" t="s">
        <v>7</v>
      </c>
      <c r="G25" s="49" t="s">
        <v>7</v>
      </c>
      <c r="H25" s="49" t="s">
        <v>7</v>
      </c>
      <c r="I25" s="49" t="s">
        <v>7</v>
      </c>
      <c r="J25" s="49" t="s">
        <v>7</v>
      </c>
      <c r="K25" s="49" t="s">
        <v>7</v>
      </c>
      <c r="L25" s="50">
        <v>2642.0</v>
      </c>
      <c r="M25" s="71" t="s">
        <v>7</v>
      </c>
      <c r="N25" s="72" t="s">
        <v>7</v>
      </c>
      <c r="O25" s="49" t="s">
        <v>7</v>
      </c>
      <c r="P25" s="49" t="s">
        <v>7</v>
      </c>
      <c r="Q25" s="49" t="s">
        <v>7</v>
      </c>
      <c r="R25" s="49" t="s">
        <v>7</v>
      </c>
      <c r="S25" s="49" t="s">
        <v>7</v>
      </c>
      <c r="T25" s="49" t="s">
        <v>7</v>
      </c>
      <c r="U25" s="49" t="s">
        <v>7</v>
      </c>
      <c r="V25" s="49" t="s">
        <v>7</v>
      </c>
      <c r="W25" s="49" t="s">
        <v>7</v>
      </c>
      <c r="X25" s="49" t="s">
        <v>7</v>
      </c>
      <c r="Y25" s="49" t="s">
        <v>7</v>
      </c>
      <c r="Z25" s="49" t="s">
        <v>7</v>
      </c>
      <c r="AA25" s="49" t="s">
        <v>7</v>
      </c>
      <c r="AB25" s="49" t="s">
        <v>7</v>
      </c>
      <c r="AC25" s="49" t="s">
        <v>7</v>
      </c>
      <c r="AD25" s="49" t="s">
        <v>7</v>
      </c>
      <c r="AE25" s="49" t="s">
        <v>7</v>
      </c>
      <c r="AF25" s="49" t="s">
        <v>7</v>
      </c>
      <c r="AG25" s="51" t="s">
        <v>7</v>
      </c>
      <c r="AH25" s="24"/>
    </row>
    <row r="26" ht="12.75" customHeight="1">
      <c r="A26" s="52" t="s">
        <v>65</v>
      </c>
      <c r="B26" s="53"/>
      <c r="C26" s="54">
        <v>180.0</v>
      </c>
      <c r="D26" s="55" t="s">
        <v>7</v>
      </c>
      <c r="E26" s="55" t="s">
        <v>7</v>
      </c>
      <c r="F26" s="55" t="s">
        <v>7</v>
      </c>
      <c r="G26" s="55" t="s">
        <v>7</v>
      </c>
      <c r="H26" s="55" t="s">
        <v>7</v>
      </c>
      <c r="I26" s="55" t="s">
        <v>7</v>
      </c>
      <c r="J26" s="55" t="s">
        <v>7</v>
      </c>
      <c r="K26" s="55" t="s">
        <v>7</v>
      </c>
      <c r="L26" s="137">
        <v>180.0</v>
      </c>
      <c r="M26" s="55" t="s">
        <v>7</v>
      </c>
      <c r="N26" s="55" t="s">
        <v>7</v>
      </c>
      <c r="O26" s="55" t="s">
        <v>7</v>
      </c>
      <c r="P26" s="55" t="s">
        <v>7</v>
      </c>
      <c r="Q26" s="55" t="s">
        <v>7</v>
      </c>
      <c r="R26" s="55" t="s">
        <v>7</v>
      </c>
      <c r="S26" s="55" t="s">
        <v>7</v>
      </c>
      <c r="T26" s="55" t="s">
        <v>7</v>
      </c>
      <c r="U26" s="55" t="s">
        <v>7</v>
      </c>
      <c r="V26" s="55" t="s">
        <v>7</v>
      </c>
      <c r="W26" s="55" t="s">
        <v>7</v>
      </c>
      <c r="X26" s="55" t="s">
        <v>7</v>
      </c>
      <c r="Y26" s="55" t="s">
        <v>7</v>
      </c>
      <c r="Z26" s="55" t="s">
        <v>7</v>
      </c>
      <c r="AA26" s="55" t="s">
        <v>7</v>
      </c>
      <c r="AB26" s="55" t="s">
        <v>7</v>
      </c>
      <c r="AC26" s="55" t="s">
        <v>7</v>
      </c>
      <c r="AD26" s="55" t="s">
        <v>7</v>
      </c>
      <c r="AE26" s="55" t="s">
        <v>7</v>
      </c>
      <c r="AF26" s="55" t="s">
        <v>7</v>
      </c>
      <c r="AG26" s="58" t="s">
        <v>7</v>
      </c>
      <c r="AH26" s="24"/>
    </row>
    <row r="27" ht="12.75" customHeight="1">
      <c r="A27" s="130" t="s">
        <v>66</v>
      </c>
      <c r="B27" s="131"/>
      <c r="C27" s="132"/>
      <c r="D27" s="138"/>
      <c r="E27" s="138"/>
      <c r="F27" s="138"/>
      <c r="G27" s="138"/>
      <c r="H27" s="138"/>
      <c r="I27" s="138"/>
      <c r="J27" s="138"/>
      <c r="K27" s="138"/>
      <c r="L27" s="132"/>
      <c r="M27" s="132"/>
      <c r="N27" s="132"/>
      <c r="O27" s="132"/>
      <c r="P27" s="132"/>
      <c r="Q27" s="132"/>
      <c r="R27" s="132"/>
      <c r="S27" s="132"/>
      <c r="T27" s="132"/>
      <c r="U27" s="140"/>
      <c r="V27" s="140"/>
      <c r="W27" s="140"/>
      <c r="X27" s="140"/>
      <c r="Y27" s="140"/>
      <c r="Z27" s="140"/>
      <c r="AA27" s="140"/>
      <c r="AB27" s="140"/>
      <c r="AC27" s="140"/>
      <c r="AD27" s="140"/>
      <c r="AE27" s="140"/>
      <c r="AF27" s="140"/>
      <c r="AG27" s="142"/>
      <c r="AH27" s="24"/>
    </row>
    <row r="28" ht="12.75" customHeight="1">
      <c r="A28" s="46" t="s">
        <v>68</v>
      </c>
      <c r="B28" s="47"/>
      <c r="C28" s="50">
        <f>C25</f>
        <v>2400</v>
      </c>
      <c r="D28" s="84">
        <f t="shared" ref="D28:K28" si="7">$C$28*SUM(D17)/SUM($C$17)</f>
        <v>2369.777333</v>
      </c>
      <c r="E28" s="84">
        <f t="shared" si="7"/>
        <v>2389.792344</v>
      </c>
      <c r="F28" s="84">
        <f t="shared" si="7"/>
        <v>2377.783338</v>
      </c>
      <c r="G28" s="84">
        <f t="shared" si="7"/>
        <v>2378.183638</v>
      </c>
      <c r="H28" s="84">
        <f t="shared" si="7"/>
        <v>2382.38679</v>
      </c>
      <c r="I28" s="84">
        <f t="shared" si="7"/>
        <v>2409.607205</v>
      </c>
      <c r="J28" s="84">
        <f t="shared" si="7"/>
        <v>2465.849387</v>
      </c>
      <c r="K28" s="84">
        <f t="shared" si="7"/>
        <v>2520.290218</v>
      </c>
      <c r="L28" s="48">
        <f>L25</f>
        <v>2642</v>
      </c>
      <c r="M28" s="84">
        <f t="shared" ref="M28:AG28" si="8">$L$28*SUM(M17)/SUM($L$17)</f>
        <v>2649.309257</v>
      </c>
      <c r="N28" s="84">
        <f t="shared" si="8"/>
        <v>2616.713923</v>
      </c>
      <c r="O28" s="84">
        <f t="shared" si="8"/>
        <v>2624.418274</v>
      </c>
      <c r="P28" s="84">
        <f t="shared" si="8"/>
        <v>2618.886945</v>
      </c>
      <c r="Q28" s="84">
        <f t="shared" si="8"/>
        <v>2605.848811</v>
      </c>
      <c r="R28" s="84">
        <f t="shared" si="8"/>
        <v>2594.9837</v>
      </c>
      <c r="S28" s="84">
        <f t="shared" si="8"/>
        <v>2582.735756</v>
      </c>
      <c r="T28" s="84">
        <f t="shared" si="8"/>
        <v>2555.276656</v>
      </c>
      <c r="U28" s="84">
        <f t="shared" si="8"/>
        <v>2521.693585</v>
      </c>
      <c r="V28" s="84">
        <f t="shared" si="8"/>
        <v>0</v>
      </c>
      <c r="W28" s="84">
        <f t="shared" si="8"/>
        <v>0</v>
      </c>
      <c r="X28" s="84">
        <f t="shared" si="8"/>
        <v>0</v>
      </c>
      <c r="Y28" s="84">
        <f t="shared" si="8"/>
        <v>0</v>
      </c>
      <c r="Z28" s="84">
        <f t="shared" si="8"/>
        <v>0</v>
      </c>
      <c r="AA28" s="84">
        <f t="shared" si="8"/>
        <v>0</v>
      </c>
      <c r="AB28" s="84">
        <f t="shared" si="8"/>
        <v>0</v>
      </c>
      <c r="AC28" s="84">
        <f t="shared" si="8"/>
        <v>0</v>
      </c>
      <c r="AD28" s="84">
        <f t="shared" si="8"/>
        <v>0</v>
      </c>
      <c r="AE28" s="84">
        <f t="shared" si="8"/>
        <v>0</v>
      </c>
      <c r="AF28" s="84">
        <f t="shared" si="8"/>
        <v>0</v>
      </c>
      <c r="AG28" s="88">
        <f t="shared" si="8"/>
        <v>0</v>
      </c>
      <c r="AH28" s="24"/>
    </row>
    <row r="29" ht="12.75" customHeight="1">
      <c r="A29" s="46" t="s">
        <v>69</v>
      </c>
      <c r="B29" s="47"/>
      <c r="C29" s="147">
        <f t="shared" ref="C29:K29" si="9">C28*$C$26*365/325851</f>
        <v>483.9021516</v>
      </c>
      <c r="D29" s="148">
        <f t="shared" si="9"/>
        <v>477.8084793</v>
      </c>
      <c r="E29" s="148">
        <f t="shared" si="9"/>
        <v>481.8440239</v>
      </c>
      <c r="F29" s="148">
        <f t="shared" si="9"/>
        <v>479.4226971</v>
      </c>
      <c r="G29" s="148">
        <f t="shared" si="9"/>
        <v>479.503408</v>
      </c>
      <c r="H29" s="148">
        <f t="shared" si="9"/>
        <v>480.3508724</v>
      </c>
      <c r="I29" s="148">
        <f t="shared" si="9"/>
        <v>485.839213</v>
      </c>
      <c r="J29" s="148">
        <f t="shared" si="9"/>
        <v>497.1790933</v>
      </c>
      <c r="K29" s="148">
        <f t="shared" si="9"/>
        <v>508.1557746</v>
      </c>
      <c r="L29" s="48">
        <f t="shared" ref="L29:AG29" si="10">L28*$L$26*365/325851</f>
        <v>532.6956185</v>
      </c>
      <c r="M29" s="84">
        <f t="shared" si="10"/>
        <v>534.169354</v>
      </c>
      <c r="N29" s="84">
        <f t="shared" si="10"/>
        <v>527.5972905</v>
      </c>
      <c r="O29" s="84">
        <f t="shared" si="10"/>
        <v>529.1506873</v>
      </c>
      <c r="P29" s="84">
        <f t="shared" si="10"/>
        <v>528.0354281</v>
      </c>
      <c r="Q29" s="84">
        <f t="shared" si="10"/>
        <v>525.4066027</v>
      </c>
      <c r="R29" s="84">
        <f t="shared" si="10"/>
        <v>523.2159149</v>
      </c>
      <c r="S29" s="84">
        <f t="shared" si="10"/>
        <v>520.7464122</v>
      </c>
      <c r="T29" s="84">
        <f t="shared" si="10"/>
        <v>515.2099466</v>
      </c>
      <c r="U29" s="84">
        <f t="shared" si="10"/>
        <v>508.4387297</v>
      </c>
      <c r="V29" s="84">
        <f t="shared" si="10"/>
        <v>0</v>
      </c>
      <c r="W29" s="84">
        <f t="shared" si="10"/>
        <v>0</v>
      </c>
      <c r="X29" s="84">
        <f t="shared" si="10"/>
        <v>0</v>
      </c>
      <c r="Y29" s="84">
        <f t="shared" si="10"/>
        <v>0</v>
      </c>
      <c r="Z29" s="84">
        <f t="shared" si="10"/>
        <v>0</v>
      </c>
      <c r="AA29" s="84">
        <f t="shared" si="10"/>
        <v>0</v>
      </c>
      <c r="AB29" s="84">
        <f t="shared" si="10"/>
        <v>0</v>
      </c>
      <c r="AC29" s="84">
        <f t="shared" si="10"/>
        <v>0</v>
      </c>
      <c r="AD29" s="84">
        <f t="shared" si="10"/>
        <v>0</v>
      </c>
      <c r="AE29" s="84">
        <f t="shared" si="10"/>
        <v>0</v>
      </c>
      <c r="AF29" s="84">
        <f t="shared" si="10"/>
        <v>0</v>
      </c>
      <c r="AG29" s="88">
        <f t="shared" si="10"/>
        <v>0</v>
      </c>
      <c r="AH29" s="24"/>
    </row>
    <row r="30" ht="12.75" customHeight="1">
      <c r="A30" s="153"/>
      <c r="B30" s="154" t="s">
        <v>71</v>
      </c>
      <c r="C30" s="155">
        <v>0.0</v>
      </c>
      <c r="D30" s="156">
        <v>0.0</v>
      </c>
      <c r="E30" s="156">
        <v>0.0</v>
      </c>
      <c r="F30" s="156">
        <v>0.0</v>
      </c>
      <c r="G30" s="156">
        <v>0.0</v>
      </c>
      <c r="H30" s="156">
        <v>0.0</v>
      </c>
      <c r="I30" s="156">
        <v>0.0</v>
      </c>
      <c r="J30" s="156">
        <v>0.0</v>
      </c>
      <c r="K30" s="156">
        <v>0.0</v>
      </c>
      <c r="L30" s="155">
        <v>0.0</v>
      </c>
      <c r="M30" s="156">
        <v>0.0</v>
      </c>
      <c r="N30" s="156">
        <v>0.0</v>
      </c>
      <c r="O30" s="156">
        <v>0.0</v>
      </c>
      <c r="P30" s="156">
        <v>0.0</v>
      </c>
      <c r="Q30" s="156">
        <v>0.0</v>
      </c>
      <c r="R30" s="156">
        <v>0.0</v>
      </c>
      <c r="S30" s="156">
        <v>0.0</v>
      </c>
      <c r="T30" s="156">
        <v>0.0</v>
      </c>
      <c r="U30" s="157"/>
      <c r="V30" s="157"/>
      <c r="W30" s="157"/>
      <c r="X30" s="157"/>
      <c r="Y30" s="157"/>
      <c r="Z30" s="157"/>
      <c r="AA30" s="157"/>
      <c r="AB30" s="157"/>
      <c r="AC30" s="157"/>
      <c r="AD30" s="157"/>
      <c r="AE30" s="157"/>
      <c r="AF30" s="157"/>
      <c r="AG30" s="158"/>
      <c r="AH30" s="24"/>
    </row>
    <row r="31" ht="12.75" customHeight="1">
      <c r="A31" s="160"/>
      <c r="B31" s="160"/>
      <c r="C31" s="49"/>
      <c r="D31" s="24"/>
      <c r="E31" s="148"/>
      <c r="F31" s="148"/>
      <c r="G31" s="148"/>
      <c r="H31" s="148"/>
      <c r="I31" s="148"/>
      <c r="J31" s="148"/>
      <c r="K31" s="148"/>
      <c r="L31" s="148"/>
      <c r="M31" s="148"/>
      <c r="N31" s="148"/>
      <c r="O31" s="148"/>
      <c r="P31" s="148"/>
      <c r="Q31" s="148"/>
      <c r="R31" s="148"/>
      <c r="S31" s="148"/>
      <c r="T31" s="148"/>
      <c r="U31" s="148"/>
      <c r="V31" s="148"/>
      <c r="W31" s="148"/>
      <c r="X31" s="148"/>
      <c r="Y31" s="148"/>
      <c r="Z31" s="148"/>
      <c r="AA31" s="148"/>
      <c r="AB31" s="148"/>
      <c r="AC31" s="148"/>
      <c r="AD31" s="148"/>
      <c r="AE31" s="148"/>
      <c r="AF31" s="148"/>
      <c r="AG31" s="148"/>
      <c r="AH31" s="24"/>
    </row>
    <row r="32" ht="12.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ht="12.75" customHeight="1">
      <c r="A33" s="30" t="s">
        <v>73</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2"/>
      <c r="AH33" s="24"/>
    </row>
    <row r="34" ht="12.75" customHeight="1">
      <c r="A34" s="33" t="s">
        <v>37</v>
      </c>
      <c r="B34" s="34"/>
      <c r="C34" s="35">
        <v>2000.0</v>
      </c>
      <c r="D34" s="35">
        <v>2001.0</v>
      </c>
      <c r="E34" s="35">
        <v>2002.0</v>
      </c>
      <c r="F34" s="35">
        <v>2003.0</v>
      </c>
      <c r="G34" s="35">
        <v>2004.0</v>
      </c>
      <c r="H34" s="35">
        <v>2005.0</v>
      </c>
      <c r="I34" s="35">
        <v>2006.0</v>
      </c>
      <c r="J34" s="35">
        <v>2007.0</v>
      </c>
      <c r="K34" s="35">
        <v>2008.0</v>
      </c>
      <c r="L34" s="35">
        <v>2009.0</v>
      </c>
      <c r="M34" s="35">
        <v>2010.0</v>
      </c>
      <c r="N34" s="35">
        <v>2011.0</v>
      </c>
      <c r="O34" s="35">
        <v>2012.0</v>
      </c>
      <c r="P34" s="35">
        <v>2013.0</v>
      </c>
      <c r="Q34" s="35">
        <v>2014.0</v>
      </c>
      <c r="R34" s="35">
        <v>2015.0</v>
      </c>
      <c r="S34" s="35">
        <v>2016.0</v>
      </c>
      <c r="T34" s="35">
        <v>2017.0</v>
      </c>
      <c r="U34" s="35">
        <v>2018.0</v>
      </c>
      <c r="V34" s="35">
        <v>2019.0</v>
      </c>
      <c r="W34" s="35">
        <v>2020.0</v>
      </c>
      <c r="X34" s="35">
        <v>2021.0</v>
      </c>
      <c r="Y34" s="35">
        <v>2022.0</v>
      </c>
      <c r="Z34" s="35">
        <v>2023.0</v>
      </c>
      <c r="AA34" s="35">
        <v>2024.0</v>
      </c>
      <c r="AB34" s="35">
        <v>2025.0</v>
      </c>
      <c r="AC34" s="35">
        <v>2026.0</v>
      </c>
      <c r="AD34" s="35">
        <v>2027.0</v>
      </c>
      <c r="AE34" s="35">
        <v>2028.0</v>
      </c>
      <c r="AF34" s="35">
        <v>2029.0</v>
      </c>
      <c r="AG34" s="36">
        <v>2030.0</v>
      </c>
      <c r="AH34" s="24"/>
    </row>
    <row r="35" ht="12.75" customHeight="1">
      <c r="A35" s="37" t="s">
        <v>38</v>
      </c>
      <c r="B35" s="38"/>
      <c r="C35" s="39">
        <v>3.0</v>
      </c>
      <c r="D35" s="39">
        <v>4.0</v>
      </c>
      <c r="E35" s="39">
        <v>5.0</v>
      </c>
      <c r="F35" s="39">
        <v>6.0</v>
      </c>
      <c r="G35" s="39">
        <v>7.0</v>
      </c>
      <c r="H35" s="39">
        <v>8.0</v>
      </c>
      <c r="I35" s="39">
        <v>9.0</v>
      </c>
      <c r="J35" s="39">
        <v>10.0</v>
      </c>
      <c r="K35" s="39">
        <v>11.0</v>
      </c>
      <c r="L35" s="39">
        <v>12.0</v>
      </c>
      <c r="M35" s="39">
        <v>13.0</v>
      </c>
      <c r="N35" s="39">
        <v>14.0</v>
      </c>
      <c r="O35" s="39">
        <v>15.0</v>
      </c>
      <c r="P35" s="39">
        <v>16.0</v>
      </c>
      <c r="Q35" s="39">
        <v>17.0</v>
      </c>
      <c r="R35" s="39">
        <v>18.0</v>
      </c>
      <c r="S35" s="39">
        <v>19.0</v>
      </c>
      <c r="T35" s="39">
        <v>20.0</v>
      </c>
      <c r="U35" s="39">
        <v>21.0</v>
      </c>
      <c r="V35" s="39">
        <v>22.0</v>
      </c>
      <c r="W35" s="39">
        <v>23.0</v>
      </c>
      <c r="X35" s="39">
        <v>24.0</v>
      </c>
      <c r="Y35" s="39">
        <v>25.0</v>
      </c>
      <c r="Z35" s="39">
        <v>26.0</v>
      </c>
      <c r="AA35" s="39">
        <v>27.0</v>
      </c>
      <c r="AB35" s="39">
        <v>28.0</v>
      </c>
      <c r="AC35" s="39">
        <v>29.0</v>
      </c>
      <c r="AD35" s="39">
        <v>30.0</v>
      </c>
      <c r="AE35" s="39">
        <v>31.0</v>
      </c>
      <c r="AF35" s="39">
        <v>32.0</v>
      </c>
      <c r="AG35" s="40">
        <v>33.0</v>
      </c>
      <c r="AH35" s="24"/>
    </row>
    <row r="36" ht="12.75" customHeight="1">
      <c r="A36" s="164" t="s">
        <v>39</v>
      </c>
      <c r="B36" s="170"/>
      <c r="C36" s="171">
        <f>SUM(C37:C55)</f>
        <v>49306</v>
      </c>
      <c r="D36" s="172" t="s">
        <v>7</v>
      </c>
      <c r="E36" s="172" t="s">
        <v>7</v>
      </c>
      <c r="F36" s="172" t="s">
        <v>7</v>
      </c>
      <c r="G36" s="172" t="s">
        <v>7</v>
      </c>
      <c r="H36" s="171">
        <f>SUM(H37:H55)</f>
        <v>48093</v>
      </c>
      <c r="I36" s="172" t="s">
        <v>7</v>
      </c>
      <c r="J36" s="172" t="s">
        <v>7</v>
      </c>
      <c r="K36" s="172" t="s">
        <v>7</v>
      </c>
      <c r="L36" s="172" t="s">
        <v>7</v>
      </c>
      <c r="M36" s="172" t="s">
        <v>7</v>
      </c>
      <c r="N36" s="172" t="s">
        <v>7</v>
      </c>
      <c r="O36" s="172" t="s">
        <v>7</v>
      </c>
      <c r="P36" s="172" t="s">
        <v>7</v>
      </c>
      <c r="Q36" s="172" t="s">
        <v>7</v>
      </c>
      <c r="R36" s="172" t="s">
        <v>7</v>
      </c>
      <c r="S36" s="172" t="s">
        <v>7</v>
      </c>
      <c r="T36" s="172" t="s">
        <v>7</v>
      </c>
      <c r="U36" s="176"/>
      <c r="V36" s="176"/>
      <c r="W36" s="176"/>
      <c r="X36" s="176"/>
      <c r="Y36" s="176"/>
      <c r="Z36" s="176"/>
      <c r="AA36" s="176"/>
      <c r="AB36" s="176"/>
      <c r="AC36" s="176"/>
      <c r="AD36" s="176"/>
      <c r="AE36" s="176"/>
      <c r="AF36" s="176"/>
      <c r="AG36" s="177"/>
      <c r="AH36" s="24"/>
    </row>
    <row r="37" ht="12.75" customHeight="1">
      <c r="A37" s="46" t="s">
        <v>75</v>
      </c>
      <c r="B37" s="51" t="s">
        <v>52</v>
      </c>
      <c r="C37" s="48">
        <v>300.0</v>
      </c>
      <c r="D37" s="49" t="s">
        <v>7</v>
      </c>
      <c r="E37" s="49" t="s">
        <v>7</v>
      </c>
      <c r="F37" s="49" t="s">
        <v>7</v>
      </c>
      <c r="G37" s="49" t="s">
        <v>7</v>
      </c>
      <c r="H37" s="48">
        <v>354.0</v>
      </c>
      <c r="I37" s="49" t="s">
        <v>7</v>
      </c>
      <c r="J37" s="49" t="s">
        <v>7</v>
      </c>
      <c r="K37" s="49" t="s">
        <v>7</v>
      </c>
      <c r="L37" s="49" t="s">
        <v>7</v>
      </c>
      <c r="M37" s="49" t="s">
        <v>7</v>
      </c>
      <c r="N37" s="49" t="s">
        <v>7</v>
      </c>
      <c r="O37" s="49" t="s">
        <v>7</v>
      </c>
      <c r="P37" s="49" t="s">
        <v>7</v>
      </c>
      <c r="Q37" s="49" t="s">
        <v>7</v>
      </c>
      <c r="R37" s="49" t="s">
        <v>7</v>
      </c>
      <c r="S37" s="49" t="s">
        <v>7</v>
      </c>
      <c r="T37" s="49" t="s">
        <v>7</v>
      </c>
      <c r="U37" s="49"/>
      <c r="V37" s="49"/>
      <c r="W37" s="49"/>
      <c r="X37" s="49"/>
      <c r="Y37" s="49"/>
      <c r="Z37" s="49"/>
      <c r="AA37" s="49"/>
      <c r="AB37" s="49"/>
      <c r="AC37" s="49"/>
      <c r="AD37" s="49"/>
      <c r="AE37" s="49"/>
      <c r="AF37" s="49"/>
      <c r="AG37" s="51"/>
      <c r="AH37" s="24"/>
    </row>
    <row r="38" ht="12.75" customHeight="1">
      <c r="A38" s="46" t="s">
        <v>76</v>
      </c>
      <c r="B38" s="51" t="s">
        <v>52</v>
      </c>
      <c r="C38" s="178">
        <v>4500.0</v>
      </c>
      <c r="D38" s="49" t="s">
        <v>7</v>
      </c>
      <c r="E38" s="49" t="s">
        <v>7</v>
      </c>
      <c r="F38" s="49" t="s">
        <v>7</v>
      </c>
      <c r="G38" s="49" t="s">
        <v>7</v>
      </c>
      <c r="H38" s="180">
        <v>4500.0</v>
      </c>
      <c r="I38" s="49" t="s">
        <v>7</v>
      </c>
      <c r="J38" s="49" t="s">
        <v>7</v>
      </c>
      <c r="K38" s="49" t="s">
        <v>7</v>
      </c>
      <c r="L38" s="49" t="s">
        <v>7</v>
      </c>
      <c r="M38" s="49" t="s">
        <v>7</v>
      </c>
      <c r="N38" s="49" t="s">
        <v>7</v>
      </c>
      <c r="O38" s="49" t="s">
        <v>7</v>
      </c>
      <c r="P38" s="49" t="s">
        <v>7</v>
      </c>
      <c r="Q38" s="49" t="s">
        <v>7</v>
      </c>
      <c r="R38" s="49" t="s">
        <v>7</v>
      </c>
      <c r="S38" s="49" t="s">
        <v>7</v>
      </c>
      <c r="T38" s="49" t="s">
        <v>7</v>
      </c>
      <c r="U38" s="49"/>
      <c r="V38" s="49"/>
      <c r="W38" s="49"/>
      <c r="X38" s="49"/>
      <c r="Y38" s="49"/>
      <c r="Z38" s="49"/>
      <c r="AA38" s="49"/>
      <c r="AB38" s="49"/>
      <c r="AC38" s="49"/>
      <c r="AD38" s="49"/>
      <c r="AE38" s="49"/>
      <c r="AF38" s="49"/>
      <c r="AG38" s="51"/>
      <c r="AH38" s="24"/>
    </row>
    <row r="39" ht="12.75" customHeight="1">
      <c r="A39" s="46" t="s">
        <v>78</v>
      </c>
      <c r="B39" s="51" t="s">
        <v>52</v>
      </c>
      <c r="C39" s="181"/>
      <c r="D39" s="49" t="s">
        <v>7</v>
      </c>
      <c r="E39" s="49" t="s">
        <v>7</v>
      </c>
      <c r="F39" s="49" t="s">
        <v>7</v>
      </c>
      <c r="G39" s="49" t="s">
        <v>7</v>
      </c>
      <c r="I39" s="49" t="s">
        <v>7</v>
      </c>
      <c r="J39" s="49" t="s">
        <v>7</v>
      </c>
      <c r="K39" s="49" t="s">
        <v>7</v>
      </c>
      <c r="L39" s="49" t="s">
        <v>7</v>
      </c>
      <c r="M39" s="49" t="s">
        <v>7</v>
      </c>
      <c r="N39" s="49" t="s">
        <v>7</v>
      </c>
      <c r="O39" s="49" t="s">
        <v>7</v>
      </c>
      <c r="P39" s="49" t="s">
        <v>7</v>
      </c>
      <c r="Q39" s="49" t="s">
        <v>7</v>
      </c>
      <c r="R39" s="49" t="s">
        <v>7</v>
      </c>
      <c r="S39" s="49" t="s">
        <v>7</v>
      </c>
      <c r="T39" s="49" t="s">
        <v>7</v>
      </c>
      <c r="U39" s="49"/>
      <c r="V39" s="49"/>
      <c r="W39" s="49"/>
      <c r="X39" s="49"/>
      <c r="Y39" s="49"/>
      <c r="Z39" s="49"/>
      <c r="AA39" s="49"/>
      <c r="AB39" s="49"/>
      <c r="AC39" s="49"/>
      <c r="AD39" s="49"/>
      <c r="AE39" s="49"/>
      <c r="AF39" s="49"/>
      <c r="AG39" s="51"/>
      <c r="AH39" s="24"/>
    </row>
    <row r="40" ht="12.75" customHeight="1">
      <c r="A40" s="46" t="s">
        <v>79</v>
      </c>
      <c r="B40" s="51" t="s">
        <v>52</v>
      </c>
      <c r="C40" s="181"/>
      <c r="D40" s="49" t="s">
        <v>7</v>
      </c>
      <c r="E40" s="49" t="s">
        <v>7</v>
      </c>
      <c r="F40" s="49" t="s">
        <v>7</v>
      </c>
      <c r="G40" s="49" t="s">
        <v>7</v>
      </c>
      <c r="I40" s="49" t="s">
        <v>7</v>
      </c>
      <c r="J40" s="49" t="s">
        <v>7</v>
      </c>
      <c r="K40" s="49" t="s">
        <v>7</v>
      </c>
      <c r="L40" s="49" t="s">
        <v>7</v>
      </c>
      <c r="M40" s="49" t="s">
        <v>7</v>
      </c>
      <c r="N40" s="49" t="s">
        <v>7</v>
      </c>
      <c r="O40" s="49" t="s">
        <v>7</v>
      </c>
      <c r="P40" s="49" t="s">
        <v>7</v>
      </c>
      <c r="Q40" s="49" t="s">
        <v>7</v>
      </c>
      <c r="R40" s="49" t="s">
        <v>7</v>
      </c>
      <c r="S40" s="49" t="s">
        <v>7</v>
      </c>
      <c r="T40" s="49" t="s">
        <v>7</v>
      </c>
      <c r="U40" s="49"/>
      <c r="V40" s="49"/>
      <c r="W40" s="49"/>
      <c r="X40" s="49"/>
      <c r="Y40" s="49"/>
      <c r="Z40" s="49"/>
      <c r="AA40" s="49"/>
      <c r="AB40" s="49"/>
      <c r="AC40" s="49"/>
      <c r="AD40" s="49"/>
      <c r="AE40" s="49"/>
      <c r="AF40" s="49"/>
      <c r="AG40" s="51"/>
      <c r="AH40" s="24"/>
    </row>
    <row r="41" ht="12.75" customHeight="1">
      <c r="A41" s="46" t="s">
        <v>80</v>
      </c>
      <c r="B41" s="51" t="s">
        <v>52</v>
      </c>
      <c r="C41" s="181"/>
      <c r="D41" s="49" t="s">
        <v>7</v>
      </c>
      <c r="E41" s="49" t="s">
        <v>7</v>
      </c>
      <c r="F41" s="49" t="s">
        <v>7</v>
      </c>
      <c r="G41" s="49" t="s">
        <v>7</v>
      </c>
      <c r="I41" s="49" t="s">
        <v>7</v>
      </c>
      <c r="J41" s="49" t="s">
        <v>7</v>
      </c>
      <c r="K41" s="49" t="s">
        <v>7</v>
      </c>
      <c r="L41" s="49" t="s">
        <v>7</v>
      </c>
      <c r="M41" s="49" t="s">
        <v>7</v>
      </c>
      <c r="N41" s="49" t="s">
        <v>7</v>
      </c>
      <c r="O41" s="49" t="s">
        <v>7</v>
      </c>
      <c r="P41" s="49" t="s">
        <v>7</v>
      </c>
      <c r="Q41" s="49" t="s">
        <v>7</v>
      </c>
      <c r="R41" s="49" t="s">
        <v>7</v>
      </c>
      <c r="S41" s="49" t="s">
        <v>7</v>
      </c>
      <c r="T41" s="49" t="s">
        <v>7</v>
      </c>
      <c r="U41" s="49"/>
      <c r="V41" s="49"/>
      <c r="W41" s="49"/>
      <c r="X41" s="49"/>
      <c r="Y41" s="49"/>
      <c r="Z41" s="49"/>
      <c r="AA41" s="49"/>
      <c r="AB41" s="49"/>
      <c r="AC41" s="49"/>
      <c r="AD41" s="49"/>
      <c r="AE41" s="49"/>
      <c r="AF41" s="49"/>
      <c r="AG41" s="51"/>
      <c r="AH41" s="24"/>
    </row>
    <row r="42" ht="12.75" customHeight="1">
      <c r="A42" s="46" t="s">
        <v>81</v>
      </c>
      <c r="B42" s="51" t="s">
        <v>52</v>
      </c>
      <c r="C42" s="50" t="s">
        <v>7</v>
      </c>
      <c r="D42" s="49" t="s">
        <v>7</v>
      </c>
      <c r="E42" s="49" t="s">
        <v>7</v>
      </c>
      <c r="F42" s="49" t="s">
        <v>7</v>
      </c>
      <c r="G42" s="49" t="s">
        <v>7</v>
      </c>
      <c r="H42" s="50" t="s">
        <v>7</v>
      </c>
      <c r="I42" s="49" t="s">
        <v>7</v>
      </c>
      <c r="J42" s="49" t="s">
        <v>7</v>
      </c>
      <c r="K42" s="49" t="s">
        <v>7</v>
      </c>
      <c r="L42" s="49" t="s">
        <v>7</v>
      </c>
      <c r="M42" s="49" t="s">
        <v>7</v>
      </c>
      <c r="N42" s="49" t="s">
        <v>7</v>
      </c>
      <c r="O42" s="49" t="s">
        <v>7</v>
      </c>
      <c r="P42" s="49" t="s">
        <v>7</v>
      </c>
      <c r="Q42" s="49" t="s">
        <v>7</v>
      </c>
      <c r="R42" s="49" t="s">
        <v>7</v>
      </c>
      <c r="S42" s="49" t="s">
        <v>7</v>
      </c>
      <c r="T42" s="49" t="s">
        <v>7</v>
      </c>
      <c r="U42" s="49"/>
      <c r="V42" s="49"/>
      <c r="W42" s="49"/>
      <c r="X42" s="49"/>
      <c r="Y42" s="49"/>
      <c r="Z42" s="49"/>
      <c r="AA42" s="49"/>
      <c r="AB42" s="49"/>
      <c r="AC42" s="49"/>
      <c r="AD42" s="49"/>
      <c r="AE42" s="49"/>
      <c r="AF42" s="49"/>
      <c r="AG42" s="51"/>
      <c r="AH42" s="24"/>
    </row>
    <row r="43" ht="12.75" customHeight="1">
      <c r="A43" s="46" t="s">
        <v>83</v>
      </c>
      <c r="B43" s="51" t="s">
        <v>52</v>
      </c>
      <c r="C43" s="48">
        <v>75.0</v>
      </c>
      <c r="D43" s="49" t="s">
        <v>7</v>
      </c>
      <c r="E43" s="49" t="s">
        <v>7</v>
      </c>
      <c r="F43" s="49" t="s">
        <v>7</v>
      </c>
      <c r="G43" s="49" t="s">
        <v>7</v>
      </c>
      <c r="H43" s="48">
        <v>81.0</v>
      </c>
      <c r="I43" s="49" t="s">
        <v>7</v>
      </c>
      <c r="J43" s="49" t="s">
        <v>7</v>
      </c>
      <c r="K43" s="49" t="s">
        <v>7</v>
      </c>
      <c r="L43" s="49" t="s">
        <v>7</v>
      </c>
      <c r="M43" s="49" t="s">
        <v>7</v>
      </c>
      <c r="N43" s="49" t="s">
        <v>7</v>
      </c>
      <c r="O43" s="49" t="s">
        <v>7</v>
      </c>
      <c r="P43" s="49" t="s">
        <v>7</v>
      </c>
      <c r="Q43" s="49" t="s">
        <v>7</v>
      </c>
      <c r="R43" s="49" t="s">
        <v>7</v>
      </c>
      <c r="S43" s="49" t="s">
        <v>7</v>
      </c>
      <c r="T43" s="49" t="s">
        <v>7</v>
      </c>
      <c r="U43" s="49"/>
      <c r="V43" s="49"/>
      <c r="W43" s="49"/>
      <c r="X43" s="49"/>
      <c r="Y43" s="49"/>
      <c r="Z43" s="49"/>
      <c r="AA43" s="49"/>
      <c r="AB43" s="49"/>
      <c r="AC43" s="49"/>
      <c r="AD43" s="49"/>
      <c r="AE43" s="49"/>
      <c r="AF43" s="49"/>
      <c r="AG43" s="51"/>
      <c r="AH43" s="24"/>
    </row>
    <row r="44" ht="12.75" customHeight="1">
      <c r="A44" s="46" t="s">
        <v>84</v>
      </c>
      <c r="B44" s="51" t="s">
        <v>52</v>
      </c>
      <c r="C44" s="48">
        <v>170.0</v>
      </c>
      <c r="D44" s="49" t="s">
        <v>7</v>
      </c>
      <c r="E44" s="49" t="s">
        <v>7</v>
      </c>
      <c r="F44" s="49" t="s">
        <v>7</v>
      </c>
      <c r="G44" s="49" t="s">
        <v>7</v>
      </c>
      <c r="H44" s="48">
        <v>146.0</v>
      </c>
      <c r="I44" s="49" t="s">
        <v>7</v>
      </c>
      <c r="J44" s="49" t="s">
        <v>7</v>
      </c>
      <c r="K44" s="49" t="s">
        <v>7</v>
      </c>
      <c r="L44" s="49" t="s">
        <v>7</v>
      </c>
      <c r="M44" s="49" t="s">
        <v>7</v>
      </c>
      <c r="N44" s="49" t="s">
        <v>7</v>
      </c>
      <c r="O44" s="49" t="s">
        <v>7</v>
      </c>
      <c r="P44" s="49" t="s">
        <v>7</v>
      </c>
      <c r="Q44" s="49" t="s">
        <v>7</v>
      </c>
      <c r="R44" s="49" t="s">
        <v>7</v>
      </c>
      <c r="S44" s="49" t="s">
        <v>7</v>
      </c>
      <c r="T44" s="49" t="s">
        <v>7</v>
      </c>
      <c r="U44" s="49"/>
      <c r="V44" s="49"/>
      <c r="W44" s="49"/>
      <c r="X44" s="49"/>
      <c r="Y44" s="49"/>
      <c r="Z44" s="49"/>
      <c r="AA44" s="49"/>
      <c r="AB44" s="49"/>
      <c r="AC44" s="49"/>
      <c r="AD44" s="49"/>
      <c r="AE44" s="49"/>
      <c r="AF44" s="49"/>
      <c r="AG44" s="51"/>
      <c r="AH44" s="24"/>
    </row>
    <row r="45" ht="12.75" customHeight="1">
      <c r="A45" s="46" t="s">
        <v>85</v>
      </c>
      <c r="B45" s="51" t="s">
        <v>52</v>
      </c>
      <c r="C45" s="178">
        <v>3950.0</v>
      </c>
      <c r="D45" s="49" t="s">
        <v>7</v>
      </c>
      <c r="E45" s="49" t="s">
        <v>7</v>
      </c>
      <c r="F45" s="49" t="s">
        <v>7</v>
      </c>
      <c r="G45" s="49" t="s">
        <v>7</v>
      </c>
      <c r="H45" s="180">
        <v>3950.0</v>
      </c>
      <c r="I45" s="49" t="s">
        <v>7</v>
      </c>
      <c r="J45" s="49" t="s">
        <v>7</v>
      </c>
      <c r="K45" s="49" t="s">
        <v>7</v>
      </c>
      <c r="L45" s="49" t="s">
        <v>7</v>
      </c>
      <c r="M45" s="49" t="s">
        <v>7</v>
      </c>
      <c r="N45" s="49" t="s">
        <v>7</v>
      </c>
      <c r="O45" s="49" t="s">
        <v>7</v>
      </c>
      <c r="P45" s="49" t="s">
        <v>7</v>
      </c>
      <c r="Q45" s="49" t="s">
        <v>7</v>
      </c>
      <c r="R45" s="49" t="s">
        <v>7</v>
      </c>
      <c r="S45" s="49" t="s">
        <v>7</v>
      </c>
      <c r="T45" s="49" t="s">
        <v>7</v>
      </c>
      <c r="U45" s="49"/>
      <c r="V45" s="49"/>
      <c r="W45" s="49"/>
      <c r="X45" s="49"/>
      <c r="Y45" s="49"/>
      <c r="Z45" s="49"/>
      <c r="AA45" s="49"/>
      <c r="AB45" s="49"/>
      <c r="AC45" s="49"/>
      <c r="AD45" s="49"/>
      <c r="AE45" s="49"/>
      <c r="AF45" s="49"/>
      <c r="AG45" s="51"/>
      <c r="AH45" s="24"/>
    </row>
    <row r="46" ht="12.75" customHeight="1">
      <c r="A46" s="46" t="s">
        <v>88</v>
      </c>
      <c r="B46" s="51" t="s">
        <v>52</v>
      </c>
      <c r="C46" s="181"/>
      <c r="D46" s="49" t="s">
        <v>7</v>
      </c>
      <c r="E46" s="49" t="s">
        <v>7</v>
      </c>
      <c r="F46" s="49" t="s">
        <v>7</v>
      </c>
      <c r="G46" s="49" t="s">
        <v>7</v>
      </c>
      <c r="I46" s="49" t="s">
        <v>7</v>
      </c>
      <c r="J46" s="49" t="s">
        <v>7</v>
      </c>
      <c r="K46" s="49" t="s">
        <v>7</v>
      </c>
      <c r="L46" s="49" t="s">
        <v>7</v>
      </c>
      <c r="M46" s="49" t="s">
        <v>7</v>
      </c>
      <c r="N46" s="49" t="s">
        <v>7</v>
      </c>
      <c r="O46" s="49" t="s">
        <v>7</v>
      </c>
      <c r="P46" s="49" t="s">
        <v>7</v>
      </c>
      <c r="Q46" s="49" t="s">
        <v>7</v>
      </c>
      <c r="R46" s="49" t="s">
        <v>7</v>
      </c>
      <c r="S46" s="49" t="s">
        <v>7</v>
      </c>
      <c r="T46" s="49" t="s">
        <v>7</v>
      </c>
      <c r="U46" s="49"/>
      <c r="V46" s="49"/>
      <c r="W46" s="49"/>
      <c r="X46" s="49"/>
      <c r="Y46" s="49"/>
      <c r="Z46" s="49"/>
      <c r="AA46" s="49"/>
      <c r="AB46" s="49"/>
      <c r="AC46" s="49"/>
      <c r="AD46" s="49"/>
      <c r="AE46" s="49"/>
      <c r="AF46" s="49"/>
      <c r="AG46" s="51"/>
      <c r="AH46" s="24"/>
    </row>
    <row r="47" ht="12.75" customHeight="1">
      <c r="A47" s="46" t="s">
        <v>90</v>
      </c>
      <c r="B47" s="51" t="s">
        <v>52</v>
      </c>
      <c r="C47" s="48">
        <v>490.0</v>
      </c>
      <c r="D47" s="49" t="s">
        <v>7</v>
      </c>
      <c r="E47" s="49" t="s">
        <v>7</v>
      </c>
      <c r="F47" s="49" t="s">
        <v>7</v>
      </c>
      <c r="G47" s="49" t="s">
        <v>7</v>
      </c>
      <c r="H47" s="48">
        <v>421.0</v>
      </c>
      <c r="I47" s="49" t="s">
        <v>7</v>
      </c>
      <c r="J47" s="49" t="s">
        <v>7</v>
      </c>
      <c r="K47" s="49" t="s">
        <v>7</v>
      </c>
      <c r="L47" s="49" t="s">
        <v>7</v>
      </c>
      <c r="M47" s="49" t="s">
        <v>7</v>
      </c>
      <c r="N47" s="49" t="s">
        <v>7</v>
      </c>
      <c r="O47" s="49" t="s">
        <v>7</v>
      </c>
      <c r="P47" s="49" t="s">
        <v>7</v>
      </c>
      <c r="Q47" s="49" t="s">
        <v>7</v>
      </c>
      <c r="R47" s="49" t="s">
        <v>7</v>
      </c>
      <c r="S47" s="49" t="s">
        <v>7</v>
      </c>
      <c r="T47" s="49" t="s">
        <v>7</v>
      </c>
      <c r="U47" s="49"/>
      <c r="V47" s="49"/>
      <c r="W47" s="49"/>
      <c r="X47" s="49"/>
      <c r="Y47" s="49"/>
      <c r="Z47" s="49"/>
      <c r="AA47" s="49"/>
      <c r="AB47" s="49"/>
      <c r="AC47" s="49"/>
      <c r="AD47" s="49"/>
      <c r="AE47" s="49"/>
      <c r="AF47" s="49"/>
      <c r="AG47" s="51"/>
      <c r="AH47" s="24"/>
    </row>
    <row r="48" ht="12.75" customHeight="1">
      <c r="A48" s="46" t="s">
        <v>92</v>
      </c>
      <c r="B48" s="51" t="s">
        <v>52</v>
      </c>
      <c r="C48" s="48">
        <v>1480.0</v>
      </c>
      <c r="D48" s="49" t="s">
        <v>7</v>
      </c>
      <c r="E48" s="49" t="s">
        <v>7</v>
      </c>
      <c r="F48" s="49" t="s">
        <v>7</v>
      </c>
      <c r="G48" s="49" t="s">
        <v>7</v>
      </c>
      <c r="H48" s="48">
        <v>1800.0</v>
      </c>
      <c r="I48" s="49" t="s">
        <v>7</v>
      </c>
      <c r="J48" s="49" t="s">
        <v>7</v>
      </c>
      <c r="K48" s="49" t="s">
        <v>7</v>
      </c>
      <c r="L48" s="49" t="s">
        <v>7</v>
      </c>
      <c r="M48" s="49" t="s">
        <v>7</v>
      </c>
      <c r="N48" s="49" t="s">
        <v>7</v>
      </c>
      <c r="O48" s="49" t="s">
        <v>7</v>
      </c>
      <c r="P48" s="49" t="s">
        <v>7</v>
      </c>
      <c r="Q48" s="49" t="s">
        <v>7</v>
      </c>
      <c r="R48" s="49" t="s">
        <v>7</v>
      </c>
      <c r="S48" s="49" t="s">
        <v>7</v>
      </c>
      <c r="T48" s="49" t="s">
        <v>7</v>
      </c>
      <c r="U48" s="49"/>
      <c r="V48" s="49"/>
      <c r="W48" s="49"/>
      <c r="X48" s="49"/>
      <c r="Y48" s="49"/>
      <c r="Z48" s="49"/>
      <c r="AA48" s="49"/>
      <c r="AB48" s="49"/>
      <c r="AC48" s="49"/>
      <c r="AD48" s="49"/>
      <c r="AE48" s="49"/>
      <c r="AF48" s="49"/>
      <c r="AG48" s="51"/>
      <c r="AH48" s="24"/>
    </row>
    <row r="49" ht="12.75" customHeight="1">
      <c r="A49" s="46" t="s">
        <v>93</v>
      </c>
      <c r="B49" s="51" t="s">
        <v>52</v>
      </c>
      <c r="C49" s="178">
        <v>36500.0</v>
      </c>
      <c r="D49" s="49" t="s">
        <v>7</v>
      </c>
      <c r="E49" s="49" t="s">
        <v>7</v>
      </c>
      <c r="F49" s="49" t="s">
        <v>7</v>
      </c>
      <c r="G49" s="49" t="s">
        <v>7</v>
      </c>
      <c r="H49" s="180">
        <v>35000.0</v>
      </c>
      <c r="I49" s="49" t="s">
        <v>7</v>
      </c>
      <c r="J49" s="49" t="s">
        <v>7</v>
      </c>
      <c r="K49" s="49" t="s">
        <v>7</v>
      </c>
      <c r="L49" s="49" t="s">
        <v>7</v>
      </c>
      <c r="M49" s="49" t="s">
        <v>7</v>
      </c>
      <c r="N49" s="49" t="s">
        <v>7</v>
      </c>
      <c r="O49" s="49" t="s">
        <v>7</v>
      </c>
      <c r="P49" s="49" t="s">
        <v>7</v>
      </c>
      <c r="Q49" s="49" t="s">
        <v>7</v>
      </c>
      <c r="R49" s="49" t="s">
        <v>7</v>
      </c>
      <c r="S49" s="49" t="s">
        <v>7</v>
      </c>
      <c r="T49" s="49" t="s">
        <v>7</v>
      </c>
      <c r="U49" s="49"/>
      <c r="V49" s="49"/>
      <c r="W49" s="49"/>
      <c r="X49" s="49"/>
      <c r="Y49" s="49"/>
      <c r="Z49" s="49"/>
      <c r="AA49" s="49"/>
      <c r="AB49" s="49"/>
      <c r="AC49" s="49"/>
      <c r="AD49" s="49"/>
      <c r="AE49" s="49"/>
      <c r="AF49" s="49"/>
      <c r="AG49" s="51"/>
      <c r="AH49" s="24"/>
    </row>
    <row r="50" ht="12.75" customHeight="1">
      <c r="A50" s="46" t="s">
        <v>95</v>
      </c>
      <c r="B50" s="51" t="s">
        <v>52</v>
      </c>
      <c r="C50" s="181"/>
      <c r="D50" s="49" t="s">
        <v>7</v>
      </c>
      <c r="E50" s="49" t="s">
        <v>7</v>
      </c>
      <c r="F50" s="49" t="s">
        <v>7</v>
      </c>
      <c r="G50" s="49" t="s">
        <v>7</v>
      </c>
      <c r="I50" s="49" t="s">
        <v>7</v>
      </c>
      <c r="J50" s="49" t="s">
        <v>7</v>
      </c>
      <c r="K50" s="49" t="s">
        <v>7</v>
      </c>
      <c r="L50" s="49" t="s">
        <v>7</v>
      </c>
      <c r="M50" s="49" t="s">
        <v>7</v>
      </c>
      <c r="N50" s="49" t="s">
        <v>7</v>
      </c>
      <c r="O50" s="49" t="s">
        <v>7</v>
      </c>
      <c r="P50" s="49" t="s">
        <v>7</v>
      </c>
      <c r="Q50" s="49" t="s">
        <v>7</v>
      </c>
      <c r="R50" s="49" t="s">
        <v>7</v>
      </c>
      <c r="S50" s="49" t="s">
        <v>7</v>
      </c>
      <c r="T50" s="49" t="s">
        <v>7</v>
      </c>
      <c r="U50" s="49"/>
      <c r="V50" s="49"/>
      <c r="W50" s="49"/>
      <c r="X50" s="49"/>
      <c r="Y50" s="49"/>
      <c r="Z50" s="49"/>
      <c r="AA50" s="49"/>
      <c r="AB50" s="49"/>
      <c r="AC50" s="49"/>
      <c r="AD50" s="49"/>
      <c r="AE50" s="49"/>
      <c r="AF50" s="49"/>
      <c r="AG50" s="51"/>
      <c r="AH50" s="24"/>
    </row>
    <row r="51" ht="12.75" customHeight="1">
      <c r="A51" s="46" t="s">
        <v>96</v>
      </c>
      <c r="B51" s="51" t="s">
        <v>51</v>
      </c>
      <c r="C51" s="48">
        <v>496.0</v>
      </c>
      <c r="D51" s="49" t="s">
        <v>7</v>
      </c>
      <c r="E51" s="49" t="s">
        <v>7</v>
      </c>
      <c r="F51" s="49" t="s">
        <v>7</v>
      </c>
      <c r="G51" s="49" t="s">
        <v>7</v>
      </c>
      <c r="H51" s="48">
        <v>496.0</v>
      </c>
      <c r="I51" s="49" t="s">
        <v>7</v>
      </c>
      <c r="J51" s="49" t="s">
        <v>7</v>
      </c>
      <c r="K51" s="49" t="s">
        <v>7</v>
      </c>
      <c r="L51" s="49" t="s">
        <v>7</v>
      </c>
      <c r="M51" s="49" t="s">
        <v>7</v>
      </c>
      <c r="N51" s="49" t="s">
        <v>7</v>
      </c>
      <c r="O51" s="49" t="s">
        <v>7</v>
      </c>
      <c r="P51" s="49" t="s">
        <v>7</v>
      </c>
      <c r="Q51" s="49" t="s">
        <v>7</v>
      </c>
      <c r="R51" s="49" t="s">
        <v>7</v>
      </c>
      <c r="S51" s="49" t="s">
        <v>7</v>
      </c>
      <c r="T51" s="49" t="s">
        <v>7</v>
      </c>
      <c r="U51" s="49"/>
      <c r="V51" s="49"/>
      <c r="W51" s="49"/>
      <c r="X51" s="49"/>
      <c r="Y51" s="49"/>
      <c r="Z51" s="49"/>
      <c r="AA51" s="49"/>
      <c r="AB51" s="49"/>
      <c r="AC51" s="49"/>
      <c r="AD51" s="49"/>
      <c r="AE51" s="49"/>
      <c r="AF51" s="49"/>
      <c r="AG51" s="51"/>
      <c r="AH51" s="24"/>
    </row>
    <row r="52" ht="12.75" customHeight="1">
      <c r="A52" s="46" t="s">
        <v>97</v>
      </c>
      <c r="B52" s="51" t="s">
        <v>51</v>
      </c>
      <c r="C52" s="48">
        <v>635.0</v>
      </c>
      <c r="D52" s="49" t="s">
        <v>7</v>
      </c>
      <c r="E52" s="49" t="s">
        <v>7</v>
      </c>
      <c r="F52" s="49" t="s">
        <v>7</v>
      </c>
      <c r="G52" s="49" t="s">
        <v>7</v>
      </c>
      <c r="H52" s="48">
        <v>635.0</v>
      </c>
      <c r="I52" s="49" t="s">
        <v>7</v>
      </c>
      <c r="J52" s="49" t="s">
        <v>7</v>
      </c>
      <c r="K52" s="49" t="s">
        <v>7</v>
      </c>
      <c r="L52" s="49" t="s">
        <v>7</v>
      </c>
      <c r="M52" s="49" t="s">
        <v>7</v>
      </c>
      <c r="N52" s="49" t="s">
        <v>7</v>
      </c>
      <c r="O52" s="49" t="s">
        <v>7</v>
      </c>
      <c r="P52" s="49" t="s">
        <v>7</v>
      </c>
      <c r="Q52" s="49" t="s">
        <v>7</v>
      </c>
      <c r="R52" s="49" t="s">
        <v>7</v>
      </c>
      <c r="S52" s="49" t="s">
        <v>7</v>
      </c>
      <c r="T52" s="49" t="s">
        <v>7</v>
      </c>
      <c r="U52" s="49"/>
      <c r="V52" s="49"/>
      <c r="W52" s="49"/>
      <c r="X52" s="49"/>
      <c r="Y52" s="49"/>
      <c r="Z52" s="49"/>
      <c r="AA52" s="49"/>
      <c r="AB52" s="49"/>
      <c r="AC52" s="49"/>
      <c r="AD52" s="49"/>
      <c r="AE52" s="49"/>
      <c r="AF52" s="49"/>
      <c r="AG52" s="51"/>
      <c r="AH52" s="24"/>
    </row>
    <row r="53" ht="12.75" customHeight="1">
      <c r="A53" s="46" t="s">
        <v>99</v>
      </c>
      <c r="B53" s="51" t="s">
        <v>51</v>
      </c>
      <c r="C53" s="48">
        <v>100.0</v>
      </c>
      <c r="D53" s="49" t="s">
        <v>7</v>
      </c>
      <c r="E53" s="49" t="s">
        <v>7</v>
      </c>
      <c r="F53" s="49" t="s">
        <v>7</v>
      </c>
      <c r="G53" s="49" t="s">
        <v>7</v>
      </c>
      <c r="H53" s="48">
        <v>100.0</v>
      </c>
      <c r="I53" s="49" t="s">
        <v>7</v>
      </c>
      <c r="J53" s="49" t="s">
        <v>7</v>
      </c>
      <c r="K53" s="49" t="s">
        <v>7</v>
      </c>
      <c r="L53" s="49" t="s">
        <v>7</v>
      </c>
      <c r="M53" s="49" t="s">
        <v>7</v>
      </c>
      <c r="N53" s="49" t="s">
        <v>7</v>
      </c>
      <c r="O53" s="49" t="s">
        <v>7</v>
      </c>
      <c r="P53" s="49" t="s">
        <v>7</v>
      </c>
      <c r="Q53" s="49" t="s">
        <v>7</v>
      </c>
      <c r="R53" s="49" t="s">
        <v>7</v>
      </c>
      <c r="S53" s="49" t="s">
        <v>7</v>
      </c>
      <c r="T53" s="49" t="s">
        <v>7</v>
      </c>
      <c r="U53" s="49"/>
      <c r="V53" s="49"/>
      <c r="W53" s="49"/>
      <c r="X53" s="49"/>
      <c r="Y53" s="49"/>
      <c r="Z53" s="49"/>
      <c r="AA53" s="49"/>
      <c r="AB53" s="49"/>
      <c r="AC53" s="49"/>
      <c r="AD53" s="49"/>
      <c r="AE53" s="49"/>
      <c r="AF53" s="49"/>
      <c r="AG53" s="51"/>
      <c r="AH53" s="24"/>
    </row>
    <row r="54" ht="12.75" customHeight="1">
      <c r="A54" s="46" t="s">
        <v>100</v>
      </c>
      <c r="B54" s="51" t="s">
        <v>51</v>
      </c>
      <c r="C54" s="48">
        <v>300.0</v>
      </c>
      <c r="D54" s="49" t="s">
        <v>7</v>
      </c>
      <c r="E54" s="49" t="s">
        <v>7</v>
      </c>
      <c r="F54" s="49" t="s">
        <v>7</v>
      </c>
      <c r="G54" s="49" t="s">
        <v>7</v>
      </c>
      <c r="H54" s="48">
        <v>300.0</v>
      </c>
      <c r="I54" s="49" t="s">
        <v>7</v>
      </c>
      <c r="J54" s="49" t="s">
        <v>7</v>
      </c>
      <c r="K54" s="49" t="s">
        <v>7</v>
      </c>
      <c r="L54" s="49" t="s">
        <v>7</v>
      </c>
      <c r="M54" s="49" t="s">
        <v>7</v>
      </c>
      <c r="N54" s="49" t="s">
        <v>7</v>
      </c>
      <c r="O54" s="49" t="s">
        <v>7</v>
      </c>
      <c r="P54" s="49" t="s">
        <v>7</v>
      </c>
      <c r="Q54" s="49" t="s">
        <v>7</v>
      </c>
      <c r="R54" s="49" t="s">
        <v>7</v>
      </c>
      <c r="S54" s="49" t="s">
        <v>7</v>
      </c>
      <c r="T54" s="49" t="s">
        <v>7</v>
      </c>
      <c r="U54" s="49"/>
      <c r="V54" s="49"/>
      <c r="W54" s="49"/>
      <c r="X54" s="49"/>
      <c r="Y54" s="49"/>
      <c r="Z54" s="49"/>
      <c r="AA54" s="49"/>
      <c r="AB54" s="49"/>
      <c r="AC54" s="49"/>
      <c r="AD54" s="49"/>
      <c r="AE54" s="49"/>
      <c r="AF54" s="49"/>
      <c r="AG54" s="51"/>
      <c r="AH54" s="24"/>
    </row>
    <row r="55" ht="12.75" customHeight="1">
      <c r="A55" s="52" t="s">
        <v>102</v>
      </c>
      <c r="B55" s="58" t="s">
        <v>51</v>
      </c>
      <c r="C55" s="190">
        <v>310.0</v>
      </c>
      <c r="D55" s="55" t="s">
        <v>7</v>
      </c>
      <c r="E55" s="55" t="s">
        <v>7</v>
      </c>
      <c r="F55" s="55" t="s">
        <v>7</v>
      </c>
      <c r="G55" s="55" t="s">
        <v>7</v>
      </c>
      <c r="H55" s="54">
        <v>310.0</v>
      </c>
      <c r="I55" s="55" t="s">
        <v>7</v>
      </c>
      <c r="J55" s="55" t="s">
        <v>7</v>
      </c>
      <c r="K55" s="55" t="s">
        <v>7</v>
      </c>
      <c r="L55" s="55" t="s">
        <v>7</v>
      </c>
      <c r="M55" s="55" t="s">
        <v>7</v>
      </c>
      <c r="N55" s="55" t="s">
        <v>7</v>
      </c>
      <c r="O55" s="55" t="s">
        <v>7</v>
      </c>
      <c r="P55" s="55" t="s">
        <v>7</v>
      </c>
      <c r="Q55" s="55" t="s">
        <v>7</v>
      </c>
      <c r="R55" s="55" t="s">
        <v>7</v>
      </c>
      <c r="S55" s="55" t="s">
        <v>7</v>
      </c>
      <c r="T55" s="55" t="s">
        <v>7</v>
      </c>
      <c r="U55" s="55"/>
      <c r="V55" s="55"/>
      <c r="W55" s="55"/>
      <c r="X55" s="55"/>
      <c r="Y55" s="55"/>
      <c r="Z55" s="55"/>
      <c r="AA55" s="55"/>
      <c r="AB55" s="55"/>
      <c r="AC55" s="55"/>
      <c r="AD55" s="55"/>
      <c r="AE55" s="55"/>
      <c r="AF55" s="55"/>
      <c r="AG55" s="58"/>
      <c r="AH55" s="24"/>
    </row>
    <row r="56" ht="12.75" customHeight="1">
      <c r="A56" s="59" t="s">
        <v>44</v>
      </c>
      <c r="B56" s="60"/>
      <c r="C56" s="192">
        <f>C57+C58</f>
        <v>7350</v>
      </c>
      <c r="D56" s="65" t="s">
        <v>7</v>
      </c>
      <c r="E56" s="65" t="s">
        <v>7</v>
      </c>
      <c r="F56" s="65" t="s">
        <v>7</v>
      </c>
      <c r="G56" s="65" t="s">
        <v>7</v>
      </c>
      <c r="H56" s="67">
        <f>H57+H58</f>
        <v>7461.91</v>
      </c>
      <c r="I56" s="65" t="s">
        <v>7</v>
      </c>
      <c r="J56" s="65" t="s">
        <v>7</v>
      </c>
      <c r="K56" s="65" t="s">
        <v>7</v>
      </c>
      <c r="L56" s="65" t="s">
        <v>7</v>
      </c>
      <c r="M56" s="65" t="s">
        <v>7</v>
      </c>
      <c r="N56" s="65" t="s">
        <v>7</v>
      </c>
      <c r="O56" s="65" t="s">
        <v>7</v>
      </c>
      <c r="P56" s="65" t="s">
        <v>7</v>
      </c>
      <c r="Q56" s="65" t="s">
        <v>7</v>
      </c>
      <c r="R56" s="65" t="s">
        <v>7</v>
      </c>
      <c r="S56" s="65" t="s">
        <v>7</v>
      </c>
      <c r="T56" s="65" t="s">
        <v>7</v>
      </c>
      <c r="U56" s="65"/>
      <c r="V56" s="65"/>
      <c r="W56" s="65"/>
      <c r="X56" s="65"/>
      <c r="Y56" s="65"/>
      <c r="Z56" s="65"/>
      <c r="AA56" s="65"/>
      <c r="AB56" s="65"/>
      <c r="AC56" s="65"/>
      <c r="AD56" s="65"/>
      <c r="AE56" s="65"/>
      <c r="AF56" s="65"/>
      <c r="AG56" s="69"/>
      <c r="AH56" s="24"/>
    </row>
    <row r="57" ht="12.75" customHeight="1">
      <c r="A57" s="46" t="s">
        <v>48</v>
      </c>
      <c r="B57" s="47"/>
      <c r="C57" s="25">
        <v>811.0</v>
      </c>
      <c r="D57" s="49" t="s">
        <v>7</v>
      </c>
      <c r="E57" s="49" t="s">
        <v>7</v>
      </c>
      <c r="F57" s="49" t="s">
        <v>7</v>
      </c>
      <c r="G57" s="49" t="s">
        <v>7</v>
      </c>
      <c r="H57" s="50">
        <v>884.0</v>
      </c>
      <c r="I57" s="49" t="s">
        <v>7</v>
      </c>
      <c r="J57" s="49" t="s">
        <v>7</v>
      </c>
      <c r="K57" s="49" t="s">
        <v>7</v>
      </c>
      <c r="L57" s="49" t="s">
        <v>7</v>
      </c>
      <c r="M57" s="49" t="s">
        <v>7</v>
      </c>
      <c r="N57" s="49" t="s">
        <v>7</v>
      </c>
      <c r="O57" s="49" t="s">
        <v>7</v>
      </c>
      <c r="P57" s="49" t="s">
        <v>7</v>
      </c>
      <c r="Q57" s="49" t="s">
        <v>7</v>
      </c>
      <c r="R57" s="49" t="s">
        <v>7</v>
      </c>
      <c r="S57" s="49" t="s">
        <v>7</v>
      </c>
      <c r="T57" s="49" t="s">
        <v>7</v>
      </c>
      <c r="U57" s="49"/>
      <c r="V57" s="49"/>
      <c r="W57" s="49"/>
      <c r="X57" s="49"/>
      <c r="Y57" s="49"/>
      <c r="Z57" s="49"/>
      <c r="AA57" s="49"/>
      <c r="AB57" s="49"/>
      <c r="AC57" s="49"/>
      <c r="AD57" s="49"/>
      <c r="AE57" s="49"/>
      <c r="AF57" s="49"/>
      <c r="AG57" s="51"/>
      <c r="AH57" s="24"/>
    </row>
    <row r="58" ht="12.75" customHeight="1">
      <c r="A58" s="46" t="s">
        <v>104</v>
      </c>
      <c r="B58" s="47"/>
      <c r="C58" s="195">
        <v>6539.0</v>
      </c>
      <c r="D58" s="49" t="s">
        <v>7</v>
      </c>
      <c r="E58" s="49" t="s">
        <v>7</v>
      </c>
      <c r="F58" s="49" t="s">
        <v>7</v>
      </c>
      <c r="G58" s="49" t="s">
        <v>7</v>
      </c>
      <c r="H58" s="50">
        <v>6577.91</v>
      </c>
      <c r="I58" s="49" t="s">
        <v>7</v>
      </c>
      <c r="J58" s="49" t="s">
        <v>7</v>
      </c>
      <c r="K58" s="49" t="s">
        <v>7</v>
      </c>
      <c r="L58" s="49" t="s">
        <v>7</v>
      </c>
      <c r="M58" s="49" t="s">
        <v>7</v>
      </c>
      <c r="N58" s="49" t="s">
        <v>7</v>
      </c>
      <c r="O58" s="49" t="s">
        <v>7</v>
      </c>
      <c r="P58" s="49" t="s">
        <v>7</v>
      </c>
      <c r="Q58" s="49" t="s">
        <v>7</v>
      </c>
      <c r="R58" s="49" t="s">
        <v>7</v>
      </c>
      <c r="S58" s="49" t="s">
        <v>7</v>
      </c>
      <c r="T58" s="49" t="s">
        <v>7</v>
      </c>
      <c r="U58" s="49"/>
      <c r="V58" s="49"/>
      <c r="W58" s="49"/>
      <c r="X58" s="49"/>
      <c r="Y58" s="49"/>
      <c r="Z58" s="49"/>
      <c r="AA58" s="49"/>
      <c r="AB58" s="49"/>
      <c r="AC58" s="49"/>
      <c r="AD58" s="49"/>
      <c r="AE58" s="49"/>
      <c r="AF58" s="49"/>
      <c r="AG58" s="51"/>
      <c r="AH58" s="24"/>
    </row>
    <row r="59" ht="12.75" customHeight="1">
      <c r="A59" s="74" t="s">
        <v>105</v>
      </c>
      <c r="B59" s="75"/>
      <c r="C59" s="196">
        <v>14400.0</v>
      </c>
      <c r="D59" s="77" t="s">
        <v>7</v>
      </c>
      <c r="E59" s="77" t="s">
        <v>7</v>
      </c>
      <c r="F59" s="77" t="s">
        <v>7</v>
      </c>
      <c r="G59" s="77" t="s">
        <v>7</v>
      </c>
      <c r="H59" s="78">
        <v>15300.0</v>
      </c>
      <c r="I59" s="77" t="s">
        <v>7</v>
      </c>
      <c r="J59" s="77" t="s">
        <v>7</v>
      </c>
      <c r="K59" s="77" t="s">
        <v>7</v>
      </c>
      <c r="L59" s="77" t="s">
        <v>7</v>
      </c>
      <c r="M59" s="77" t="s">
        <v>7</v>
      </c>
      <c r="N59" s="77" t="s">
        <v>7</v>
      </c>
      <c r="O59" s="77" t="s">
        <v>7</v>
      </c>
      <c r="P59" s="77" t="s">
        <v>7</v>
      </c>
      <c r="Q59" s="77" t="s">
        <v>7</v>
      </c>
      <c r="R59" s="77" t="s">
        <v>7</v>
      </c>
      <c r="S59" s="77" t="s">
        <v>7</v>
      </c>
      <c r="T59" s="77" t="s">
        <v>7</v>
      </c>
      <c r="U59" s="77"/>
      <c r="V59" s="77"/>
      <c r="W59" s="77"/>
      <c r="X59" s="77"/>
      <c r="Y59" s="77"/>
      <c r="Z59" s="77"/>
      <c r="AA59" s="77"/>
      <c r="AB59" s="77"/>
      <c r="AC59" s="77"/>
      <c r="AD59" s="77"/>
      <c r="AE59" s="77"/>
      <c r="AF59" s="77"/>
      <c r="AG59" s="81"/>
      <c r="AH59" s="24"/>
    </row>
    <row r="60" ht="12.75" customHeight="1">
      <c r="A60" s="164" t="s">
        <v>106</v>
      </c>
      <c r="B60" s="170"/>
      <c r="C60" s="197">
        <f t="shared" ref="C60:AG60" si="11">SUM(C61:C63)+SUM(C65:C77)</f>
        <v>41230</v>
      </c>
      <c r="D60" s="197">
        <f t="shared" si="11"/>
        <v>40563</v>
      </c>
      <c r="E60" s="197">
        <f t="shared" si="11"/>
        <v>41105</v>
      </c>
      <c r="F60" s="197">
        <f t="shared" si="11"/>
        <v>41179</v>
      </c>
      <c r="G60" s="197">
        <f t="shared" si="11"/>
        <v>41802</v>
      </c>
      <c r="H60" s="197">
        <f t="shared" si="11"/>
        <v>42555</v>
      </c>
      <c r="I60" s="197">
        <f t="shared" si="11"/>
        <v>43622</v>
      </c>
      <c r="J60" s="197">
        <f t="shared" si="11"/>
        <v>45499</v>
      </c>
      <c r="K60" s="197">
        <f t="shared" si="11"/>
        <v>46617</v>
      </c>
      <c r="L60" s="197">
        <f t="shared" si="11"/>
        <v>48422</v>
      </c>
      <c r="M60" s="197">
        <f t="shared" si="11"/>
        <v>47968</v>
      </c>
      <c r="N60" s="197">
        <f t="shared" si="11"/>
        <v>48302</v>
      </c>
      <c r="O60" s="197">
        <f t="shared" si="11"/>
        <v>49297</v>
      </c>
      <c r="P60" s="197">
        <f t="shared" si="11"/>
        <v>49366</v>
      </c>
      <c r="Q60" s="197">
        <f t="shared" si="11"/>
        <v>49275</v>
      </c>
      <c r="R60" s="197">
        <f t="shared" si="11"/>
        <v>49061</v>
      </c>
      <c r="S60" s="197">
        <f t="shared" si="11"/>
        <v>48641</v>
      </c>
      <c r="T60" s="197">
        <f t="shared" si="11"/>
        <v>47903</v>
      </c>
      <c r="U60" s="197">
        <f t="shared" si="11"/>
        <v>47472</v>
      </c>
      <c r="V60" s="197">
        <f t="shared" si="11"/>
        <v>0</v>
      </c>
      <c r="W60" s="197">
        <f t="shared" si="11"/>
        <v>0</v>
      </c>
      <c r="X60" s="197">
        <f t="shared" si="11"/>
        <v>0</v>
      </c>
      <c r="Y60" s="197">
        <f t="shared" si="11"/>
        <v>0</v>
      </c>
      <c r="Z60" s="197">
        <f t="shared" si="11"/>
        <v>0</v>
      </c>
      <c r="AA60" s="197">
        <f t="shared" si="11"/>
        <v>0</v>
      </c>
      <c r="AB60" s="197">
        <f t="shared" si="11"/>
        <v>0</v>
      </c>
      <c r="AC60" s="197">
        <f t="shared" si="11"/>
        <v>0</v>
      </c>
      <c r="AD60" s="197">
        <f t="shared" si="11"/>
        <v>0</v>
      </c>
      <c r="AE60" s="197">
        <f t="shared" si="11"/>
        <v>0</v>
      </c>
      <c r="AF60" s="197">
        <f t="shared" si="11"/>
        <v>0</v>
      </c>
      <c r="AG60" s="199">
        <f t="shared" si="11"/>
        <v>0</v>
      </c>
      <c r="AH60" s="24"/>
    </row>
    <row r="61" ht="12.75" customHeight="1">
      <c r="A61" s="46" t="s">
        <v>75</v>
      </c>
      <c r="B61" s="51" t="s">
        <v>52</v>
      </c>
      <c r="C61" s="84">
        <f>VLOOKUP($A61,'US Census Population Estimates'!$A$20:$AG$266,C$35,FALSE)</f>
        <v>376</v>
      </c>
      <c r="D61" s="84">
        <f>VLOOKUP($A61,'US Census Population Estimates'!$A$20:$AG$266,D$35,FALSE)</f>
        <v>377</v>
      </c>
      <c r="E61" s="84">
        <f>VLOOKUP($A61,'US Census Population Estimates'!$A$20:$AG$266,E$35,FALSE)</f>
        <v>383</v>
      </c>
      <c r="F61" s="84">
        <f>VLOOKUP($A61,'US Census Population Estimates'!$A$20:$AG$266,F$35,FALSE)</f>
        <v>387</v>
      </c>
      <c r="G61" s="84">
        <f>VLOOKUP($A61,'US Census Population Estimates'!$A$20:$AG$266,G$35,FALSE)</f>
        <v>392</v>
      </c>
      <c r="H61" s="84">
        <f>VLOOKUP($A61,'US Census Population Estimates'!$A$20:$AG$266,H$35,FALSE)</f>
        <v>393</v>
      </c>
      <c r="I61" s="84">
        <f>VLOOKUP($A61,'US Census Population Estimates'!$A$20:$AG$266,I$35,FALSE)</f>
        <v>402</v>
      </c>
      <c r="J61" s="84">
        <f>VLOOKUP($A61,'US Census Population Estimates'!$A$20:$AG$266,J$35,FALSE)</f>
        <v>416</v>
      </c>
      <c r="K61" s="84">
        <f>VLOOKUP($A61,'US Census Population Estimates'!$A$20:$AG$266,K$35,FALSE)</f>
        <v>428</v>
      </c>
      <c r="L61" s="84">
        <f>VLOOKUP($A61,'US Census Population Estimates'!$A$20:$AG$266,L$35,FALSE)</f>
        <v>438</v>
      </c>
      <c r="M61" s="84">
        <f>VLOOKUP($A61,'US Census Population Estimates'!$A$20:$AG$266,M$35,FALSE)</f>
        <v>439</v>
      </c>
      <c r="N61" s="84">
        <f>VLOOKUP($A61,'US Census Population Estimates'!$A$20:$AG$266,N$35,FALSE)</f>
        <v>446</v>
      </c>
      <c r="O61" s="84">
        <f>VLOOKUP($A61,'US Census Population Estimates'!$A$20:$AG$266,O$35,FALSE)</f>
        <v>441</v>
      </c>
      <c r="P61" s="84">
        <f>VLOOKUP($A61,'US Census Population Estimates'!$A$20:$AG$266,P$35,FALSE)</f>
        <v>445</v>
      </c>
      <c r="Q61" s="84">
        <f>VLOOKUP($A61,'US Census Population Estimates'!$A$20:$AG$266,Q$35,FALSE)</f>
        <v>447</v>
      </c>
      <c r="R61" s="84">
        <f>VLOOKUP($A61,'US Census Population Estimates'!$A$20:$AG$266,R$35,FALSE)</f>
        <v>439</v>
      </c>
      <c r="S61" s="84">
        <f>VLOOKUP($A61,'US Census Population Estimates'!$A$20:$AG$266,S$35,FALSE)</f>
        <v>440</v>
      </c>
      <c r="T61" s="84">
        <f>VLOOKUP($A61,'US Census Population Estimates'!$A$20:$AG$266,T$35,FALSE)</f>
        <v>428</v>
      </c>
      <c r="U61" s="84">
        <f>VLOOKUP($A61,'US Census Population Estimates'!$A$20:$AG$266,U$35,FALSE)</f>
        <v>418</v>
      </c>
      <c r="V61" s="84" t="str">
        <f>VLOOKUP($A61,'US Census Population Estimates'!$A$20:$AG$266,V$35,FALSE)</f>
        <v/>
      </c>
      <c r="W61" s="84" t="str">
        <f>VLOOKUP($A61,'US Census Population Estimates'!$A$20:$AG$266,W$35,FALSE)</f>
        <v/>
      </c>
      <c r="X61" s="84" t="str">
        <f>VLOOKUP($A61,'US Census Population Estimates'!$A$20:$AG$266,X$35,FALSE)</f>
        <v/>
      </c>
      <c r="Y61" s="84" t="str">
        <f>VLOOKUP($A61,'US Census Population Estimates'!$A$20:$AG$266,Y$35,FALSE)</f>
        <v/>
      </c>
      <c r="Z61" s="84" t="str">
        <f>VLOOKUP($A61,'US Census Population Estimates'!$A$20:$AG$266,Z$35,FALSE)</f>
        <v/>
      </c>
      <c r="AA61" s="84" t="str">
        <f>VLOOKUP($A61,'US Census Population Estimates'!$A$20:$AG$266,AA$35,FALSE)</f>
        <v/>
      </c>
      <c r="AB61" s="84" t="str">
        <f>VLOOKUP($A61,'US Census Population Estimates'!$A$20:$AG$266,AB$35,FALSE)</f>
        <v/>
      </c>
      <c r="AC61" s="84" t="str">
        <f>VLOOKUP($A61,'US Census Population Estimates'!$A$20:$AG$266,AC$35,FALSE)</f>
        <v/>
      </c>
      <c r="AD61" s="84" t="str">
        <f>VLOOKUP($A61,'US Census Population Estimates'!$A$20:$AG$266,AD$35,FALSE)</f>
        <v/>
      </c>
      <c r="AE61" s="84" t="str">
        <f>VLOOKUP($A61,'US Census Population Estimates'!$A$20:$AG$266,AE$35,FALSE)</f>
        <v/>
      </c>
      <c r="AF61" s="84" t="str">
        <f>VLOOKUP($A61,'US Census Population Estimates'!$A$20:$AG$266,AF$35,FALSE)</f>
        <v/>
      </c>
      <c r="AG61" s="88" t="str">
        <f>VLOOKUP($A61,'US Census Population Estimates'!$A$20:$AG$266,AG$35,FALSE)</f>
        <v/>
      </c>
      <c r="AH61" s="24"/>
    </row>
    <row r="62" ht="12.75" customHeight="1">
      <c r="A62" s="46" t="s">
        <v>110</v>
      </c>
      <c r="B62" s="51" t="s">
        <v>52</v>
      </c>
      <c r="C62" s="84">
        <f>VLOOKUP($A62,'US Census Population Estimates'!$A$20:$AG$266,C$35,FALSE)</f>
        <v>1965</v>
      </c>
      <c r="D62" s="84">
        <f>VLOOKUP($A62,'US Census Population Estimates'!$A$20:$AG$266,D$35,FALSE)</f>
        <v>1940</v>
      </c>
      <c r="E62" s="84">
        <f>VLOOKUP($A62,'US Census Population Estimates'!$A$20:$AG$266,E$35,FALSE)</f>
        <v>1958</v>
      </c>
      <c r="F62" s="84">
        <f>VLOOKUP($A62,'US Census Population Estimates'!$A$20:$AG$266,F$35,FALSE)</f>
        <v>1948</v>
      </c>
      <c r="G62" s="84">
        <f>VLOOKUP($A62,'US Census Population Estimates'!$A$20:$AG$266,G$35,FALSE)</f>
        <v>1947</v>
      </c>
      <c r="H62" s="84">
        <f>VLOOKUP($A62,'US Census Population Estimates'!$A$20:$AG$266,H$35,FALSE)</f>
        <v>1950</v>
      </c>
      <c r="I62" s="84">
        <f>VLOOKUP($A62,'US Census Population Estimates'!$A$20:$AG$266,I$35,FALSE)</f>
        <v>1973</v>
      </c>
      <c r="J62" s="84">
        <f>VLOOKUP($A62,'US Census Population Estimates'!$A$20:$AG$266,J$35,FALSE)</f>
        <v>2020</v>
      </c>
      <c r="K62" s="84">
        <f>VLOOKUP($A62,'US Census Population Estimates'!$A$20:$AG$266,K$35,FALSE)</f>
        <v>2064</v>
      </c>
      <c r="L62" s="84">
        <f>VLOOKUP($A62,'US Census Population Estimates'!$A$20:$AG$266,L$35,FALSE)</f>
        <v>2109</v>
      </c>
      <c r="M62" s="84">
        <f>VLOOKUP($A62,'US Census Population Estimates'!$A$20:$AG$266,M$35,FALSE)</f>
        <v>2101</v>
      </c>
      <c r="N62" s="84">
        <f>VLOOKUP($A62,'US Census Population Estimates'!$A$20:$AG$266,N$35,FALSE)</f>
        <v>2086</v>
      </c>
      <c r="O62" s="84">
        <f>VLOOKUP($A62,'US Census Population Estimates'!$A$20:$AG$266,O$35,FALSE)</f>
        <v>2095</v>
      </c>
      <c r="P62" s="84">
        <f>VLOOKUP($A62,'US Census Population Estimates'!$A$20:$AG$266,P$35,FALSE)</f>
        <v>2092</v>
      </c>
      <c r="Q62" s="84">
        <f>VLOOKUP($A62,'US Census Population Estimates'!$A$20:$AG$266,Q$35,FALSE)</f>
        <v>2081</v>
      </c>
      <c r="R62" s="84">
        <f>VLOOKUP($A62,'US Census Population Estimates'!$A$20:$AG$266,R$35,FALSE)</f>
        <v>2081</v>
      </c>
      <c r="S62" s="84">
        <f>VLOOKUP($A62,'US Census Population Estimates'!$A$20:$AG$266,S$35,FALSE)</f>
        <v>2080</v>
      </c>
      <c r="T62" s="84">
        <f>VLOOKUP($A62,'US Census Population Estimates'!$A$20:$AG$266,T$35,FALSE)</f>
        <v>2067</v>
      </c>
      <c r="U62" s="84">
        <f>VLOOKUP($A62,'US Census Population Estimates'!$A$20:$AG$266,U$35,FALSE)</f>
        <v>2065</v>
      </c>
      <c r="V62" s="84" t="str">
        <f>VLOOKUP($A62,'US Census Population Estimates'!$A$20:$AG$266,V$35,FALSE)</f>
        <v/>
      </c>
      <c r="W62" s="84" t="str">
        <f>VLOOKUP($A62,'US Census Population Estimates'!$A$20:$AG$266,W$35,FALSE)</f>
        <v/>
      </c>
      <c r="X62" s="84" t="str">
        <f>VLOOKUP($A62,'US Census Population Estimates'!$A$20:$AG$266,X$35,FALSE)</f>
        <v/>
      </c>
      <c r="Y62" s="84" t="str">
        <f>VLOOKUP($A62,'US Census Population Estimates'!$A$20:$AG$266,Y$35,FALSE)</f>
        <v/>
      </c>
      <c r="Z62" s="84" t="str">
        <f>VLOOKUP($A62,'US Census Population Estimates'!$A$20:$AG$266,Z$35,FALSE)</f>
        <v/>
      </c>
      <c r="AA62" s="84" t="str">
        <f>VLOOKUP($A62,'US Census Population Estimates'!$A$20:$AG$266,AA$35,FALSE)</f>
        <v/>
      </c>
      <c r="AB62" s="84" t="str">
        <f>VLOOKUP($A62,'US Census Population Estimates'!$A$20:$AG$266,AB$35,FALSE)</f>
        <v/>
      </c>
      <c r="AC62" s="84" t="str">
        <f>VLOOKUP($A62,'US Census Population Estimates'!$A$20:$AG$266,AC$35,FALSE)</f>
        <v/>
      </c>
      <c r="AD62" s="84" t="str">
        <f>VLOOKUP($A62,'US Census Population Estimates'!$A$20:$AG$266,AD$35,FALSE)</f>
        <v/>
      </c>
      <c r="AE62" s="84" t="str">
        <f>VLOOKUP($A62,'US Census Population Estimates'!$A$20:$AG$266,AE$35,FALSE)</f>
        <v/>
      </c>
      <c r="AF62" s="84" t="str">
        <f>VLOOKUP($A62,'US Census Population Estimates'!$A$20:$AG$266,AF$35,FALSE)</f>
        <v/>
      </c>
      <c r="AG62" s="88" t="str">
        <f>VLOOKUP($A62,'US Census Population Estimates'!$A$20:$AG$266,AG$35,FALSE)</f>
        <v/>
      </c>
      <c r="AH62" s="24"/>
    </row>
    <row r="63" ht="12.75" customHeight="1">
      <c r="A63" s="46" t="s">
        <v>112</v>
      </c>
      <c r="B63" s="51" t="s">
        <v>52</v>
      </c>
      <c r="C63" s="84">
        <f>VLOOKUP($A63,'US Census Population Estimates'!$A$20:$AG$266,C$35,FALSE)</f>
        <v>1192</v>
      </c>
      <c r="D63" s="84">
        <f>VLOOKUP($A63,'US Census Population Estimates'!$A$20:$AG$266,D$35,FALSE)</f>
        <v>1177</v>
      </c>
      <c r="E63" s="84">
        <f>VLOOKUP($A63,'US Census Population Estimates'!$A$20:$AG$266,E$35,FALSE)</f>
        <v>1189</v>
      </c>
      <c r="F63" s="84">
        <f>VLOOKUP($A63,'US Census Population Estimates'!$A$20:$AG$266,F$35,FALSE)</f>
        <v>1183</v>
      </c>
      <c r="G63" s="84">
        <f>VLOOKUP($A63,'US Census Population Estimates'!$A$20:$AG$266,G$35,FALSE)</f>
        <v>1183</v>
      </c>
      <c r="H63" s="84">
        <f>VLOOKUP($A63,'US Census Population Estimates'!$A$20:$AG$266,H$35,FALSE)</f>
        <v>1184</v>
      </c>
      <c r="I63" s="84">
        <f>VLOOKUP($A63,'US Census Population Estimates'!$A$20:$AG$266,I$35,FALSE)</f>
        <v>1198</v>
      </c>
      <c r="J63" s="84">
        <f>VLOOKUP($A63,'US Census Population Estimates'!$A$20:$AG$266,J$35,FALSE)</f>
        <v>1227</v>
      </c>
      <c r="K63" s="84">
        <f>VLOOKUP($A63,'US Census Population Estimates'!$A$20:$AG$266,K$35,FALSE)</f>
        <v>1255</v>
      </c>
      <c r="L63" s="84">
        <f>VLOOKUP($A63,'US Census Population Estimates'!$A$20:$AG$266,L$35,FALSE)</f>
        <v>1282</v>
      </c>
      <c r="M63" s="84">
        <f>VLOOKUP($A63,'US Census Population Estimates'!$A$20:$AG$266,M$35,FALSE)</f>
        <v>1294</v>
      </c>
      <c r="N63" s="84">
        <f>VLOOKUP($A63,'US Census Population Estimates'!$A$20:$AG$266,N$35,FALSE)</f>
        <v>1294</v>
      </c>
      <c r="O63" s="84">
        <f>VLOOKUP($A63,'US Census Population Estimates'!$A$20:$AG$266,O$35,FALSE)</f>
        <v>1312</v>
      </c>
      <c r="P63" s="84">
        <f>VLOOKUP($A63,'US Census Population Estimates'!$A$20:$AG$266,P$35,FALSE)</f>
        <v>1310</v>
      </c>
      <c r="Q63" s="84">
        <f>VLOOKUP($A63,'US Census Population Estimates'!$A$20:$AG$266,Q$35,FALSE)</f>
        <v>1300</v>
      </c>
      <c r="R63" s="84">
        <f>VLOOKUP($A63,'US Census Population Estimates'!$A$20:$AG$266,R$35,FALSE)</f>
        <v>1290</v>
      </c>
      <c r="S63" s="84">
        <f>VLOOKUP($A63,'US Census Population Estimates'!$A$20:$AG$266,S$35,FALSE)</f>
        <v>1282</v>
      </c>
      <c r="T63" s="84">
        <f>VLOOKUP($A63,'US Census Population Estimates'!$A$20:$AG$266,T$35,FALSE)</f>
        <v>1261</v>
      </c>
      <c r="U63" s="84">
        <f>VLOOKUP($A63,'US Census Population Estimates'!$A$20:$AG$266,U$35,FALSE)</f>
        <v>1240</v>
      </c>
      <c r="V63" s="84" t="str">
        <f>VLOOKUP($A63,'US Census Population Estimates'!$A$20:$AG$266,V$35,FALSE)</f>
        <v/>
      </c>
      <c r="W63" s="84" t="str">
        <f>VLOOKUP($A63,'US Census Population Estimates'!$A$20:$AG$266,W$35,FALSE)</f>
        <v/>
      </c>
      <c r="X63" s="84" t="str">
        <f>VLOOKUP($A63,'US Census Population Estimates'!$A$20:$AG$266,X$35,FALSE)</f>
        <v/>
      </c>
      <c r="Y63" s="84" t="str">
        <f>VLOOKUP($A63,'US Census Population Estimates'!$A$20:$AG$266,Y$35,FALSE)</f>
        <v/>
      </c>
      <c r="Z63" s="84" t="str">
        <f>VLOOKUP($A63,'US Census Population Estimates'!$A$20:$AG$266,Z$35,FALSE)</f>
        <v/>
      </c>
      <c r="AA63" s="84" t="str">
        <f>VLOOKUP($A63,'US Census Population Estimates'!$A$20:$AG$266,AA$35,FALSE)</f>
        <v/>
      </c>
      <c r="AB63" s="84" t="str">
        <f>VLOOKUP($A63,'US Census Population Estimates'!$A$20:$AG$266,AB$35,FALSE)</f>
        <v/>
      </c>
      <c r="AC63" s="84" t="str">
        <f>VLOOKUP($A63,'US Census Population Estimates'!$A$20:$AG$266,AC$35,FALSE)</f>
        <v/>
      </c>
      <c r="AD63" s="84" t="str">
        <f>VLOOKUP($A63,'US Census Population Estimates'!$A$20:$AG$266,AD$35,FALSE)</f>
        <v/>
      </c>
      <c r="AE63" s="84" t="str">
        <f>VLOOKUP($A63,'US Census Population Estimates'!$A$20:$AG$266,AE$35,FALSE)</f>
        <v/>
      </c>
      <c r="AF63" s="84" t="str">
        <f>VLOOKUP($A63,'US Census Population Estimates'!$A$20:$AG$266,AF$35,FALSE)</f>
        <v/>
      </c>
      <c r="AG63" s="88" t="str">
        <f>VLOOKUP($A63,'US Census Population Estimates'!$A$20:$AG$266,AG$35,FALSE)</f>
        <v/>
      </c>
      <c r="AH63" s="24"/>
    </row>
    <row r="64" ht="12.75" customHeight="1">
      <c r="A64" s="46" t="s">
        <v>81</v>
      </c>
      <c r="B64" s="51" t="s">
        <v>52</v>
      </c>
      <c r="C64" s="84">
        <f>VLOOKUP($A64,'US Census Population Estimates'!$A$20:$AG$266,C$35,FALSE)</f>
        <v>53474</v>
      </c>
      <c r="D64" s="84">
        <f>VLOOKUP($A64,'US Census Population Estimates'!$A$20:$AG$266,D$35,FALSE)</f>
        <v>53934</v>
      </c>
      <c r="E64" s="84">
        <f>VLOOKUP($A64,'US Census Population Estimates'!$A$20:$AG$266,E$35,FALSE)</f>
        <v>54332</v>
      </c>
      <c r="F64" s="84">
        <f>VLOOKUP($A64,'US Census Population Estimates'!$A$20:$AG$266,F$35,FALSE)</f>
        <v>54852</v>
      </c>
      <c r="G64" s="84">
        <f>VLOOKUP($A64,'US Census Population Estimates'!$A$20:$AG$266,G$35,FALSE)</f>
        <v>55693</v>
      </c>
      <c r="H64" s="84">
        <f>VLOOKUP($A64,'US Census Population Estimates'!$A$20:$AG$266,H$35,FALSE)</f>
        <v>55845</v>
      </c>
      <c r="I64" s="84">
        <f>VLOOKUP($A64,'US Census Population Estimates'!$A$20:$AG$266,I$35,FALSE)</f>
        <v>56468</v>
      </c>
      <c r="J64" s="84">
        <f>VLOOKUP($A64,'US Census Population Estimates'!$A$20:$AG$266,J$35,FALSE)</f>
        <v>56958</v>
      </c>
      <c r="K64" s="84">
        <f>VLOOKUP($A64,'US Census Population Estimates'!$A$20:$AG$266,K$35,FALSE)</f>
        <v>57829</v>
      </c>
      <c r="L64" s="84">
        <f>VLOOKUP($A64,'US Census Population Estimates'!$A$20:$AG$266,L$35,FALSE)</f>
        <v>58658</v>
      </c>
      <c r="M64" s="84">
        <f>VLOOKUP($A64,'US Census Population Estimates'!$A$20:$AG$266,M$35,FALSE)</f>
        <v>59884</v>
      </c>
      <c r="N64" s="84">
        <f>VLOOKUP($A64,'US Census Population Estimates'!$A$20:$AG$266,N$35,FALSE)</f>
        <v>60299</v>
      </c>
      <c r="O64" s="84">
        <f>VLOOKUP($A64,'US Census Population Estimates'!$A$20:$AG$266,O$35,FALSE)</f>
        <v>61555</v>
      </c>
      <c r="P64" s="84">
        <f>VLOOKUP($A64,'US Census Population Estimates'!$A$20:$AG$266,P$35,FALSE)</f>
        <v>62245</v>
      </c>
      <c r="Q64" s="84">
        <f>VLOOKUP($A64,'US Census Population Estimates'!$A$20:$AG$266,Q$35,FALSE)</f>
        <v>62440</v>
      </c>
      <c r="R64" s="84">
        <f>VLOOKUP($A64,'US Census Population Estimates'!$A$20:$AG$266,R$35,FALSE)</f>
        <v>63026</v>
      </c>
      <c r="S64" s="84">
        <f>VLOOKUP($A64,'US Census Population Estimates'!$A$20:$AG$266,S$35,FALSE)</f>
        <v>63601</v>
      </c>
      <c r="T64" s="84">
        <f>VLOOKUP($A64,'US Census Population Estimates'!$A$20:$AG$266,T$35,FALSE)</f>
        <v>63624</v>
      </c>
      <c r="U64" s="84">
        <f>VLOOKUP($A64,'US Census Population Estimates'!$A$20:$AG$266,U$35,FALSE)</f>
        <v>63957</v>
      </c>
      <c r="V64" s="84" t="str">
        <f>VLOOKUP($A64,'US Census Population Estimates'!$A$20:$AG$266,V$35,FALSE)</f>
        <v/>
      </c>
      <c r="W64" s="84" t="str">
        <f>VLOOKUP($A64,'US Census Population Estimates'!$A$20:$AG$266,W$35,FALSE)</f>
        <v/>
      </c>
      <c r="X64" s="84" t="str">
        <f>VLOOKUP($A64,'US Census Population Estimates'!$A$20:$AG$266,X$35,FALSE)</f>
        <v/>
      </c>
      <c r="Y64" s="84" t="str">
        <f>VLOOKUP($A64,'US Census Population Estimates'!$A$20:$AG$266,Y$35,FALSE)</f>
        <v/>
      </c>
      <c r="Z64" s="84" t="str">
        <f>VLOOKUP($A64,'US Census Population Estimates'!$A$20:$AG$266,Z$35,FALSE)</f>
        <v/>
      </c>
      <c r="AA64" s="84" t="str">
        <f>VLOOKUP($A64,'US Census Population Estimates'!$A$20:$AG$266,AA$35,FALSE)</f>
        <v/>
      </c>
      <c r="AB64" s="84" t="str">
        <f>VLOOKUP($A64,'US Census Population Estimates'!$A$20:$AG$266,AB$35,FALSE)</f>
        <v/>
      </c>
      <c r="AC64" s="84" t="str">
        <f>VLOOKUP($A64,'US Census Population Estimates'!$A$20:$AG$266,AC$35,FALSE)</f>
        <v/>
      </c>
      <c r="AD64" s="84" t="str">
        <f>VLOOKUP($A64,'US Census Population Estimates'!$A$20:$AG$266,AD$35,FALSE)</f>
        <v/>
      </c>
      <c r="AE64" s="84" t="str">
        <f>VLOOKUP($A64,'US Census Population Estimates'!$A$20:$AG$266,AE$35,FALSE)</f>
        <v/>
      </c>
      <c r="AF64" s="84" t="str">
        <f>VLOOKUP($A64,'US Census Population Estimates'!$A$20:$AG$266,AF$35,FALSE)</f>
        <v/>
      </c>
      <c r="AG64" s="88" t="str">
        <f>VLOOKUP($A64,'US Census Population Estimates'!$A$20:$AG$266,AG$35,FALSE)</f>
        <v/>
      </c>
      <c r="AH64" s="24"/>
    </row>
    <row r="65" ht="12.75" customHeight="1">
      <c r="A65" s="46" t="s">
        <v>83</v>
      </c>
      <c r="B65" s="51" t="s">
        <v>52</v>
      </c>
      <c r="C65" s="84">
        <f>VLOOKUP($A65,'US Census Population Estimates'!$A$20:$AG$266,C$35,FALSE)</f>
        <v>85</v>
      </c>
      <c r="D65" s="84">
        <f>VLOOKUP($A65,'US Census Population Estimates'!$A$20:$AG$266,D$35,FALSE)</f>
        <v>85</v>
      </c>
      <c r="E65" s="84">
        <f>VLOOKUP($A65,'US Census Population Estimates'!$A$20:$AG$266,E$35,FALSE)</f>
        <v>86</v>
      </c>
      <c r="F65" s="84">
        <f>VLOOKUP($A65,'US Census Population Estimates'!$A$20:$AG$266,F$35,FALSE)</f>
        <v>87</v>
      </c>
      <c r="G65" s="84">
        <f>VLOOKUP($A65,'US Census Population Estimates'!$A$20:$AG$266,G$35,FALSE)</f>
        <v>87</v>
      </c>
      <c r="H65" s="84">
        <f>VLOOKUP($A65,'US Census Population Estimates'!$A$20:$AG$266,H$35,FALSE)</f>
        <v>88</v>
      </c>
      <c r="I65" s="84">
        <f>VLOOKUP($A65,'US Census Population Estimates'!$A$20:$AG$266,I$35,FALSE)</f>
        <v>89</v>
      </c>
      <c r="J65" s="84">
        <f>VLOOKUP($A65,'US Census Population Estimates'!$A$20:$AG$266,J$35,FALSE)</f>
        <v>92</v>
      </c>
      <c r="K65" s="84">
        <f>VLOOKUP($A65,'US Census Population Estimates'!$A$20:$AG$266,K$35,FALSE)</f>
        <v>95</v>
      </c>
      <c r="L65" s="84">
        <f>VLOOKUP($A65,'US Census Population Estimates'!$A$20:$AG$266,L$35,FALSE)</f>
        <v>97</v>
      </c>
      <c r="M65" s="84">
        <f>VLOOKUP($A65,'US Census Population Estimates'!$A$20:$AG$266,M$35,FALSE)</f>
        <v>97</v>
      </c>
      <c r="N65" s="84">
        <f>VLOOKUP($A65,'US Census Population Estimates'!$A$20:$AG$266,N$35,FALSE)</f>
        <v>98</v>
      </c>
      <c r="O65" s="84">
        <f>VLOOKUP($A65,'US Census Population Estimates'!$A$20:$AG$266,O$35,FALSE)</f>
        <v>97</v>
      </c>
      <c r="P65" s="84">
        <f>VLOOKUP($A65,'US Census Population Estimates'!$A$20:$AG$266,P$35,FALSE)</f>
        <v>99</v>
      </c>
      <c r="Q65" s="84">
        <f>VLOOKUP($A65,'US Census Population Estimates'!$A$20:$AG$266,Q$35,FALSE)</f>
        <v>99</v>
      </c>
      <c r="R65" s="84">
        <f>VLOOKUP($A65,'US Census Population Estimates'!$A$20:$AG$266,R$35,FALSE)</f>
        <v>98</v>
      </c>
      <c r="S65" s="84">
        <f>VLOOKUP($A65,'US Census Population Estimates'!$A$20:$AG$266,S$35,FALSE)</f>
        <v>99</v>
      </c>
      <c r="T65" s="84">
        <f>VLOOKUP($A65,'US Census Population Estimates'!$A$20:$AG$266,T$35,FALSE)</f>
        <v>97</v>
      </c>
      <c r="U65" s="84">
        <f>VLOOKUP($A65,'US Census Population Estimates'!$A$20:$AG$266,U$35,FALSE)</f>
        <v>95</v>
      </c>
      <c r="V65" s="84" t="str">
        <f>VLOOKUP($A65,'US Census Population Estimates'!$A$20:$AG$266,V$35,FALSE)</f>
        <v/>
      </c>
      <c r="W65" s="84" t="str">
        <f>VLOOKUP($A65,'US Census Population Estimates'!$A$20:$AG$266,W$35,FALSE)</f>
        <v/>
      </c>
      <c r="X65" s="84" t="str">
        <f>VLOOKUP($A65,'US Census Population Estimates'!$A$20:$AG$266,X$35,FALSE)</f>
        <v/>
      </c>
      <c r="Y65" s="84" t="str">
        <f>VLOOKUP($A65,'US Census Population Estimates'!$A$20:$AG$266,Y$35,FALSE)</f>
        <v/>
      </c>
      <c r="Z65" s="84" t="str">
        <f>VLOOKUP($A65,'US Census Population Estimates'!$A$20:$AG$266,Z$35,FALSE)</f>
        <v/>
      </c>
      <c r="AA65" s="84" t="str">
        <f>VLOOKUP($A65,'US Census Population Estimates'!$A$20:$AG$266,AA$35,FALSE)</f>
        <v/>
      </c>
      <c r="AB65" s="84" t="str">
        <f>VLOOKUP($A65,'US Census Population Estimates'!$A$20:$AG$266,AB$35,FALSE)</f>
        <v/>
      </c>
      <c r="AC65" s="84" t="str">
        <f>VLOOKUP($A65,'US Census Population Estimates'!$A$20:$AG$266,AC$35,FALSE)</f>
        <v/>
      </c>
      <c r="AD65" s="84" t="str">
        <f>VLOOKUP($A65,'US Census Population Estimates'!$A$20:$AG$266,AD$35,FALSE)</f>
        <v/>
      </c>
      <c r="AE65" s="84" t="str">
        <f>VLOOKUP($A65,'US Census Population Estimates'!$A$20:$AG$266,AE$35,FALSE)</f>
        <v/>
      </c>
      <c r="AF65" s="84" t="str">
        <f>VLOOKUP($A65,'US Census Population Estimates'!$A$20:$AG$266,AF$35,FALSE)</f>
        <v/>
      </c>
      <c r="AG65" s="88" t="str">
        <f>VLOOKUP($A65,'US Census Population Estimates'!$A$20:$AG$266,AG$35,FALSE)</f>
        <v/>
      </c>
      <c r="AH65" s="24"/>
    </row>
    <row r="66" ht="12.75" customHeight="1">
      <c r="A66" s="46" t="s">
        <v>84</v>
      </c>
      <c r="B66" s="51" t="s">
        <v>52</v>
      </c>
      <c r="C66" s="84">
        <f>VLOOKUP($A66,'US Census Population Estimates'!$A$20:$AG$266,C$35,FALSE)</f>
        <v>145</v>
      </c>
      <c r="D66" s="84">
        <f>VLOOKUP($A66,'US Census Population Estimates'!$A$20:$AG$266,D$35,FALSE)</f>
        <v>139</v>
      </c>
      <c r="E66" s="84">
        <f>VLOOKUP($A66,'US Census Population Estimates'!$A$20:$AG$266,E$35,FALSE)</f>
        <v>139</v>
      </c>
      <c r="F66" s="84">
        <f>VLOOKUP($A66,'US Census Population Estimates'!$A$20:$AG$266,F$35,FALSE)</f>
        <v>136</v>
      </c>
      <c r="G66" s="84">
        <f>VLOOKUP($A66,'US Census Population Estimates'!$A$20:$AG$266,G$35,FALSE)</f>
        <v>135</v>
      </c>
      <c r="H66" s="84">
        <f>VLOOKUP($A66,'US Census Population Estimates'!$A$20:$AG$266,H$35,FALSE)</f>
        <v>135</v>
      </c>
      <c r="I66" s="84">
        <f>VLOOKUP($A66,'US Census Population Estimates'!$A$20:$AG$266,I$35,FALSE)</f>
        <v>136</v>
      </c>
      <c r="J66" s="84">
        <f>VLOOKUP($A66,'US Census Population Estimates'!$A$20:$AG$266,J$35,FALSE)</f>
        <v>139</v>
      </c>
      <c r="K66" s="84">
        <f>VLOOKUP($A66,'US Census Population Estimates'!$A$20:$AG$266,K$35,FALSE)</f>
        <v>139</v>
      </c>
      <c r="L66" s="84">
        <f>VLOOKUP($A66,'US Census Population Estimates'!$A$20:$AG$266,L$35,FALSE)</f>
        <v>142</v>
      </c>
      <c r="M66" s="84">
        <f>VLOOKUP($A66,'US Census Population Estimates'!$A$20:$AG$266,M$35,FALSE)</f>
        <v>138</v>
      </c>
      <c r="N66" s="84">
        <f>VLOOKUP($A66,'US Census Population Estimates'!$A$20:$AG$266,N$35,FALSE)</f>
        <v>138</v>
      </c>
      <c r="O66" s="84">
        <f>VLOOKUP($A66,'US Census Population Estimates'!$A$20:$AG$266,O$35,FALSE)</f>
        <v>142</v>
      </c>
      <c r="P66" s="84">
        <f>VLOOKUP($A66,'US Census Population Estimates'!$A$20:$AG$266,P$35,FALSE)</f>
        <v>142</v>
      </c>
      <c r="Q66" s="84">
        <f>VLOOKUP($A66,'US Census Population Estimates'!$A$20:$AG$266,Q$35,FALSE)</f>
        <v>140</v>
      </c>
      <c r="R66" s="84">
        <f>VLOOKUP($A66,'US Census Population Estimates'!$A$20:$AG$266,R$35,FALSE)</f>
        <v>138</v>
      </c>
      <c r="S66" s="84">
        <f>VLOOKUP($A66,'US Census Population Estimates'!$A$20:$AG$266,S$35,FALSE)</f>
        <v>136</v>
      </c>
      <c r="T66" s="84">
        <f>VLOOKUP($A66,'US Census Population Estimates'!$A$20:$AG$266,T$35,FALSE)</f>
        <v>133</v>
      </c>
      <c r="U66" s="84">
        <f>VLOOKUP($A66,'US Census Population Estimates'!$A$20:$AG$266,U$35,FALSE)</f>
        <v>131</v>
      </c>
      <c r="V66" s="84" t="str">
        <f>VLOOKUP($A66,'US Census Population Estimates'!$A$20:$AG$266,V$35,FALSE)</f>
        <v/>
      </c>
      <c r="W66" s="84" t="str">
        <f>VLOOKUP($A66,'US Census Population Estimates'!$A$20:$AG$266,W$35,FALSE)</f>
        <v/>
      </c>
      <c r="X66" s="84" t="str">
        <f>VLOOKUP($A66,'US Census Population Estimates'!$A$20:$AG$266,X$35,FALSE)</f>
        <v/>
      </c>
      <c r="Y66" s="84" t="str">
        <f>VLOOKUP($A66,'US Census Population Estimates'!$A$20:$AG$266,Y$35,FALSE)</f>
        <v/>
      </c>
      <c r="Z66" s="84" t="str">
        <f>VLOOKUP($A66,'US Census Population Estimates'!$A$20:$AG$266,Z$35,FALSE)</f>
        <v/>
      </c>
      <c r="AA66" s="84" t="str">
        <f>VLOOKUP($A66,'US Census Population Estimates'!$A$20:$AG$266,AA$35,FALSE)</f>
        <v/>
      </c>
      <c r="AB66" s="84" t="str">
        <f>VLOOKUP($A66,'US Census Population Estimates'!$A$20:$AG$266,AB$35,FALSE)</f>
        <v/>
      </c>
      <c r="AC66" s="84" t="str">
        <f>VLOOKUP($A66,'US Census Population Estimates'!$A$20:$AG$266,AC$35,FALSE)</f>
        <v/>
      </c>
      <c r="AD66" s="84" t="str">
        <f>VLOOKUP($A66,'US Census Population Estimates'!$A$20:$AG$266,AD$35,FALSE)</f>
        <v/>
      </c>
      <c r="AE66" s="84" t="str">
        <f>VLOOKUP($A66,'US Census Population Estimates'!$A$20:$AG$266,AE$35,FALSE)</f>
        <v/>
      </c>
      <c r="AF66" s="84" t="str">
        <f>VLOOKUP($A66,'US Census Population Estimates'!$A$20:$AG$266,AF$35,FALSE)</f>
        <v/>
      </c>
      <c r="AG66" s="88" t="str">
        <f>VLOOKUP($A66,'US Census Population Estimates'!$A$20:$AG$266,AG$35,FALSE)</f>
        <v/>
      </c>
      <c r="AH66" s="24"/>
    </row>
    <row r="67" ht="12.75" customHeight="1">
      <c r="A67" s="46" t="s">
        <v>85</v>
      </c>
      <c r="B67" s="51" t="s">
        <v>52</v>
      </c>
      <c r="C67" s="84">
        <f>VLOOKUP($A67,'US Census Population Estimates'!$A$20:$AG$266,C$35,FALSE)</f>
        <v>2657</v>
      </c>
      <c r="D67" s="84">
        <f>VLOOKUP($A67,'US Census Population Estimates'!$A$20:$AG$266,D$35,FALSE)</f>
        <v>2608</v>
      </c>
      <c r="E67" s="84">
        <f>VLOOKUP($A67,'US Census Population Estimates'!$A$20:$AG$266,E$35,FALSE)</f>
        <v>2575</v>
      </c>
      <c r="F67" s="84">
        <f>VLOOKUP($A67,'US Census Population Estimates'!$A$20:$AG$266,F$35,FALSE)</f>
        <v>2561</v>
      </c>
      <c r="G67" s="84">
        <f>VLOOKUP($A67,'US Census Population Estimates'!$A$20:$AG$266,G$35,FALSE)</f>
        <v>2574</v>
      </c>
      <c r="H67" s="84">
        <f>VLOOKUP($A67,'US Census Population Estimates'!$A$20:$AG$266,H$35,FALSE)</f>
        <v>2579</v>
      </c>
      <c r="I67" s="84">
        <f>VLOOKUP($A67,'US Census Population Estimates'!$A$20:$AG$266,I$35,FALSE)</f>
        <v>2603</v>
      </c>
      <c r="J67" s="84">
        <f>VLOOKUP($A67,'US Census Population Estimates'!$A$20:$AG$266,J$35,FALSE)</f>
        <v>2640</v>
      </c>
      <c r="K67" s="84">
        <f>VLOOKUP($A67,'US Census Population Estimates'!$A$20:$AG$266,K$35,FALSE)</f>
        <v>2679</v>
      </c>
      <c r="L67" s="84">
        <f>VLOOKUP($A67,'US Census Population Estimates'!$A$20:$AG$266,L$35,FALSE)</f>
        <v>2692</v>
      </c>
      <c r="M67" s="84">
        <f>VLOOKUP($A67,'US Census Population Estimates'!$A$20:$AG$266,M$35,FALSE)</f>
        <v>2650</v>
      </c>
      <c r="N67" s="84">
        <f>VLOOKUP($A67,'US Census Population Estimates'!$A$20:$AG$266,N$35,FALSE)</f>
        <v>2639</v>
      </c>
      <c r="O67" s="84">
        <f>VLOOKUP($A67,'US Census Population Estimates'!$A$20:$AG$266,O$35,FALSE)</f>
        <v>2629</v>
      </c>
      <c r="P67" s="84">
        <f>VLOOKUP($A67,'US Census Population Estimates'!$A$20:$AG$266,P$35,FALSE)</f>
        <v>2687</v>
      </c>
      <c r="Q67" s="84">
        <f>VLOOKUP($A67,'US Census Population Estimates'!$A$20:$AG$266,Q$35,FALSE)</f>
        <v>2726</v>
      </c>
      <c r="R67" s="84">
        <f>VLOOKUP($A67,'US Census Population Estimates'!$A$20:$AG$266,R$35,FALSE)</f>
        <v>2732</v>
      </c>
      <c r="S67" s="84">
        <f>VLOOKUP($A67,'US Census Population Estimates'!$A$20:$AG$266,S$35,FALSE)</f>
        <v>2757</v>
      </c>
      <c r="T67" s="84">
        <f>VLOOKUP($A67,'US Census Population Estimates'!$A$20:$AG$266,T$35,FALSE)</f>
        <v>2747</v>
      </c>
      <c r="U67" s="84">
        <f>VLOOKUP($A67,'US Census Population Estimates'!$A$20:$AG$266,U$35,FALSE)</f>
        <v>2734</v>
      </c>
      <c r="V67" s="84" t="str">
        <f>VLOOKUP($A67,'US Census Population Estimates'!$A$20:$AG$266,V$35,FALSE)</f>
        <v/>
      </c>
      <c r="W67" s="84" t="str">
        <f>VLOOKUP($A67,'US Census Population Estimates'!$A$20:$AG$266,W$35,FALSE)</f>
        <v/>
      </c>
      <c r="X67" s="84" t="str">
        <f>VLOOKUP($A67,'US Census Population Estimates'!$A$20:$AG$266,X$35,FALSE)</f>
        <v/>
      </c>
      <c r="Y67" s="84" t="str">
        <f>VLOOKUP($A67,'US Census Population Estimates'!$A$20:$AG$266,Y$35,FALSE)</f>
        <v/>
      </c>
      <c r="Z67" s="84" t="str">
        <f>VLOOKUP($A67,'US Census Population Estimates'!$A$20:$AG$266,Z$35,FALSE)</f>
        <v/>
      </c>
      <c r="AA67" s="84" t="str">
        <f>VLOOKUP($A67,'US Census Population Estimates'!$A$20:$AG$266,AA$35,FALSE)</f>
        <v/>
      </c>
      <c r="AB67" s="84" t="str">
        <f>VLOOKUP($A67,'US Census Population Estimates'!$A$20:$AG$266,AB$35,FALSE)</f>
        <v/>
      </c>
      <c r="AC67" s="84" t="str">
        <f>VLOOKUP($A67,'US Census Population Estimates'!$A$20:$AG$266,AC$35,FALSE)</f>
        <v/>
      </c>
      <c r="AD67" s="84" t="str">
        <f>VLOOKUP($A67,'US Census Population Estimates'!$A$20:$AG$266,AD$35,FALSE)</f>
        <v/>
      </c>
      <c r="AE67" s="84" t="str">
        <f>VLOOKUP($A67,'US Census Population Estimates'!$A$20:$AG$266,AE$35,FALSE)</f>
        <v/>
      </c>
      <c r="AF67" s="84" t="str">
        <f>VLOOKUP($A67,'US Census Population Estimates'!$A$20:$AG$266,AF$35,FALSE)</f>
        <v/>
      </c>
      <c r="AG67" s="88" t="str">
        <f>VLOOKUP($A67,'US Census Population Estimates'!$A$20:$AG$266,AG$35,FALSE)</f>
        <v/>
      </c>
      <c r="AH67" s="24"/>
    </row>
    <row r="68" ht="12.75" customHeight="1">
      <c r="A68" s="46" t="s">
        <v>88</v>
      </c>
      <c r="B68" s="51" t="s">
        <v>52</v>
      </c>
      <c r="C68" s="84">
        <f>VLOOKUP($A68,'US Census Population Estimates'!$A$20:$AG$266,C$35,FALSE)</f>
        <v>705</v>
      </c>
      <c r="D68" s="84">
        <f>VLOOKUP($A68,'US Census Population Estimates'!$A$20:$AG$266,D$35,FALSE)</f>
        <v>695</v>
      </c>
      <c r="E68" s="84">
        <f>VLOOKUP($A68,'US Census Population Estimates'!$A$20:$AG$266,E$35,FALSE)</f>
        <v>690</v>
      </c>
      <c r="F68" s="84">
        <f>VLOOKUP($A68,'US Census Population Estimates'!$A$20:$AG$266,F$35,FALSE)</f>
        <v>689</v>
      </c>
      <c r="G68" s="84">
        <f>VLOOKUP($A68,'US Census Population Estimates'!$A$20:$AG$266,G$35,FALSE)</f>
        <v>695</v>
      </c>
      <c r="H68" s="84">
        <f>VLOOKUP($A68,'US Census Population Estimates'!$A$20:$AG$266,H$35,FALSE)</f>
        <v>700</v>
      </c>
      <c r="I68" s="84">
        <f>VLOOKUP($A68,'US Census Population Estimates'!$A$20:$AG$266,I$35,FALSE)</f>
        <v>710</v>
      </c>
      <c r="J68" s="84">
        <f>VLOOKUP($A68,'US Census Population Estimates'!$A$20:$AG$266,J$35,FALSE)</f>
        <v>723</v>
      </c>
      <c r="K68" s="84">
        <f>VLOOKUP($A68,'US Census Population Estimates'!$A$20:$AG$266,K$35,FALSE)</f>
        <v>738</v>
      </c>
      <c r="L68" s="84">
        <f>VLOOKUP($A68,'US Census Population Estimates'!$A$20:$AG$266,L$35,FALSE)</f>
        <v>745</v>
      </c>
      <c r="M68" s="84">
        <f>VLOOKUP($A68,'US Census Population Estimates'!$A$20:$AG$266,M$35,FALSE)</f>
        <v>737</v>
      </c>
      <c r="N68" s="84">
        <f>VLOOKUP($A68,'US Census Population Estimates'!$A$20:$AG$266,N$35,FALSE)</f>
        <v>734</v>
      </c>
      <c r="O68" s="84">
        <f>VLOOKUP($A68,'US Census Population Estimates'!$A$20:$AG$266,O$35,FALSE)</f>
        <v>730</v>
      </c>
      <c r="P68" s="84">
        <f>VLOOKUP($A68,'US Census Population Estimates'!$A$20:$AG$266,P$35,FALSE)</f>
        <v>744</v>
      </c>
      <c r="Q68" s="84">
        <f>VLOOKUP($A68,'US Census Population Estimates'!$A$20:$AG$266,Q$35,FALSE)</f>
        <v>754</v>
      </c>
      <c r="R68" s="84">
        <f>VLOOKUP($A68,'US Census Population Estimates'!$A$20:$AG$266,R$35,FALSE)</f>
        <v>755</v>
      </c>
      <c r="S68" s="84">
        <f>VLOOKUP($A68,'US Census Population Estimates'!$A$20:$AG$266,S$35,FALSE)</f>
        <v>760</v>
      </c>
      <c r="T68" s="84">
        <f>VLOOKUP($A68,'US Census Population Estimates'!$A$20:$AG$266,T$35,FALSE)</f>
        <v>758</v>
      </c>
      <c r="U68" s="84">
        <f>VLOOKUP($A68,'US Census Population Estimates'!$A$20:$AG$266,U$35,FALSE)</f>
        <v>754</v>
      </c>
      <c r="V68" s="84" t="str">
        <f>VLOOKUP($A68,'US Census Population Estimates'!$A$20:$AG$266,V$35,FALSE)</f>
        <v/>
      </c>
      <c r="W68" s="84" t="str">
        <f>VLOOKUP($A68,'US Census Population Estimates'!$A$20:$AG$266,W$35,FALSE)</f>
        <v/>
      </c>
      <c r="X68" s="84" t="str">
        <f>VLOOKUP($A68,'US Census Population Estimates'!$A$20:$AG$266,X$35,FALSE)</f>
        <v/>
      </c>
      <c r="Y68" s="84" t="str">
        <f>VLOOKUP($A68,'US Census Population Estimates'!$A$20:$AG$266,Y$35,FALSE)</f>
        <v/>
      </c>
      <c r="Z68" s="84" t="str">
        <f>VLOOKUP($A68,'US Census Population Estimates'!$A$20:$AG$266,Z$35,FALSE)</f>
        <v/>
      </c>
      <c r="AA68" s="84" t="str">
        <f>VLOOKUP($A68,'US Census Population Estimates'!$A$20:$AG$266,AA$35,FALSE)</f>
        <v/>
      </c>
      <c r="AB68" s="84" t="str">
        <f>VLOOKUP($A68,'US Census Population Estimates'!$A$20:$AG$266,AB$35,FALSE)</f>
        <v/>
      </c>
      <c r="AC68" s="84" t="str">
        <f>VLOOKUP($A68,'US Census Population Estimates'!$A$20:$AG$266,AC$35,FALSE)</f>
        <v/>
      </c>
      <c r="AD68" s="84" t="str">
        <f>VLOOKUP($A68,'US Census Population Estimates'!$A$20:$AG$266,AD$35,FALSE)</f>
        <v/>
      </c>
      <c r="AE68" s="84" t="str">
        <f>VLOOKUP($A68,'US Census Population Estimates'!$A$20:$AG$266,AE$35,FALSE)</f>
        <v/>
      </c>
      <c r="AF68" s="84" t="str">
        <f>VLOOKUP($A68,'US Census Population Estimates'!$A$20:$AG$266,AF$35,FALSE)</f>
        <v/>
      </c>
      <c r="AG68" s="88" t="str">
        <f>VLOOKUP($A68,'US Census Population Estimates'!$A$20:$AG$266,AG$35,FALSE)</f>
        <v/>
      </c>
      <c r="AH68" s="24"/>
    </row>
    <row r="69" ht="12.75" customHeight="1">
      <c r="A69" s="46" t="s">
        <v>90</v>
      </c>
      <c r="B69" s="51" t="s">
        <v>52</v>
      </c>
      <c r="C69" s="84">
        <f>VLOOKUP($A69,'US Census Population Estimates'!$A$20:$AG$266,C$35,FALSE)</f>
        <v>464</v>
      </c>
      <c r="D69" s="84">
        <f>VLOOKUP($A69,'US Census Population Estimates'!$A$20:$AG$266,D$35,FALSE)</f>
        <v>464</v>
      </c>
      <c r="E69" s="84">
        <f>VLOOKUP($A69,'US Census Population Estimates'!$A$20:$AG$266,E$35,FALSE)</f>
        <v>467</v>
      </c>
      <c r="F69" s="84">
        <f>VLOOKUP($A69,'US Census Population Estimates'!$A$20:$AG$266,F$35,FALSE)</f>
        <v>473</v>
      </c>
      <c r="G69" s="84">
        <f>VLOOKUP($A69,'US Census Population Estimates'!$A$20:$AG$266,G$35,FALSE)</f>
        <v>484</v>
      </c>
      <c r="H69" s="84">
        <f>VLOOKUP($A69,'US Census Population Estimates'!$A$20:$AG$266,H$35,FALSE)</f>
        <v>494</v>
      </c>
      <c r="I69" s="84">
        <f>VLOOKUP($A69,'US Census Population Estimates'!$A$20:$AG$266,I$35,FALSE)</f>
        <v>507</v>
      </c>
      <c r="J69" s="84">
        <f>VLOOKUP($A69,'US Census Population Estimates'!$A$20:$AG$266,J$35,FALSE)</f>
        <v>523</v>
      </c>
      <c r="K69" s="84">
        <f>VLOOKUP($A69,'US Census Population Estimates'!$A$20:$AG$266,K$35,FALSE)</f>
        <v>540</v>
      </c>
      <c r="L69" s="84">
        <f>VLOOKUP($A69,'US Census Population Estimates'!$A$20:$AG$266,L$35,FALSE)</f>
        <v>552</v>
      </c>
      <c r="M69" s="84">
        <f>VLOOKUP($A69,'US Census Population Estimates'!$A$20:$AG$266,M$35,FALSE)</f>
        <v>552</v>
      </c>
      <c r="N69" s="84">
        <f>VLOOKUP($A69,'US Census Population Estimates'!$A$20:$AG$266,N$35,FALSE)</f>
        <v>546</v>
      </c>
      <c r="O69" s="84">
        <f>VLOOKUP($A69,'US Census Population Estimates'!$A$20:$AG$266,O$35,FALSE)</f>
        <v>543</v>
      </c>
      <c r="P69" s="84">
        <f>VLOOKUP($A69,'US Census Population Estimates'!$A$20:$AG$266,P$35,FALSE)</f>
        <v>553</v>
      </c>
      <c r="Q69" s="84">
        <f>VLOOKUP($A69,'US Census Population Estimates'!$A$20:$AG$266,Q$35,FALSE)</f>
        <v>560</v>
      </c>
      <c r="R69" s="84">
        <f>VLOOKUP($A69,'US Census Population Estimates'!$A$20:$AG$266,R$35,FALSE)</f>
        <v>561</v>
      </c>
      <c r="S69" s="84">
        <f>VLOOKUP($A69,'US Census Population Estimates'!$A$20:$AG$266,S$35,FALSE)</f>
        <v>565</v>
      </c>
      <c r="T69" s="84">
        <f>VLOOKUP($A69,'US Census Population Estimates'!$A$20:$AG$266,T$35,FALSE)</f>
        <v>562</v>
      </c>
      <c r="U69" s="84">
        <f>VLOOKUP($A69,'US Census Population Estimates'!$A$20:$AG$266,U$35,FALSE)</f>
        <v>561</v>
      </c>
      <c r="V69" s="84" t="str">
        <f>VLOOKUP($A69,'US Census Population Estimates'!$A$20:$AG$266,V$35,FALSE)</f>
        <v/>
      </c>
      <c r="W69" s="84" t="str">
        <f>VLOOKUP($A69,'US Census Population Estimates'!$A$20:$AG$266,W$35,FALSE)</f>
        <v/>
      </c>
      <c r="X69" s="84" t="str">
        <f>VLOOKUP($A69,'US Census Population Estimates'!$A$20:$AG$266,X$35,FALSE)</f>
        <v/>
      </c>
      <c r="Y69" s="84" t="str">
        <f>VLOOKUP($A69,'US Census Population Estimates'!$A$20:$AG$266,Y$35,FALSE)</f>
        <v/>
      </c>
      <c r="Z69" s="84" t="str">
        <f>VLOOKUP($A69,'US Census Population Estimates'!$A$20:$AG$266,Z$35,FALSE)</f>
        <v/>
      </c>
      <c r="AA69" s="84" t="str">
        <f>VLOOKUP($A69,'US Census Population Estimates'!$A$20:$AG$266,AA$35,FALSE)</f>
        <v/>
      </c>
      <c r="AB69" s="84" t="str">
        <f>VLOOKUP($A69,'US Census Population Estimates'!$A$20:$AG$266,AB$35,FALSE)</f>
        <v/>
      </c>
      <c r="AC69" s="84" t="str">
        <f>VLOOKUP($A69,'US Census Population Estimates'!$A$20:$AG$266,AC$35,FALSE)</f>
        <v/>
      </c>
      <c r="AD69" s="84" t="str">
        <f>VLOOKUP($A69,'US Census Population Estimates'!$A$20:$AG$266,AD$35,FALSE)</f>
        <v/>
      </c>
      <c r="AE69" s="84" t="str">
        <f>VLOOKUP($A69,'US Census Population Estimates'!$A$20:$AG$266,AE$35,FALSE)</f>
        <v/>
      </c>
      <c r="AF69" s="84" t="str">
        <f>VLOOKUP($A69,'US Census Population Estimates'!$A$20:$AG$266,AF$35,FALSE)</f>
        <v/>
      </c>
      <c r="AG69" s="88" t="str">
        <f>VLOOKUP($A69,'US Census Population Estimates'!$A$20:$AG$266,AG$35,FALSE)</f>
        <v/>
      </c>
      <c r="AH69" s="24"/>
    </row>
    <row r="70" ht="12.75" customHeight="1">
      <c r="A70" s="46" t="s">
        <v>92</v>
      </c>
      <c r="B70" s="51" t="s">
        <v>52</v>
      </c>
      <c r="C70" s="84">
        <f>VLOOKUP($A70,'US Census Population Estimates'!$A$20:$AG$266,C$35,FALSE)</f>
        <v>1430</v>
      </c>
      <c r="D70" s="84">
        <f>VLOOKUP($A70,'US Census Population Estimates'!$A$20:$AG$266,D$35,FALSE)</f>
        <v>1407</v>
      </c>
      <c r="E70" s="84">
        <f>VLOOKUP($A70,'US Census Population Estimates'!$A$20:$AG$266,E$35,FALSE)</f>
        <v>1452</v>
      </c>
      <c r="F70" s="84">
        <f>VLOOKUP($A70,'US Census Population Estimates'!$A$20:$AG$266,F$35,FALSE)</f>
        <v>1484</v>
      </c>
      <c r="G70" s="84">
        <f>VLOOKUP($A70,'US Census Population Estimates'!$A$20:$AG$266,G$35,FALSE)</f>
        <v>1535</v>
      </c>
      <c r="H70" s="84">
        <f>VLOOKUP($A70,'US Census Population Estimates'!$A$20:$AG$266,H$35,FALSE)</f>
        <v>1599</v>
      </c>
      <c r="I70" s="84">
        <f>VLOOKUP($A70,'US Census Population Estimates'!$A$20:$AG$266,I$35,FALSE)</f>
        <v>1663</v>
      </c>
      <c r="J70" s="84">
        <f>VLOOKUP($A70,'US Census Population Estimates'!$A$20:$AG$266,J$35,FALSE)</f>
        <v>1810</v>
      </c>
      <c r="K70" s="84">
        <f>VLOOKUP($A70,'US Census Population Estimates'!$A$20:$AG$266,K$35,FALSE)</f>
        <v>1922</v>
      </c>
      <c r="L70" s="84">
        <f>VLOOKUP($A70,'US Census Population Estimates'!$A$20:$AG$266,L$35,FALSE)</f>
        <v>2029</v>
      </c>
      <c r="M70" s="84">
        <f>VLOOKUP($A70,'US Census Population Estimates'!$A$20:$AG$266,M$35,FALSE)</f>
        <v>2027</v>
      </c>
      <c r="N70" s="84">
        <f>VLOOKUP($A70,'US Census Population Estimates'!$A$20:$AG$266,N$35,FALSE)</f>
        <v>2009</v>
      </c>
      <c r="O70" s="84">
        <f>VLOOKUP($A70,'US Census Population Estimates'!$A$20:$AG$266,O$35,FALSE)</f>
        <v>2059</v>
      </c>
      <c r="P70" s="84">
        <f>VLOOKUP($A70,'US Census Population Estimates'!$A$20:$AG$266,P$35,FALSE)</f>
        <v>1990</v>
      </c>
      <c r="Q70" s="84">
        <f>VLOOKUP($A70,'US Census Population Estimates'!$A$20:$AG$266,Q$35,FALSE)</f>
        <v>1970</v>
      </c>
      <c r="R70" s="84">
        <f>VLOOKUP($A70,'US Census Population Estimates'!$A$20:$AG$266,R$35,FALSE)</f>
        <v>1946</v>
      </c>
      <c r="S70" s="84">
        <f>VLOOKUP($A70,'US Census Population Estimates'!$A$20:$AG$266,S$35,FALSE)</f>
        <v>1931</v>
      </c>
      <c r="T70" s="84">
        <f>VLOOKUP($A70,'US Census Population Estimates'!$A$20:$AG$266,T$35,FALSE)</f>
        <v>1890</v>
      </c>
      <c r="U70" s="84">
        <f>VLOOKUP($A70,'US Census Population Estimates'!$A$20:$AG$266,U$35,FALSE)</f>
        <v>1878</v>
      </c>
      <c r="V70" s="84" t="str">
        <f>VLOOKUP($A70,'US Census Population Estimates'!$A$20:$AG$266,V$35,FALSE)</f>
        <v/>
      </c>
      <c r="W70" s="84" t="str">
        <f>VLOOKUP($A70,'US Census Population Estimates'!$A$20:$AG$266,W$35,FALSE)</f>
        <v/>
      </c>
      <c r="X70" s="84" t="str">
        <f>VLOOKUP($A70,'US Census Population Estimates'!$A$20:$AG$266,X$35,FALSE)</f>
        <v/>
      </c>
      <c r="Y70" s="84" t="str">
        <f>VLOOKUP($A70,'US Census Population Estimates'!$A$20:$AG$266,Y$35,FALSE)</f>
        <v/>
      </c>
      <c r="Z70" s="84" t="str">
        <f>VLOOKUP($A70,'US Census Population Estimates'!$A$20:$AG$266,Z$35,FALSE)</f>
        <v/>
      </c>
      <c r="AA70" s="84" t="str">
        <f>VLOOKUP($A70,'US Census Population Estimates'!$A$20:$AG$266,AA$35,FALSE)</f>
        <v/>
      </c>
      <c r="AB70" s="84" t="str">
        <f>VLOOKUP($A70,'US Census Population Estimates'!$A$20:$AG$266,AB$35,FALSE)</f>
        <v/>
      </c>
      <c r="AC70" s="84" t="str">
        <f>VLOOKUP($A70,'US Census Population Estimates'!$A$20:$AG$266,AC$35,FALSE)</f>
        <v/>
      </c>
      <c r="AD70" s="84" t="str">
        <f>VLOOKUP($A70,'US Census Population Estimates'!$A$20:$AG$266,AD$35,FALSE)</f>
        <v/>
      </c>
      <c r="AE70" s="84" t="str">
        <f>VLOOKUP($A70,'US Census Population Estimates'!$A$20:$AG$266,AE$35,FALSE)</f>
        <v/>
      </c>
      <c r="AF70" s="84" t="str">
        <f>VLOOKUP($A70,'US Census Population Estimates'!$A$20:$AG$266,AF$35,FALSE)</f>
        <v/>
      </c>
      <c r="AG70" s="88" t="str">
        <f>VLOOKUP($A70,'US Census Population Estimates'!$A$20:$AG$266,AG$35,FALSE)</f>
        <v/>
      </c>
      <c r="AH70" s="24"/>
    </row>
    <row r="71" ht="12.75" customHeight="1">
      <c r="A71" s="46" t="s">
        <v>93</v>
      </c>
      <c r="B71" s="51" t="s">
        <v>52</v>
      </c>
      <c r="C71" s="84">
        <f>VLOOKUP($A71,'US Census Population Estimates'!$A$20:$AG$266,C$35,FALSE)</f>
        <v>18670</v>
      </c>
      <c r="D71" s="84">
        <f>VLOOKUP($A71,'US Census Population Estimates'!$A$20:$AG$266,D$35,FALSE)</f>
        <v>18471</v>
      </c>
      <c r="E71" s="84">
        <f>VLOOKUP($A71,'US Census Population Estimates'!$A$20:$AG$266,E$35,FALSE)</f>
        <v>18861</v>
      </c>
      <c r="F71" s="84">
        <f>VLOOKUP($A71,'US Census Population Estimates'!$A$20:$AG$266,F$35,FALSE)</f>
        <v>18988</v>
      </c>
      <c r="G71" s="84">
        <f>VLOOKUP($A71,'US Census Population Estimates'!$A$20:$AG$266,G$35,FALSE)</f>
        <v>19400</v>
      </c>
      <c r="H71" s="84">
        <f>VLOOKUP($A71,'US Census Population Estimates'!$A$20:$AG$266,H$35,FALSE)</f>
        <v>19881</v>
      </c>
      <c r="I71" s="84">
        <f>VLOOKUP($A71,'US Census Population Estimates'!$A$20:$AG$266,I$35,FALSE)</f>
        <v>20509</v>
      </c>
      <c r="J71" s="84">
        <f>VLOOKUP($A71,'US Census Population Estimates'!$A$20:$AG$266,J$35,FALSE)</f>
        <v>21509</v>
      </c>
      <c r="K71" s="84">
        <f>VLOOKUP($A71,'US Census Population Estimates'!$A$20:$AG$266,K$35,FALSE)</f>
        <v>22083</v>
      </c>
      <c r="L71" s="84">
        <f>VLOOKUP($A71,'US Census Population Estimates'!$A$20:$AG$266,L$35,FALSE)</f>
        <v>23122</v>
      </c>
      <c r="M71" s="84">
        <f>VLOOKUP($A71,'US Census Population Estimates'!$A$20:$AG$266,M$35,FALSE)</f>
        <v>22985</v>
      </c>
      <c r="N71" s="84">
        <f>VLOOKUP($A71,'US Census Population Estimates'!$A$20:$AG$266,N$35,FALSE)</f>
        <v>23329</v>
      </c>
      <c r="O71" s="84">
        <f>VLOOKUP($A71,'US Census Population Estimates'!$A$20:$AG$266,O$35,FALSE)</f>
        <v>23914</v>
      </c>
      <c r="P71" s="84">
        <f>VLOOKUP($A71,'US Census Population Estimates'!$A$20:$AG$266,P$35,FALSE)</f>
        <v>24052</v>
      </c>
      <c r="Q71" s="84">
        <f>VLOOKUP($A71,'US Census Population Estimates'!$A$20:$AG$266,Q$35,FALSE)</f>
        <v>23961</v>
      </c>
      <c r="R71" s="84">
        <f>VLOOKUP($A71,'US Census Population Estimates'!$A$20:$AG$266,R$35,FALSE)</f>
        <v>23971</v>
      </c>
      <c r="S71" s="84">
        <f>VLOOKUP($A71,'US Census Population Estimates'!$A$20:$AG$266,S$35,FALSE)</f>
        <v>23736</v>
      </c>
      <c r="T71" s="84">
        <f>VLOOKUP($A71,'US Census Population Estimates'!$A$20:$AG$266,T$35,FALSE)</f>
        <v>23350</v>
      </c>
      <c r="U71" s="84">
        <f>VLOOKUP($A71,'US Census Population Estimates'!$A$20:$AG$266,U$35,FALSE)</f>
        <v>23082</v>
      </c>
      <c r="V71" s="84" t="str">
        <f>VLOOKUP($A71,'US Census Population Estimates'!$A$20:$AG$266,V$35,FALSE)</f>
        <v/>
      </c>
      <c r="W71" s="84" t="str">
        <f>VLOOKUP($A71,'US Census Population Estimates'!$A$20:$AG$266,W$35,FALSE)</f>
        <v/>
      </c>
      <c r="X71" s="84" t="str">
        <f>VLOOKUP($A71,'US Census Population Estimates'!$A$20:$AG$266,X$35,FALSE)</f>
        <v/>
      </c>
      <c r="Y71" s="84" t="str">
        <f>VLOOKUP($A71,'US Census Population Estimates'!$A$20:$AG$266,Y$35,FALSE)</f>
        <v/>
      </c>
      <c r="Z71" s="84" t="str">
        <f>VLOOKUP($A71,'US Census Population Estimates'!$A$20:$AG$266,Z$35,FALSE)</f>
        <v/>
      </c>
      <c r="AA71" s="84" t="str">
        <f>VLOOKUP($A71,'US Census Population Estimates'!$A$20:$AG$266,AA$35,FALSE)</f>
        <v/>
      </c>
      <c r="AB71" s="84" t="str">
        <f>VLOOKUP($A71,'US Census Population Estimates'!$A$20:$AG$266,AB$35,FALSE)</f>
        <v/>
      </c>
      <c r="AC71" s="84" t="str">
        <f>VLOOKUP($A71,'US Census Population Estimates'!$A$20:$AG$266,AC$35,FALSE)</f>
        <v/>
      </c>
      <c r="AD71" s="84" t="str">
        <f>VLOOKUP($A71,'US Census Population Estimates'!$A$20:$AG$266,AD$35,FALSE)</f>
        <v/>
      </c>
      <c r="AE71" s="84" t="str">
        <f>VLOOKUP($A71,'US Census Population Estimates'!$A$20:$AG$266,AE$35,FALSE)</f>
        <v/>
      </c>
      <c r="AF71" s="84" t="str">
        <f>VLOOKUP($A71,'US Census Population Estimates'!$A$20:$AG$266,AF$35,FALSE)</f>
        <v/>
      </c>
      <c r="AG71" s="88" t="str">
        <f>VLOOKUP($A71,'US Census Population Estimates'!$A$20:$AG$266,AG$35,FALSE)</f>
        <v/>
      </c>
      <c r="AH71" s="24"/>
    </row>
    <row r="72" ht="12.75" customHeight="1">
      <c r="A72" s="46" t="s">
        <v>95</v>
      </c>
      <c r="B72" s="51" t="s">
        <v>52</v>
      </c>
      <c r="C72" s="84">
        <f>VLOOKUP($A72,'US Census Population Estimates'!$A$20:$AG$266,C$35,FALSE)</f>
        <v>11745</v>
      </c>
      <c r="D72" s="84">
        <f>VLOOKUP($A72,'US Census Population Estimates'!$A$20:$AG$266,D$35,FALSE)</f>
        <v>11423</v>
      </c>
      <c r="E72" s="84">
        <f>VLOOKUP($A72,'US Census Population Estimates'!$A$20:$AG$266,E$35,FALSE)</f>
        <v>11470</v>
      </c>
      <c r="F72" s="84">
        <f>VLOOKUP($A72,'US Census Population Estimates'!$A$20:$AG$266,F$35,FALSE)</f>
        <v>11366</v>
      </c>
      <c r="G72" s="84">
        <f>VLOOKUP($A72,'US Census Population Estimates'!$A$20:$AG$266,G$35,FALSE)</f>
        <v>11428</v>
      </c>
      <c r="H72" s="84">
        <f>VLOOKUP($A72,'US Census Population Estimates'!$A$20:$AG$266,H$35,FALSE)</f>
        <v>11532</v>
      </c>
      <c r="I72" s="84">
        <f>VLOOKUP($A72,'US Census Population Estimates'!$A$20:$AG$266,I$35,FALSE)</f>
        <v>11728</v>
      </c>
      <c r="J72" s="84">
        <f>VLOOKUP($A72,'US Census Population Estimates'!$A$20:$AG$266,J$35,FALSE)</f>
        <v>12130</v>
      </c>
      <c r="K72" s="84">
        <f>VLOOKUP($A72,'US Census Population Estimates'!$A$20:$AG$266,K$35,FALSE)</f>
        <v>12282</v>
      </c>
      <c r="L72" s="84">
        <f>VLOOKUP($A72,'US Census Population Estimates'!$A$20:$AG$266,L$35,FALSE)</f>
        <v>12691</v>
      </c>
      <c r="M72" s="84">
        <f>VLOOKUP($A72,'US Census Population Estimates'!$A$20:$AG$266,M$35,FALSE)</f>
        <v>12396</v>
      </c>
      <c r="N72" s="84">
        <f>VLOOKUP($A72,'US Census Population Estimates'!$A$20:$AG$266,N$35,FALSE)</f>
        <v>12442</v>
      </c>
      <c r="O72" s="84">
        <f>VLOOKUP($A72,'US Census Population Estimates'!$A$20:$AG$266,O$35,FALSE)</f>
        <v>12709</v>
      </c>
      <c r="P72" s="84">
        <f>VLOOKUP($A72,'US Census Population Estimates'!$A$20:$AG$266,P$35,FALSE)</f>
        <v>12652</v>
      </c>
      <c r="Q72" s="84">
        <f>VLOOKUP($A72,'US Census Population Estimates'!$A$20:$AG$266,Q$35,FALSE)</f>
        <v>12584</v>
      </c>
      <c r="R72" s="84">
        <f>VLOOKUP($A72,'US Census Population Estimates'!$A$20:$AG$266,R$35,FALSE)</f>
        <v>12428</v>
      </c>
      <c r="S72" s="84">
        <f>VLOOKUP($A72,'US Census Population Estimates'!$A$20:$AG$266,S$35,FALSE)</f>
        <v>12255</v>
      </c>
      <c r="T72" s="84">
        <f>VLOOKUP($A72,'US Census Population Estimates'!$A$20:$AG$266,T$35,FALSE)</f>
        <v>12070</v>
      </c>
      <c r="U72" s="84">
        <f>VLOOKUP($A72,'US Census Population Estimates'!$A$20:$AG$266,U$35,FALSE)</f>
        <v>11978</v>
      </c>
      <c r="V72" s="84" t="str">
        <f>VLOOKUP($A72,'US Census Population Estimates'!$A$20:$AG$266,V$35,FALSE)</f>
        <v/>
      </c>
      <c r="W72" s="84" t="str">
        <f>VLOOKUP($A72,'US Census Population Estimates'!$A$20:$AG$266,W$35,FALSE)</f>
        <v/>
      </c>
      <c r="X72" s="84" t="str">
        <f>VLOOKUP($A72,'US Census Population Estimates'!$A$20:$AG$266,X$35,FALSE)</f>
        <v/>
      </c>
      <c r="Y72" s="84" t="str">
        <f>VLOOKUP($A72,'US Census Population Estimates'!$A$20:$AG$266,Y$35,FALSE)</f>
        <v/>
      </c>
      <c r="Z72" s="84" t="str">
        <f>VLOOKUP($A72,'US Census Population Estimates'!$A$20:$AG$266,Z$35,FALSE)</f>
        <v/>
      </c>
      <c r="AA72" s="84" t="str">
        <f>VLOOKUP($A72,'US Census Population Estimates'!$A$20:$AG$266,AA$35,FALSE)</f>
        <v/>
      </c>
      <c r="AB72" s="84" t="str">
        <f>VLOOKUP($A72,'US Census Population Estimates'!$A$20:$AG$266,AB$35,FALSE)</f>
        <v/>
      </c>
      <c r="AC72" s="84" t="str">
        <f>VLOOKUP($A72,'US Census Population Estimates'!$A$20:$AG$266,AC$35,FALSE)</f>
        <v/>
      </c>
      <c r="AD72" s="84" t="str">
        <f>VLOOKUP($A72,'US Census Population Estimates'!$A$20:$AG$266,AD$35,FALSE)</f>
        <v/>
      </c>
      <c r="AE72" s="84" t="str">
        <f>VLOOKUP($A72,'US Census Population Estimates'!$A$20:$AG$266,AE$35,FALSE)</f>
        <v/>
      </c>
      <c r="AF72" s="84" t="str">
        <f>VLOOKUP($A72,'US Census Population Estimates'!$A$20:$AG$266,AF$35,FALSE)</f>
        <v/>
      </c>
      <c r="AG72" s="88" t="str">
        <f>VLOOKUP($A72,'US Census Population Estimates'!$A$20:$AG$266,AG$35,FALSE)</f>
        <v/>
      </c>
      <c r="AH72" s="24"/>
    </row>
    <row r="73" ht="12.75" customHeight="1">
      <c r="A73" s="46" t="s">
        <v>96</v>
      </c>
      <c r="B73" s="51" t="s">
        <v>51</v>
      </c>
      <c r="C73" s="84">
        <f>VLOOKUP($A73,'US Census Population Estimates'!$A$20:$AG$266,C$35,FALSE)</f>
        <v>407</v>
      </c>
      <c r="D73" s="84">
        <f>VLOOKUP($A73,'US Census Population Estimates'!$A$20:$AG$266,D$35,FALSE)</f>
        <v>396</v>
      </c>
      <c r="E73" s="84">
        <f>VLOOKUP($A73,'US Census Population Estimates'!$A$20:$AG$266,E$35,FALSE)</f>
        <v>407</v>
      </c>
      <c r="F73" s="84">
        <f>VLOOKUP($A73,'US Census Population Estimates'!$A$20:$AG$266,F$35,FALSE)</f>
        <v>414</v>
      </c>
      <c r="G73" s="84">
        <f>VLOOKUP($A73,'US Census Population Estimates'!$A$20:$AG$266,G$35,FALSE)</f>
        <v>425</v>
      </c>
      <c r="H73" s="84">
        <f>VLOOKUP($A73,'US Census Population Estimates'!$A$20:$AG$266,H$35,FALSE)</f>
        <v>442</v>
      </c>
      <c r="I73" s="84">
        <f>VLOOKUP($A73,'US Census Population Estimates'!$A$20:$AG$266,I$35,FALSE)</f>
        <v>457</v>
      </c>
      <c r="J73" s="84">
        <f>VLOOKUP($A73,'US Census Population Estimates'!$A$20:$AG$266,J$35,FALSE)</f>
        <v>497</v>
      </c>
      <c r="K73" s="84">
        <f>VLOOKUP($A73,'US Census Population Estimates'!$A$20:$AG$266,K$35,FALSE)</f>
        <v>526</v>
      </c>
      <c r="L73" s="84">
        <f>VLOOKUP($A73,'US Census Population Estimates'!$A$20:$AG$266,L$35,FALSE)</f>
        <v>553</v>
      </c>
      <c r="M73" s="84">
        <f>VLOOKUP($A73,'US Census Population Estimates'!$A$20:$AG$266,M$35,FALSE)</f>
        <v>563</v>
      </c>
      <c r="N73" s="84">
        <f>VLOOKUP($A73,'US Census Population Estimates'!$A$20:$AG$266,N$35,FALSE)</f>
        <v>558</v>
      </c>
      <c r="O73" s="84">
        <f>VLOOKUP($A73,'US Census Population Estimates'!$A$20:$AG$266,O$35,FALSE)</f>
        <v>574</v>
      </c>
      <c r="P73" s="84">
        <f>VLOOKUP($A73,'US Census Population Estimates'!$A$20:$AG$266,P$35,FALSE)</f>
        <v>555</v>
      </c>
      <c r="Q73" s="84">
        <f>VLOOKUP($A73,'US Census Population Estimates'!$A$20:$AG$266,Q$35,FALSE)</f>
        <v>548</v>
      </c>
      <c r="R73" s="84">
        <f>VLOOKUP($A73,'US Census Population Estimates'!$A$20:$AG$266,R$35,FALSE)</f>
        <v>544</v>
      </c>
      <c r="S73" s="84">
        <f>VLOOKUP($A73,'US Census Population Estimates'!$A$20:$AG$266,S$35,FALSE)</f>
        <v>540</v>
      </c>
      <c r="T73" s="84">
        <f>VLOOKUP($A73,'US Census Population Estimates'!$A$20:$AG$266,T$35,FALSE)</f>
        <v>524</v>
      </c>
      <c r="U73" s="84">
        <f>VLOOKUP($A73,'US Census Population Estimates'!$A$20:$AG$266,U$35,FALSE)</f>
        <v>524</v>
      </c>
      <c r="V73" s="84" t="str">
        <f>VLOOKUP($A73,'US Census Population Estimates'!$A$20:$AG$266,V$35,FALSE)</f>
        <v/>
      </c>
      <c r="W73" s="84" t="str">
        <f>VLOOKUP($A73,'US Census Population Estimates'!$A$20:$AG$266,W$35,FALSE)</f>
        <v/>
      </c>
      <c r="X73" s="84" t="str">
        <f>VLOOKUP($A73,'US Census Population Estimates'!$A$20:$AG$266,X$35,FALSE)</f>
        <v/>
      </c>
      <c r="Y73" s="84" t="str">
        <f>VLOOKUP($A73,'US Census Population Estimates'!$A$20:$AG$266,Y$35,FALSE)</f>
        <v/>
      </c>
      <c r="Z73" s="84" t="str">
        <f>VLOOKUP($A73,'US Census Population Estimates'!$A$20:$AG$266,Z$35,FALSE)</f>
        <v/>
      </c>
      <c r="AA73" s="84" t="str">
        <f>VLOOKUP($A73,'US Census Population Estimates'!$A$20:$AG$266,AA$35,FALSE)</f>
        <v/>
      </c>
      <c r="AB73" s="84" t="str">
        <f>VLOOKUP($A73,'US Census Population Estimates'!$A$20:$AG$266,AB$35,FALSE)</f>
        <v/>
      </c>
      <c r="AC73" s="84" t="str">
        <f>VLOOKUP($A73,'US Census Population Estimates'!$A$20:$AG$266,AC$35,FALSE)</f>
        <v/>
      </c>
      <c r="AD73" s="84" t="str">
        <f>VLOOKUP($A73,'US Census Population Estimates'!$A$20:$AG$266,AD$35,FALSE)</f>
        <v/>
      </c>
      <c r="AE73" s="84" t="str">
        <f>VLOOKUP($A73,'US Census Population Estimates'!$A$20:$AG$266,AE$35,FALSE)</f>
        <v/>
      </c>
      <c r="AF73" s="84" t="str">
        <f>VLOOKUP($A73,'US Census Population Estimates'!$A$20:$AG$266,AF$35,FALSE)</f>
        <v/>
      </c>
      <c r="AG73" s="88" t="str">
        <f>VLOOKUP($A73,'US Census Population Estimates'!$A$20:$AG$266,AG$35,FALSE)</f>
        <v/>
      </c>
      <c r="AH73" s="24"/>
    </row>
    <row r="74" ht="12.75" customHeight="1">
      <c r="A74" s="46" t="s">
        <v>97</v>
      </c>
      <c r="B74" s="51" t="s">
        <v>51</v>
      </c>
      <c r="C74" s="84">
        <f>VLOOKUP($A74,'US Census Population Estimates'!$A$20:$AG$266,C$35,FALSE)</f>
        <v>780</v>
      </c>
      <c r="D74" s="84">
        <f>VLOOKUP($A74,'US Census Population Estimates'!$A$20:$AG$266,D$35,FALSE)</f>
        <v>764</v>
      </c>
      <c r="E74" s="84">
        <f>VLOOKUP($A74,'US Census Population Estimates'!$A$20:$AG$266,E$35,FALSE)</f>
        <v>788</v>
      </c>
      <c r="F74" s="84">
        <f>VLOOKUP($A74,'US Census Population Estimates'!$A$20:$AG$266,F$35,FALSE)</f>
        <v>804</v>
      </c>
      <c r="G74" s="84">
        <f>VLOOKUP($A74,'US Census Population Estimates'!$A$20:$AG$266,G$35,FALSE)</f>
        <v>832</v>
      </c>
      <c r="H74" s="84">
        <f>VLOOKUP($A74,'US Census Population Estimates'!$A$20:$AG$266,H$35,FALSE)</f>
        <v>865</v>
      </c>
      <c r="I74" s="84">
        <f>VLOOKUP($A74,'US Census Population Estimates'!$A$20:$AG$266,I$35,FALSE)</f>
        <v>899</v>
      </c>
      <c r="J74" s="84">
        <f>VLOOKUP($A74,'US Census Population Estimates'!$A$20:$AG$266,J$35,FALSE)</f>
        <v>978</v>
      </c>
      <c r="K74" s="84">
        <f>VLOOKUP($A74,'US Census Population Estimates'!$A$20:$AG$266,K$35,FALSE)</f>
        <v>1037</v>
      </c>
      <c r="L74" s="84">
        <f>VLOOKUP($A74,'US Census Population Estimates'!$A$20:$AG$266,L$35,FALSE)</f>
        <v>1093</v>
      </c>
      <c r="M74" s="84">
        <f>VLOOKUP($A74,'US Census Population Estimates'!$A$20:$AG$266,M$35,FALSE)</f>
        <v>1112</v>
      </c>
      <c r="N74" s="84">
        <f>VLOOKUP($A74,'US Census Population Estimates'!$A$20:$AG$266,N$35,FALSE)</f>
        <v>1103</v>
      </c>
      <c r="O74" s="84">
        <f>VLOOKUP($A74,'US Census Population Estimates'!$A$20:$AG$266,O$35,FALSE)</f>
        <v>1158</v>
      </c>
      <c r="P74" s="84">
        <f>VLOOKUP($A74,'US Census Population Estimates'!$A$20:$AG$266,P$35,FALSE)</f>
        <v>1125</v>
      </c>
      <c r="Q74" s="84">
        <f>VLOOKUP($A74,'US Census Population Estimates'!$A$20:$AG$266,Q$35,FALSE)</f>
        <v>1164</v>
      </c>
      <c r="R74" s="84">
        <f>VLOOKUP($A74,'US Census Population Estimates'!$A$20:$AG$266,R$35,FALSE)</f>
        <v>1149</v>
      </c>
      <c r="S74" s="84">
        <f>VLOOKUP($A74,'US Census Population Estimates'!$A$20:$AG$266,S$35,FALSE)</f>
        <v>1139</v>
      </c>
      <c r="T74" s="84">
        <f>VLOOKUP($A74,'US Census Population Estimates'!$A$20:$AG$266,T$35,FALSE)</f>
        <v>1111</v>
      </c>
      <c r="U74" s="84">
        <f>VLOOKUP($A74,'US Census Population Estimates'!$A$20:$AG$266,U$35,FALSE)</f>
        <v>1111</v>
      </c>
      <c r="V74" s="84" t="str">
        <f>VLOOKUP($A74,'US Census Population Estimates'!$A$20:$AG$266,V$35,FALSE)</f>
        <v/>
      </c>
      <c r="W74" s="84" t="str">
        <f>VLOOKUP($A74,'US Census Population Estimates'!$A$20:$AG$266,W$35,FALSE)</f>
        <v/>
      </c>
      <c r="X74" s="84" t="str">
        <f>VLOOKUP($A74,'US Census Population Estimates'!$A$20:$AG$266,X$35,FALSE)</f>
        <v/>
      </c>
      <c r="Y74" s="84" t="str">
        <f>VLOOKUP($A74,'US Census Population Estimates'!$A$20:$AG$266,Y$35,FALSE)</f>
        <v/>
      </c>
      <c r="Z74" s="84" t="str">
        <f>VLOOKUP($A74,'US Census Population Estimates'!$A$20:$AG$266,Z$35,FALSE)</f>
        <v/>
      </c>
      <c r="AA74" s="84" t="str">
        <f>VLOOKUP($A74,'US Census Population Estimates'!$A$20:$AG$266,AA$35,FALSE)</f>
        <v/>
      </c>
      <c r="AB74" s="84" t="str">
        <f>VLOOKUP($A74,'US Census Population Estimates'!$A$20:$AG$266,AB$35,FALSE)</f>
        <v/>
      </c>
      <c r="AC74" s="84" t="str">
        <f>VLOOKUP($A74,'US Census Population Estimates'!$A$20:$AG$266,AC$35,FALSE)</f>
        <v/>
      </c>
      <c r="AD74" s="84" t="str">
        <f>VLOOKUP($A74,'US Census Population Estimates'!$A$20:$AG$266,AD$35,FALSE)</f>
        <v/>
      </c>
      <c r="AE74" s="84" t="str">
        <f>VLOOKUP($A74,'US Census Population Estimates'!$A$20:$AG$266,AE$35,FALSE)</f>
        <v/>
      </c>
      <c r="AF74" s="84" t="str">
        <f>VLOOKUP($A74,'US Census Population Estimates'!$A$20:$AG$266,AF$35,FALSE)</f>
        <v/>
      </c>
      <c r="AG74" s="88" t="str">
        <f>VLOOKUP($A74,'US Census Population Estimates'!$A$20:$AG$266,AG$35,FALSE)</f>
        <v/>
      </c>
      <c r="AH74" s="24"/>
    </row>
    <row r="75" ht="12.75" customHeight="1">
      <c r="A75" s="46" t="s">
        <v>99</v>
      </c>
      <c r="B75" s="51" t="s">
        <v>51</v>
      </c>
      <c r="C75" s="84">
        <f>VLOOKUP($A75,'US Census Population Estimates'!$A$20:$AG$266,C$35,FALSE)</f>
        <v>102</v>
      </c>
      <c r="D75" s="84">
        <f>VLOOKUP($A75,'US Census Population Estimates'!$A$20:$AG$266,D$35,FALSE)</f>
        <v>99</v>
      </c>
      <c r="E75" s="84">
        <f>VLOOKUP($A75,'US Census Population Estimates'!$A$20:$AG$266,E$35,FALSE)</f>
        <v>97</v>
      </c>
      <c r="F75" s="84">
        <f>VLOOKUP($A75,'US Census Population Estimates'!$A$20:$AG$266,F$35,FALSE)</f>
        <v>96</v>
      </c>
      <c r="G75" s="84">
        <f>VLOOKUP($A75,'US Census Population Estimates'!$A$20:$AG$266,G$35,FALSE)</f>
        <v>96</v>
      </c>
      <c r="H75" s="84">
        <f>VLOOKUP($A75,'US Census Population Estimates'!$A$20:$AG$266,H$35,FALSE)</f>
        <v>96</v>
      </c>
      <c r="I75" s="84">
        <f>VLOOKUP($A75,'US Census Population Estimates'!$A$20:$AG$266,I$35,FALSE)</f>
        <v>96</v>
      </c>
      <c r="J75" s="84">
        <f>VLOOKUP($A75,'US Census Population Estimates'!$A$20:$AG$266,J$35,FALSE)</f>
        <v>97</v>
      </c>
      <c r="K75" s="84">
        <f>VLOOKUP($A75,'US Census Population Estimates'!$A$20:$AG$266,K$35,FALSE)</f>
        <v>98</v>
      </c>
      <c r="L75" s="84">
        <f>VLOOKUP($A75,'US Census Population Estimates'!$A$20:$AG$266,L$35,FALSE)</f>
        <v>98</v>
      </c>
      <c r="M75" s="84">
        <f>VLOOKUP($A75,'US Census Population Estimates'!$A$20:$AG$266,M$35,FALSE)</f>
        <v>96</v>
      </c>
      <c r="N75" s="84">
        <f>VLOOKUP($A75,'US Census Population Estimates'!$A$20:$AG$266,N$35,FALSE)</f>
        <v>95</v>
      </c>
      <c r="O75" s="84">
        <f>VLOOKUP($A75,'US Census Population Estimates'!$A$20:$AG$266,O$35,FALSE)</f>
        <v>94</v>
      </c>
      <c r="P75" s="84">
        <f>VLOOKUP($A75,'US Census Population Estimates'!$A$20:$AG$266,P$35,FALSE)</f>
        <v>98</v>
      </c>
      <c r="Q75" s="84">
        <f>VLOOKUP($A75,'US Census Population Estimates'!$A$20:$AG$266,Q$35,FALSE)</f>
        <v>98</v>
      </c>
      <c r="R75" s="84">
        <f>VLOOKUP($A75,'US Census Population Estimates'!$A$20:$AG$266,R$35,FALSE)</f>
        <v>101</v>
      </c>
      <c r="S75" s="84">
        <f>VLOOKUP($A75,'US Census Population Estimates'!$A$20:$AG$266,S$35,FALSE)</f>
        <v>105</v>
      </c>
      <c r="T75" s="84">
        <f>VLOOKUP($A75,'US Census Population Estimates'!$A$20:$AG$266,T$35,FALSE)</f>
        <v>105</v>
      </c>
      <c r="U75" s="84">
        <f>VLOOKUP($A75,'US Census Population Estimates'!$A$20:$AG$266,U$35,FALSE)</f>
        <v>106</v>
      </c>
      <c r="V75" s="84" t="str">
        <f>VLOOKUP($A75,'US Census Population Estimates'!$A$20:$AG$266,V$35,FALSE)</f>
        <v/>
      </c>
      <c r="W75" s="84" t="str">
        <f>VLOOKUP($A75,'US Census Population Estimates'!$A$20:$AG$266,W$35,FALSE)</f>
        <v/>
      </c>
      <c r="X75" s="84" t="str">
        <f>VLOOKUP($A75,'US Census Population Estimates'!$A$20:$AG$266,X$35,FALSE)</f>
        <v/>
      </c>
      <c r="Y75" s="84" t="str">
        <f>VLOOKUP($A75,'US Census Population Estimates'!$A$20:$AG$266,Y$35,FALSE)</f>
        <v/>
      </c>
      <c r="Z75" s="84" t="str">
        <f>VLOOKUP($A75,'US Census Population Estimates'!$A$20:$AG$266,Z$35,FALSE)</f>
        <v/>
      </c>
      <c r="AA75" s="84" t="str">
        <f>VLOOKUP($A75,'US Census Population Estimates'!$A$20:$AG$266,AA$35,FALSE)</f>
        <v/>
      </c>
      <c r="AB75" s="84" t="str">
        <f>VLOOKUP($A75,'US Census Population Estimates'!$A$20:$AG$266,AB$35,FALSE)</f>
        <v/>
      </c>
      <c r="AC75" s="84" t="str">
        <f>VLOOKUP($A75,'US Census Population Estimates'!$A$20:$AG$266,AC$35,FALSE)</f>
        <v/>
      </c>
      <c r="AD75" s="84" t="str">
        <f>VLOOKUP($A75,'US Census Population Estimates'!$A$20:$AG$266,AD$35,FALSE)</f>
        <v/>
      </c>
      <c r="AE75" s="84" t="str">
        <f>VLOOKUP($A75,'US Census Population Estimates'!$A$20:$AG$266,AE$35,FALSE)</f>
        <v/>
      </c>
      <c r="AF75" s="84" t="str">
        <f>VLOOKUP($A75,'US Census Population Estimates'!$A$20:$AG$266,AF$35,FALSE)</f>
        <v/>
      </c>
      <c r="AG75" s="88" t="str">
        <f>VLOOKUP($A75,'US Census Population Estimates'!$A$20:$AG$266,AG$35,FALSE)</f>
        <v/>
      </c>
      <c r="AH75" s="24"/>
    </row>
    <row r="76" ht="12.75" customHeight="1">
      <c r="A76" s="46" t="s">
        <v>100</v>
      </c>
      <c r="B76" s="51" t="s">
        <v>51</v>
      </c>
      <c r="C76" s="84">
        <f>VLOOKUP($A76,'US Census Population Estimates'!$A$20:$AG$266,C$35,FALSE)</f>
        <v>244</v>
      </c>
      <c r="D76" s="84">
        <f>VLOOKUP($A76,'US Census Population Estimates'!$A$20:$AG$266,D$35,FALSE)</f>
        <v>245</v>
      </c>
      <c r="E76" s="84">
        <f>VLOOKUP($A76,'US Census Population Estimates'!$A$20:$AG$266,E$35,FALSE)</f>
        <v>253</v>
      </c>
      <c r="F76" s="84">
        <f>VLOOKUP($A76,'US Census Population Estimates'!$A$20:$AG$266,F$35,FALSE)</f>
        <v>258</v>
      </c>
      <c r="G76" s="84">
        <f>VLOOKUP($A76,'US Census Population Estimates'!$A$20:$AG$266,G$35,FALSE)</f>
        <v>267</v>
      </c>
      <c r="H76" s="84">
        <f>VLOOKUP($A76,'US Census Population Estimates'!$A$20:$AG$266,H$35,FALSE)</f>
        <v>276</v>
      </c>
      <c r="I76" s="84">
        <f>VLOOKUP($A76,'US Census Population Estimates'!$A$20:$AG$266,I$35,FALSE)</f>
        <v>288</v>
      </c>
      <c r="J76" s="84">
        <f>VLOOKUP($A76,'US Census Population Estimates'!$A$20:$AG$266,J$35,FALSE)</f>
        <v>306</v>
      </c>
      <c r="K76" s="84">
        <f>VLOOKUP($A76,'US Census Population Estimates'!$A$20:$AG$266,K$35,FALSE)</f>
        <v>317</v>
      </c>
      <c r="L76" s="84">
        <f>VLOOKUP($A76,'US Census Population Estimates'!$A$20:$AG$266,L$35,FALSE)</f>
        <v>335</v>
      </c>
      <c r="M76" s="84">
        <f>VLOOKUP($A76,'US Census Population Estimates'!$A$20:$AG$266,M$35,FALSE)</f>
        <v>331</v>
      </c>
      <c r="N76" s="84">
        <f>VLOOKUP($A76,'US Census Population Estimates'!$A$20:$AG$266,N$35,FALSE)</f>
        <v>331</v>
      </c>
      <c r="O76" s="84">
        <f>VLOOKUP($A76,'US Census Population Estimates'!$A$20:$AG$266,O$35,FALSE)</f>
        <v>337</v>
      </c>
      <c r="P76" s="84">
        <f>VLOOKUP($A76,'US Census Population Estimates'!$A$20:$AG$266,P$35,FALSE)</f>
        <v>335</v>
      </c>
      <c r="Q76" s="84">
        <f>VLOOKUP($A76,'US Census Population Estimates'!$A$20:$AG$266,Q$35,FALSE)</f>
        <v>333</v>
      </c>
      <c r="R76" s="84">
        <f>VLOOKUP($A76,'US Census Population Estimates'!$A$20:$AG$266,R$35,FALSE)</f>
        <v>327</v>
      </c>
      <c r="S76" s="84">
        <f>VLOOKUP($A76,'US Census Population Estimates'!$A$20:$AG$266,S$35,FALSE)</f>
        <v>322</v>
      </c>
      <c r="T76" s="84">
        <f>VLOOKUP($A76,'US Census Population Estimates'!$A$20:$AG$266,T$35,FALSE)</f>
        <v>316</v>
      </c>
      <c r="U76" s="84">
        <f>VLOOKUP($A76,'US Census Population Estimates'!$A$20:$AG$266,U$35,FALSE)</f>
        <v>317</v>
      </c>
      <c r="V76" s="84" t="str">
        <f>VLOOKUP($A76,'US Census Population Estimates'!$A$20:$AG$266,V$35,FALSE)</f>
        <v/>
      </c>
      <c r="W76" s="84" t="str">
        <f>VLOOKUP($A76,'US Census Population Estimates'!$A$20:$AG$266,W$35,FALSE)</f>
        <v/>
      </c>
      <c r="X76" s="84" t="str">
        <f>VLOOKUP($A76,'US Census Population Estimates'!$A$20:$AG$266,X$35,FALSE)</f>
        <v/>
      </c>
      <c r="Y76" s="84" t="str">
        <f>VLOOKUP($A76,'US Census Population Estimates'!$A$20:$AG$266,Y$35,FALSE)</f>
        <v/>
      </c>
      <c r="Z76" s="84" t="str">
        <f>VLOOKUP($A76,'US Census Population Estimates'!$A$20:$AG$266,Z$35,FALSE)</f>
        <v/>
      </c>
      <c r="AA76" s="84" t="str">
        <f>VLOOKUP($A76,'US Census Population Estimates'!$A$20:$AG$266,AA$35,FALSE)</f>
        <v/>
      </c>
      <c r="AB76" s="84" t="str">
        <f>VLOOKUP($A76,'US Census Population Estimates'!$A$20:$AG$266,AB$35,FALSE)</f>
        <v/>
      </c>
      <c r="AC76" s="84" t="str">
        <f>VLOOKUP($A76,'US Census Population Estimates'!$A$20:$AG$266,AC$35,FALSE)</f>
        <v/>
      </c>
      <c r="AD76" s="84" t="str">
        <f>VLOOKUP($A76,'US Census Population Estimates'!$A$20:$AG$266,AD$35,FALSE)</f>
        <v/>
      </c>
      <c r="AE76" s="84" t="str">
        <f>VLOOKUP($A76,'US Census Population Estimates'!$A$20:$AG$266,AE$35,FALSE)</f>
        <v/>
      </c>
      <c r="AF76" s="84" t="str">
        <f>VLOOKUP($A76,'US Census Population Estimates'!$A$20:$AG$266,AF$35,FALSE)</f>
        <v/>
      </c>
      <c r="AG76" s="88" t="str">
        <f>VLOOKUP($A76,'US Census Population Estimates'!$A$20:$AG$266,AG$35,FALSE)</f>
        <v/>
      </c>
      <c r="AH76" s="24"/>
    </row>
    <row r="77" ht="12.75" customHeight="1">
      <c r="A77" s="52" t="s">
        <v>102</v>
      </c>
      <c r="B77" s="58" t="s">
        <v>51</v>
      </c>
      <c r="C77" s="240">
        <f>VLOOKUP($A77,'US Census Population Estimates'!$A$20:$AG$266,C$35,FALSE)</f>
        <v>263</v>
      </c>
      <c r="D77" s="98">
        <f>VLOOKUP($A77,'US Census Population Estimates'!$A$20:$AG$266,D$35,FALSE)</f>
        <v>273</v>
      </c>
      <c r="E77" s="98">
        <f>VLOOKUP($A77,'US Census Population Estimates'!$A$20:$AG$266,E$35,FALSE)</f>
        <v>290</v>
      </c>
      <c r="F77" s="98">
        <f>VLOOKUP($A77,'US Census Population Estimates'!$A$20:$AG$266,F$35,FALSE)</f>
        <v>305</v>
      </c>
      <c r="G77" s="98">
        <f>VLOOKUP($A77,'US Census Population Estimates'!$A$20:$AG$266,G$35,FALSE)</f>
        <v>322</v>
      </c>
      <c r="H77" s="98">
        <f>VLOOKUP($A77,'US Census Population Estimates'!$A$20:$AG$266,H$35,FALSE)</f>
        <v>341</v>
      </c>
      <c r="I77" s="98">
        <f>VLOOKUP($A77,'US Census Population Estimates'!$A$20:$AG$266,I$35,FALSE)</f>
        <v>364</v>
      </c>
      <c r="J77" s="98">
        <f>VLOOKUP($A77,'US Census Population Estimates'!$A$20:$AG$266,J$35,FALSE)</f>
        <v>392</v>
      </c>
      <c r="K77" s="98">
        <f>VLOOKUP($A77,'US Census Population Estimates'!$A$20:$AG$266,K$35,FALSE)</f>
        <v>414</v>
      </c>
      <c r="L77" s="98">
        <f>VLOOKUP($A77,'US Census Population Estimates'!$A$20:$AG$266,L$35,FALSE)</f>
        <v>444</v>
      </c>
      <c r="M77" s="98">
        <f>VLOOKUP($A77,'US Census Population Estimates'!$A$20:$AG$266,M$35,FALSE)</f>
        <v>450</v>
      </c>
      <c r="N77" s="98">
        <f>VLOOKUP($A77,'US Census Population Estimates'!$A$20:$AG$266,N$35,FALSE)</f>
        <v>454</v>
      </c>
      <c r="O77" s="98">
        <f>VLOOKUP($A77,'US Census Population Estimates'!$A$20:$AG$266,O$35,FALSE)</f>
        <v>463</v>
      </c>
      <c r="P77" s="98">
        <f>VLOOKUP($A77,'US Census Population Estimates'!$A$20:$AG$266,P$35,FALSE)</f>
        <v>487</v>
      </c>
      <c r="Q77" s="98">
        <f>VLOOKUP($A77,'US Census Population Estimates'!$A$20:$AG$266,Q$35,FALSE)</f>
        <v>510</v>
      </c>
      <c r="R77" s="98">
        <f>VLOOKUP($A77,'US Census Population Estimates'!$A$20:$AG$266,R$35,FALSE)</f>
        <v>501</v>
      </c>
      <c r="S77" s="98">
        <f>VLOOKUP($A77,'US Census Population Estimates'!$A$20:$AG$266,S$35,FALSE)</f>
        <v>494</v>
      </c>
      <c r="T77" s="98">
        <f>VLOOKUP($A77,'US Census Population Estimates'!$A$20:$AG$266,T$35,FALSE)</f>
        <v>484</v>
      </c>
      <c r="U77" s="98">
        <f>VLOOKUP($A77,'US Census Population Estimates'!$A$20:$AG$266,U$35,FALSE)</f>
        <v>478</v>
      </c>
      <c r="V77" s="98" t="str">
        <f>VLOOKUP($A77,'US Census Population Estimates'!$A$20:$AG$266,V$35,FALSE)</f>
        <v/>
      </c>
      <c r="W77" s="98" t="str">
        <f>VLOOKUP($A77,'US Census Population Estimates'!$A$20:$AG$266,W$35,FALSE)</f>
        <v/>
      </c>
      <c r="X77" s="98" t="str">
        <f>VLOOKUP($A77,'US Census Population Estimates'!$A$20:$AG$266,X$35,FALSE)</f>
        <v/>
      </c>
      <c r="Y77" s="98" t="str">
        <f>VLOOKUP($A77,'US Census Population Estimates'!$A$20:$AG$266,Y$35,FALSE)</f>
        <v/>
      </c>
      <c r="Z77" s="98" t="str">
        <f>VLOOKUP($A77,'US Census Population Estimates'!$A$20:$AG$266,Z$35,FALSE)</f>
        <v/>
      </c>
      <c r="AA77" s="98" t="str">
        <f>VLOOKUP($A77,'US Census Population Estimates'!$A$20:$AG$266,AA$35,FALSE)</f>
        <v/>
      </c>
      <c r="AB77" s="98" t="str">
        <f>VLOOKUP($A77,'US Census Population Estimates'!$A$20:$AG$266,AB$35,FALSE)</f>
        <v/>
      </c>
      <c r="AC77" s="98" t="str">
        <f>VLOOKUP($A77,'US Census Population Estimates'!$A$20:$AG$266,AC$35,FALSE)</f>
        <v/>
      </c>
      <c r="AD77" s="98" t="str">
        <f>VLOOKUP($A77,'US Census Population Estimates'!$A$20:$AG$266,AD$35,FALSE)</f>
        <v/>
      </c>
      <c r="AE77" s="98" t="str">
        <f>VLOOKUP($A77,'US Census Population Estimates'!$A$20:$AG$266,AE$35,FALSE)</f>
        <v/>
      </c>
      <c r="AF77" s="98" t="str">
        <f>VLOOKUP($A77,'US Census Population Estimates'!$A$20:$AG$266,AF$35,FALSE)</f>
        <v/>
      </c>
      <c r="AG77" s="113" t="str">
        <f>VLOOKUP($A77,'US Census Population Estimates'!$A$20:$AG$266,AG$35,FALSE)</f>
        <v/>
      </c>
      <c r="AH77" s="24"/>
    </row>
    <row r="78" ht="12.75" customHeight="1">
      <c r="A78" s="59" t="s">
        <v>61</v>
      </c>
      <c r="B78" s="60"/>
      <c r="C78" s="115">
        <f t="shared" ref="C78:T78" si="12">C79+C80</f>
        <v>7350</v>
      </c>
      <c r="D78" s="115">
        <f t="shared" si="12"/>
        <v>7233.968129</v>
      </c>
      <c r="E78" s="115">
        <f t="shared" si="12"/>
        <v>7340.416097</v>
      </c>
      <c r="F78" s="115">
        <f t="shared" si="12"/>
        <v>7364.687859</v>
      </c>
      <c r="G78" s="115">
        <f t="shared" si="12"/>
        <v>7486.567522</v>
      </c>
      <c r="H78" s="115">
        <f t="shared" si="12"/>
        <v>7461.91</v>
      </c>
      <c r="I78" s="115">
        <f t="shared" si="12"/>
        <v>7658.188973</v>
      </c>
      <c r="J78" s="115">
        <f t="shared" si="12"/>
        <v>8008.490963</v>
      </c>
      <c r="K78" s="115">
        <f t="shared" si="12"/>
        <v>8223.509244</v>
      </c>
      <c r="L78" s="115">
        <f t="shared" si="12"/>
        <v>8552.490143</v>
      </c>
      <c r="M78" s="115">
        <f t="shared" si="12"/>
        <v>8486.8013</v>
      </c>
      <c r="N78" s="115">
        <f t="shared" si="12"/>
        <v>8537.973104</v>
      </c>
      <c r="O78" s="115">
        <f t="shared" si="12"/>
        <v>8722.843459</v>
      </c>
      <c r="P78" s="115">
        <f t="shared" si="12"/>
        <v>8726.881584</v>
      </c>
      <c r="Q78" s="115">
        <f t="shared" si="12"/>
        <v>8726.707713</v>
      </c>
      <c r="R78" s="115">
        <f t="shared" si="12"/>
        <v>8683.444632</v>
      </c>
      <c r="S78" s="115">
        <f t="shared" si="12"/>
        <v>8609.230548</v>
      </c>
      <c r="T78" s="115">
        <f t="shared" si="12"/>
        <v>8472.949118</v>
      </c>
      <c r="U78" s="243"/>
      <c r="V78" s="243"/>
      <c r="W78" s="243"/>
      <c r="X78" s="243"/>
      <c r="Y78" s="243"/>
      <c r="Z78" s="243"/>
      <c r="AA78" s="243"/>
      <c r="AB78" s="243"/>
      <c r="AC78" s="243"/>
      <c r="AD78" s="243"/>
      <c r="AE78" s="243"/>
      <c r="AF78" s="243"/>
      <c r="AG78" s="244"/>
      <c r="AH78" s="24"/>
    </row>
    <row r="79" ht="12.75" customHeight="1">
      <c r="A79" s="46" t="s">
        <v>48</v>
      </c>
      <c r="B79" s="47"/>
      <c r="C79" s="84">
        <f t="shared" ref="C79:C81" si="15">C57</f>
        <v>811</v>
      </c>
      <c r="D79" s="84">
        <f t="shared" ref="D79:G79" si="13">$C$57*SUM(D73:D77)/SUM($C$73:$C$77)</f>
        <v>802.4203786</v>
      </c>
      <c r="E79" s="84">
        <f t="shared" si="13"/>
        <v>828.6108018</v>
      </c>
      <c r="F79" s="84">
        <f t="shared" si="13"/>
        <v>847.5762806</v>
      </c>
      <c r="G79" s="84">
        <f t="shared" si="13"/>
        <v>876.9276169</v>
      </c>
      <c r="H79" s="84">
        <f t="shared" ref="H79:H81" si="17">H57</f>
        <v>884</v>
      </c>
      <c r="I79" s="84">
        <f t="shared" ref="I79:AG79" si="14">$H$57*SUM(I73:I77)/SUM($H$73:$H$77)</f>
        <v>920.760396</v>
      </c>
      <c r="J79" s="84">
        <f t="shared" si="14"/>
        <v>993.4059406</v>
      </c>
      <c r="K79" s="84">
        <f t="shared" si="14"/>
        <v>1046.79604</v>
      </c>
      <c r="L79" s="84">
        <f t="shared" si="14"/>
        <v>1104.124752</v>
      </c>
      <c r="M79" s="84">
        <f t="shared" si="14"/>
        <v>1116.815842</v>
      </c>
      <c r="N79" s="84">
        <f t="shared" si="14"/>
        <v>1112.00198</v>
      </c>
      <c r="O79" s="84">
        <f t="shared" si="14"/>
        <v>1149.2</v>
      </c>
      <c r="P79" s="84">
        <f t="shared" si="14"/>
        <v>1137.821782</v>
      </c>
      <c r="Q79" s="84">
        <f t="shared" si="14"/>
        <v>1161.015842</v>
      </c>
      <c r="R79" s="84">
        <f t="shared" si="14"/>
        <v>1147.449505</v>
      </c>
      <c r="S79" s="84">
        <f t="shared" si="14"/>
        <v>1137.821782</v>
      </c>
      <c r="T79" s="84">
        <f t="shared" si="14"/>
        <v>1111.564356</v>
      </c>
      <c r="U79" s="84">
        <f t="shared" si="14"/>
        <v>1109.813861</v>
      </c>
      <c r="V79" s="84">
        <f t="shared" si="14"/>
        <v>0</v>
      </c>
      <c r="W79" s="84">
        <f t="shared" si="14"/>
        <v>0</v>
      </c>
      <c r="X79" s="84">
        <f t="shared" si="14"/>
        <v>0</v>
      </c>
      <c r="Y79" s="84">
        <f t="shared" si="14"/>
        <v>0</v>
      </c>
      <c r="Z79" s="84">
        <f t="shared" si="14"/>
        <v>0</v>
      </c>
      <c r="AA79" s="84">
        <f t="shared" si="14"/>
        <v>0</v>
      </c>
      <c r="AB79" s="84">
        <f t="shared" si="14"/>
        <v>0</v>
      </c>
      <c r="AC79" s="84">
        <f t="shared" si="14"/>
        <v>0</v>
      </c>
      <c r="AD79" s="84">
        <f t="shared" si="14"/>
        <v>0</v>
      </c>
      <c r="AE79" s="84">
        <f t="shared" si="14"/>
        <v>0</v>
      </c>
      <c r="AF79" s="84">
        <f t="shared" si="14"/>
        <v>0</v>
      </c>
      <c r="AG79" s="88">
        <f t="shared" si="14"/>
        <v>0</v>
      </c>
      <c r="AH79" s="24"/>
    </row>
    <row r="80" ht="12.75" customHeight="1">
      <c r="A80" s="46" t="s">
        <v>104</v>
      </c>
      <c r="B80" s="47"/>
      <c r="C80" s="84">
        <f t="shared" si="15"/>
        <v>6539</v>
      </c>
      <c r="D80" s="84">
        <f t="shared" ref="D80:G80" si="16">(($C$58)*SUM(D61:D63,D65:D72)/SUM($C$61:$C$63,$C$65:$C$72))</f>
        <v>6431.547751</v>
      </c>
      <c r="E80" s="84">
        <f t="shared" si="16"/>
        <v>6511.805295</v>
      </c>
      <c r="F80" s="84">
        <f t="shared" si="16"/>
        <v>6517.111579</v>
      </c>
      <c r="G80" s="84">
        <f t="shared" si="16"/>
        <v>6609.639905</v>
      </c>
      <c r="H80" s="84">
        <f t="shared" si="17"/>
        <v>6577.91</v>
      </c>
      <c r="I80" s="84">
        <f t="shared" ref="I80:AG80" si="18">(($H$58)*SUM(I61:I63,I65:I72)/SUM($H$61:$H$63,$H$65:$H$72))</f>
        <v>6737.428577</v>
      </c>
      <c r="J80" s="84">
        <f t="shared" si="18"/>
        <v>7015.085023</v>
      </c>
      <c r="K80" s="84">
        <f t="shared" si="18"/>
        <v>7176.713205</v>
      </c>
      <c r="L80" s="84">
        <f t="shared" si="18"/>
        <v>7448.36539</v>
      </c>
      <c r="M80" s="84">
        <f t="shared" si="18"/>
        <v>7369.985458</v>
      </c>
      <c r="N80" s="84">
        <f t="shared" si="18"/>
        <v>7425.971124</v>
      </c>
      <c r="O80" s="84">
        <f t="shared" si="18"/>
        <v>7573.643459</v>
      </c>
      <c r="P80" s="84">
        <f t="shared" si="18"/>
        <v>7589.059802</v>
      </c>
      <c r="Q80" s="84">
        <f t="shared" si="18"/>
        <v>7565.691872</v>
      </c>
      <c r="R80" s="84">
        <f t="shared" si="18"/>
        <v>7535.995127</v>
      </c>
      <c r="S80" s="84">
        <f t="shared" si="18"/>
        <v>7471.408766</v>
      </c>
      <c r="T80" s="84">
        <f t="shared" si="18"/>
        <v>7361.384762</v>
      </c>
      <c r="U80" s="84">
        <f t="shared" si="18"/>
        <v>7292.092359</v>
      </c>
      <c r="V80" s="84">
        <f t="shared" si="18"/>
        <v>0</v>
      </c>
      <c r="W80" s="84">
        <f t="shared" si="18"/>
        <v>0</v>
      </c>
      <c r="X80" s="84">
        <f t="shared" si="18"/>
        <v>0</v>
      </c>
      <c r="Y80" s="84">
        <f t="shared" si="18"/>
        <v>0</v>
      </c>
      <c r="Z80" s="84">
        <f t="shared" si="18"/>
        <v>0</v>
      </c>
      <c r="AA80" s="84">
        <f t="shared" si="18"/>
        <v>0</v>
      </c>
      <c r="AB80" s="84">
        <f t="shared" si="18"/>
        <v>0</v>
      </c>
      <c r="AC80" s="84">
        <f t="shared" si="18"/>
        <v>0</v>
      </c>
      <c r="AD80" s="84">
        <f t="shared" si="18"/>
        <v>0</v>
      </c>
      <c r="AE80" s="84">
        <f t="shared" si="18"/>
        <v>0</v>
      </c>
      <c r="AF80" s="84">
        <f t="shared" si="18"/>
        <v>0</v>
      </c>
      <c r="AG80" s="88">
        <f t="shared" si="18"/>
        <v>0</v>
      </c>
      <c r="AH80" s="24"/>
    </row>
    <row r="81" ht="12.75" customHeight="1">
      <c r="A81" s="74" t="s">
        <v>105</v>
      </c>
      <c r="B81" s="75"/>
      <c r="C81" s="126">
        <f t="shared" si="15"/>
        <v>14400</v>
      </c>
      <c r="D81" s="126">
        <f t="shared" ref="D81:G81" si="19">IF(($C$59*D64/$C$64)&gt;22656,22656,($C$59*D64/$C$64))</f>
        <v>14523.87328</v>
      </c>
      <c r="E81" s="126">
        <f t="shared" si="19"/>
        <v>14631.0506</v>
      </c>
      <c r="F81" s="126">
        <f t="shared" si="19"/>
        <v>14771.08127</v>
      </c>
      <c r="G81" s="126">
        <f t="shared" si="19"/>
        <v>14997.55395</v>
      </c>
      <c r="H81" s="126">
        <f t="shared" si="17"/>
        <v>15300</v>
      </c>
      <c r="I81" s="126">
        <f t="shared" ref="I81:N81" si="20">IF(($H$59*I64/$H$64)&gt;22656,22656,($H$59*I64/$H$64))</f>
        <v>15470.68493</v>
      </c>
      <c r="J81" s="126">
        <f t="shared" si="20"/>
        <v>15604.93151</v>
      </c>
      <c r="K81" s="126">
        <f t="shared" si="20"/>
        <v>15843.56164</v>
      </c>
      <c r="L81" s="126">
        <f t="shared" si="20"/>
        <v>16070.68493</v>
      </c>
      <c r="M81" s="126">
        <f t="shared" si="20"/>
        <v>16406.57534</v>
      </c>
      <c r="N81" s="126">
        <f t="shared" si="20"/>
        <v>16520.27397</v>
      </c>
      <c r="O81" s="126">
        <v>6409.0</v>
      </c>
      <c r="P81" s="126">
        <v>18424.0</v>
      </c>
      <c r="Q81" s="126">
        <v>8887.0</v>
      </c>
      <c r="R81" s="126">
        <v>5908.0</v>
      </c>
      <c r="S81" s="126">
        <v>6553.0</v>
      </c>
      <c r="T81" s="126">
        <v>6093.0</v>
      </c>
      <c r="U81" s="126">
        <v>6093.0</v>
      </c>
      <c r="V81" s="246"/>
      <c r="W81" s="246"/>
      <c r="X81" s="246"/>
      <c r="Y81" s="246"/>
      <c r="Z81" s="246"/>
      <c r="AA81" s="246"/>
      <c r="AB81" s="246"/>
      <c r="AC81" s="246"/>
      <c r="AD81" s="246"/>
      <c r="AE81" s="246"/>
      <c r="AF81" s="246"/>
      <c r="AG81" s="247"/>
      <c r="AH81" s="24"/>
    </row>
    <row r="82" ht="12.75" customHeight="1">
      <c r="A82" s="130" t="s">
        <v>63</v>
      </c>
      <c r="B82" s="131"/>
      <c r="C82" s="132"/>
      <c r="D82" s="132"/>
      <c r="E82" s="132"/>
      <c r="F82" s="132"/>
      <c r="G82" s="132"/>
      <c r="H82" s="132"/>
      <c r="I82" s="132"/>
      <c r="J82" s="132"/>
      <c r="K82" s="132"/>
      <c r="L82" s="132"/>
      <c r="M82" s="132"/>
      <c r="N82" s="132"/>
      <c r="O82" s="134"/>
      <c r="P82" s="134"/>
      <c r="Q82" s="134"/>
      <c r="R82" s="134"/>
      <c r="S82" s="134"/>
      <c r="T82" s="134"/>
      <c r="U82" s="134"/>
      <c r="V82" s="134"/>
      <c r="W82" s="134"/>
      <c r="X82" s="134"/>
      <c r="Y82" s="134"/>
      <c r="Z82" s="134"/>
      <c r="AA82" s="134"/>
      <c r="AB82" s="134"/>
      <c r="AC82" s="134"/>
      <c r="AD82" s="134"/>
      <c r="AE82" s="134"/>
      <c r="AF82" s="134"/>
      <c r="AG82" s="135"/>
      <c r="AH82" s="24"/>
    </row>
    <row r="83" ht="12.75" customHeight="1">
      <c r="A83" s="46" t="s">
        <v>64</v>
      </c>
      <c r="B83" s="51" t="s">
        <v>51</v>
      </c>
      <c r="C83" s="48">
        <v>11524.0</v>
      </c>
      <c r="D83" s="49" t="s">
        <v>7</v>
      </c>
      <c r="E83" s="49" t="s">
        <v>7</v>
      </c>
      <c r="F83" s="49" t="s">
        <v>7</v>
      </c>
      <c r="G83" s="49" t="s">
        <v>7</v>
      </c>
      <c r="H83" s="50">
        <v>12066.0</v>
      </c>
      <c r="I83" s="49"/>
      <c r="J83" s="49"/>
      <c r="K83" s="49"/>
      <c r="L83" s="49"/>
      <c r="M83" s="49"/>
      <c r="N83" s="49"/>
      <c r="O83" s="24"/>
      <c r="P83" s="49"/>
      <c r="Q83" s="49"/>
      <c r="R83" s="49"/>
      <c r="S83" s="49"/>
      <c r="T83" s="49"/>
      <c r="U83" s="49"/>
      <c r="V83" s="49"/>
      <c r="W83" s="49"/>
      <c r="X83" s="49"/>
      <c r="Y83" s="49"/>
      <c r="Z83" s="49"/>
      <c r="AA83" s="49"/>
      <c r="AB83" s="49"/>
      <c r="AC83" s="49"/>
      <c r="AD83" s="49"/>
      <c r="AE83" s="49"/>
      <c r="AF83" s="49"/>
      <c r="AG83" s="51"/>
      <c r="AH83" s="24"/>
    </row>
    <row r="84" ht="12.75" customHeight="1">
      <c r="A84" s="52" t="s">
        <v>65</v>
      </c>
      <c r="B84" s="53"/>
      <c r="C84" s="54" t="s">
        <v>122</v>
      </c>
      <c r="D84" s="55" t="s">
        <v>7</v>
      </c>
      <c r="E84" s="55" t="s">
        <v>7</v>
      </c>
      <c r="F84" s="55" t="s">
        <v>7</v>
      </c>
      <c r="G84" s="55"/>
      <c r="H84" s="248" t="s">
        <v>122</v>
      </c>
      <c r="I84" s="55"/>
      <c r="J84" s="55"/>
      <c r="K84" s="55"/>
      <c r="L84" s="55"/>
      <c r="M84" s="55"/>
      <c r="N84" s="55"/>
      <c r="O84" s="249"/>
      <c r="P84" s="55"/>
      <c r="Q84" s="55"/>
      <c r="R84" s="55"/>
      <c r="S84" s="55"/>
      <c r="T84" s="55"/>
      <c r="U84" s="55"/>
      <c r="V84" s="55"/>
      <c r="W84" s="55"/>
      <c r="X84" s="55"/>
      <c r="Y84" s="55"/>
      <c r="Z84" s="55"/>
      <c r="AA84" s="55"/>
      <c r="AB84" s="55"/>
      <c r="AC84" s="55"/>
      <c r="AD84" s="55"/>
      <c r="AE84" s="55"/>
      <c r="AF84" s="55"/>
      <c r="AG84" s="58"/>
      <c r="AH84" s="24"/>
    </row>
    <row r="85" ht="12.75" customHeight="1">
      <c r="A85" s="130" t="s">
        <v>66</v>
      </c>
      <c r="B85" s="131"/>
      <c r="C85" s="250"/>
      <c r="D85" s="132"/>
      <c r="E85" s="132"/>
      <c r="F85" s="132"/>
      <c r="G85" s="132"/>
      <c r="H85" s="251"/>
      <c r="I85" s="138"/>
      <c r="J85" s="138"/>
      <c r="K85" s="138"/>
      <c r="L85" s="132"/>
      <c r="M85" s="132"/>
      <c r="N85" s="132"/>
      <c r="O85" s="132"/>
      <c r="P85" s="132"/>
      <c r="Q85" s="132"/>
      <c r="R85" s="132"/>
      <c r="S85" s="132"/>
      <c r="T85" s="132"/>
      <c r="U85" s="140"/>
      <c r="V85" s="140"/>
      <c r="W85" s="140"/>
      <c r="X85" s="140"/>
      <c r="Y85" s="140"/>
      <c r="Z85" s="140"/>
      <c r="AA85" s="140"/>
      <c r="AB85" s="140"/>
      <c r="AC85" s="140"/>
      <c r="AD85" s="140"/>
      <c r="AE85" s="140"/>
      <c r="AF85" s="140"/>
      <c r="AG85" s="142"/>
      <c r="AH85" s="24"/>
    </row>
    <row r="86" ht="12.75" customHeight="1">
      <c r="A86" s="46" t="s">
        <v>68</v>
      </c>
      <c r="B86" s="47"/>
      <c r="C86" s="252">
        <f>C83</f>
        <v>11524</v>
      </c>
      <c r="D86" s="84">
        <f t="shared" ref="D86:G86" si="21">$C$86*D60/$C$60</f>
        <v>11337.57002</v>
      </c>
      <c r="E86" s="84">
        <f t="shared" si="21"/>
        <v>11489.06185</v>
      </c>
      <c r="F86" s="84">
        <f t="shared" si="21"/>
        <v>11509.74523</v>
      </c>
      <c r="G86" s="84">
        <f t="shared" si="21"/>
        <v>11683.87698</v>
      </c>
      <c r="H86" s="48">
        <f>H83</f>
        <v>12066</v>
      </c>
      <c r="I86" s="84">
        <f t="shared" ref="I86:AG86" si="22">$H$86*I60/$H$60</f>
        <v>12368.53606</v>
      </c>
      <c r="J86" s="84">
        <f t="shared" si="22"/>
        <v>12900.73867</v>
      </c>
      <c r="K86" s="84">
        <f t="shared" si="22"/>
        <v>13217.73521</v>
      </c>
      <c r="L86" s="84">
        <f t="shared" si="22"/>
        <v>13729.52302</v>
      </c>
      <c r="M86" s="84">
        <f t="shared" si="22"/>
        <v>13600.79633</v>
      </c>
      <c r="N86" s="84">
        <f t="shared" si="22"/>
        <v>13695.49834</v>
      </c>
      <c r="O86" s="84">
        <f t="shared" si="22"/>
        <v>13977.6196</v>
      </c>
      <c r="P86" s="84">
        <f t="shared" si="22"/>
        <v>13997.18379</v>
      </c>
      <c r="Q86" s="84">
        <f t="shared" si="22"/>
        <v>13971.38174</v>
      </c>
      <c r="R86" s="84">
        <f t="shared" si="22"/>
        <v>13910.70441</v>
      </c>
      <c r="S86" s="84">
        <f t="shared" si="22"/>
        <v>13791.61805</v>
      </c>
      <c r="T86" s="84">
        <f t="shared" si="22"/>
        <v>13582.3663</v>
      </c>
      <c r="U86" s="84">
        <f t="shared" si="22"/>
        <v>13460.16102</v>
      </c>
      <c r="V86" s="84">
        <f t="shared" si="22"/>
        <v>0</v>
      </c>
      <c r="W86" s="84">
        <f t="shared" si="22"/>
        <v>0</v>
      </c>
      <c r="X86" s="84">
        <f t="shared" si="22"/>
        <v>0</v>
      </c>
      <c r="Y86" s="84">
        <f t="shared" si="22"/>
        <v>0</v>
      </c>
      <c r="Z86" s="84">
        <f t="shared" si="22"/>
        <v>0</v>
      </c>
      <c r="AA86" s="84">
        <f t="shared" si="22"/>
        <v>0</v>
      </c>
      <c r="AB86" s="84">
        <f t="shared" si="22"/>
        <v>0</v>
      </c>
      <c r="AC86" s="84">
        <f t="shared" si="22"/>
        <v>0</v>
      </c>
      <c r="AD86" s="84">
        <f t="shared" si="22"/>
        <v>0</v>
      </c>
      <c r="AE86" s="84">
        <f t="shared" si="22"/>
        <v>0</v>
      </c>
      <c r="AF86" s="84">
        <f t="shared" si="22"/>
        <v>0</v>
      </c>
      <c r="AG86" s="88">
        <f t="shared" si="22"/>
        <v>0</v>
      </c>
      <c r="AH86" s="24"/>
    </row>
    <row r="87" ht="12.75" customHeight="1">
      <c r="A87" s="46" t="s">
        <v>128</v>
      </c>
      <c r="B87" s="51" t="s">
        <v>51</v>
      </c>
      <c r="C87" s="48">
        <f>C83*300*365/325851</f>
        <v>3872.561385</v>
      </c>
      <c r="D87" s="84">
        <f t="shared" ref="D87:AG87" si="23">D86*300*365/325851</f>
        <v>3809.912866</v>
      </c>
      <c r="E87" s="84">
        <f t="shared" si="23"/>
        <v>3860.820658</v>
      </c>
      <c r="F87" s="84">
        <f t="shared" si="23"/>
        <v>3867.771169</v>
      </c>
      <c r="G87" s="84">
        <f t="shared" si="23"/>
        <v>3926.286952</v>
      </c>
      <c r="H87" s="48">
        <f t="shared" si="23"/>
        <v>4054.696779</v>
      </c>
      <c r="I87" s="84">
        <f t="shared" si="23"/>
        <v>4156.361952</v>
      </c>
      <c r="J87" s="84">
        <f t="shared" si="23"/>
        <v>4335.204999</v>
      </c>
      <c r="K87" s="84">
        <f t="shared" si="23"/>
        <v>4441.72952</v>
      </c>
      <c r="L87" s="84">
        <f t="shared" si="23"/>
        <v>4613.712311</v>
      </c>
      <c r="M87" s="84">
        <f t="shared" si="23"/>
        <v>4570.45459</v>
      </c>
      <c r="N87" s="84">
        <f t="shared" si="23"/>
        <v>4602.278552</v>
      </c>
      <c r="O87" s="84">
        <f t="shared" si="23"/>
        <v>4697.083471</v>
      </c>
      <c r="P87" s="84">
        <f t="shared" si="23"/>
        <v>4703.657882</v>
      </c>
      <c r="Q87" s="84">
        <f t="shared" si="23"/>
        <v>4694.987282</v>
      </c>
      <c r="R87" s="84">
        <f t="shared" si="23"/>
        <v>4674.597078</v>
      </c>
      <c r="S87" s="84">
        <f t="shared" si="23"/>
        <v>4634.578922</v>
      </c>
      <c r="T87" s="84">
        <f t="shared" si="23"/>
        <v>4564.261304</v>
      </c>
      <c r="U87" s="84">
        <f t="shared" si="23"/>
        <v>4523.195053</v>
      </c>
      <c r="V87" s="84">
        <f t="shared" si="23"/>
        <v>0</v>
      </c>
      <c r="W87" s="84">
        <f t="shared" si="23"/>
        <v>0</v>
      </c>
      <c r="X87" s="84">
        <f t="shared" si="23"/>
        <v>0</v>
      </c>
      <c r="Y87" s="84">
        <f t="shared" si="23"/>
        <v>0</v>
      </c>
      <c r="Z87" s="84">
        <f t="shared" si="23"/>
        <v>0</v>
      </c>
      <c r="AA87" s="84">
        <f t="shared" si="23"/>
        <v>0</v>
      </c>
      <c r="AB87" s="84">
        <f t="shared" si="23"/>
        <v>0</v>
      </c>
      <c r="AC87" s="84">
        <f t="shared" si="23"/>
        <v>0</v>
      </c>
      <c r="AD87" s="84">
        <f t="shared" si="23"/>
        <v>0</v>
      </c>
      <c r="AE87" s="84">
        <f t="shared" si="23"/>
        <v>0</v>
      </c>
      <c r="AF87" s="84">
        <f t="shared" si="23"/>
        <v>0</v>
      </c>
      <c r="AG87" s="88">
        <f t="shared" si="23"/>
        <v>0</v>
      </c>
      <c r="AH87" s="24"/>
    </row>
    <row r="88" ht="12.75" customHeight="1">
      <c r="A88" s="153" t="s">
        <v>133</v>
      </c>
      <c r="B88" s="215" t="s">
        <v>51</v>
      </c>
      <c r="C88" s="253">
        <f>C83*150*365/325851</f>
        <v>1936.280693</v>
      </c>
      <c r="D88" s="157">
        <f t="shared" ref="D88:AG88" si="24">D86*150*365/325851</f>
        <v>1904.956433</v>
      </c>
      <c r="E88" s="157">
        <f t="shared" si="24"/>
        <v>1930.410329</v>
      </c>
      <c r="F88" s="157">
        <f t="shared" si="24"/>
        <v>1933.885584</v>
      </c>
      <c r="G88" s="157">
        <f t="shared" si="24"/>
        <v>1963.143476</v>
      </c>
      <c r="H88" s="254">
        <f t="shared" si="24"/>
        <v>2027.348389</v>
      </c>
      <c r="I88" s="157">
        <f t="shared" si="24"/>
        <v>2078.180976</v>
      </c>
      <c r="J88" s="157">
        <f t="shared" si="24"/>
        <v>2167.602499</v>
      </c>
      <c r="K88" s="157">
        <f t="shared" si="24"/>
        <v>2220.86476</v>
      </c>
      <c r="L88" s="157">
        <f t="shared" si="24"/>
        <v>2306.856156</v>
      </c>
      <c r="M88" s="157">
        <f t="shared" si="24"/>
        <v>2285.227295</v>
      </c>
      <c r="N88" s="157">
        <f t="shared" si="24"/>
        <v>2301.139276</v>
      </c>
      <c r="O88" s="157">
        <f t="shared" si="24"/>
        <v>2348.541735</v>
      </c>
      <c r="P88" s="157">
        <f t="shared" si="24"/>
        <v>2351.828941</v>
      </c>
      <c r="Q88" s="157">
        <f t="shared" si="24"/>
        <v>2347.493641</v>
      </c>
      <c r="R88" s="157">
        <f t="shared" si="24"/>
        <v>2337.298539</v>
      </c>
      <c r="S88" s="157">
        <f t="shared" si="24"/>
        <v>2317.289461</v>
      </c>
      <c r="T88" s="157">
        <f t="shared" si="24"/>
        <v>2282.130652</v>
      </c>
      <c r="U88" s="157">
        <f t="shared" si="24"/>
        <v>2261.597526</v>
      </c>
      <c r="V88" s="157">
        <f t="shared" si="24"/>
        <v>0</v>
      </c>
      <c r="W88" s="157">
        <f t="shared" si="24"/>
        <v>0</v>
      </c>
      <c r="X88" s="157">
        <f t="shared" si="24"/>
        <v>0</v>
      </c>
      <c r="Y88" s="157">
        <f t="shared" si="24"/>
        <v>0</v>
      </c>
      <c r="Z88" s="157">
        <f t="shared" si="24"/>
        <v>0</v>
      </c>
      <c r="AA88" s="157">
        <f t="shared" si="24"/>
        <v>0</v>
      </c>
      <c r="AB88" s="157">
        <f t="shared" si="24"/>
        <v>0</v>
      </c>
      <c r="AC88" s="157">
        <f t="shared" si="24"/>
        <v>0</v>
      </c>
      <c r="AD88" s="157">
        <f t="shared" si="24"/>
        <v>0</v>
      </c>
      <c r="AE88" s="157">
        <f t="shared" si="24"/>
        <v>0</v>
      </c>
      <c r="AF88" s="157">
        <f t="shared" si="24"/>
        <v>0</v>
      </c>
      <c r="AG88" s="158">
        <f t="shared" si="24"/>
        <v>0</v>
      </c>
      <c r="AH88" s="24"/>
    </row>
    <row r="89" ht="12.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row>
    <row r="90" ht="12.75" customHeight="1">
      <c r="A90" s="24"/>
      <c r="B90" s="24"/>
      <c r="C90" s="24"/>
      <c r="D90" s="24"/>
      <c r="E90" s="24"/>
      <c r="F90" s="24"/>
      <c r="G90" s="24"/>
      <c r="H90" s="24"/>
      <c r="I90" s="24"/>
      <c r="J90" s="24"/>
      <c r="K90" s="24"/>
      <c r="L90" s="24"/>
      <c r="M90" s="24"/>
      <c r="N90" s="24"/>
      <c r="O90" s="24"/>
      <c r="P90" s="24"/>
      <c r="Q90" s="24"/>
      <c r="R90" s="24"/>
      <c r="S90" s="24"/>
      <c r="T90" s="24"/>
      <c r="U90" s="24"/>
      <c r="V90" s="24"/>
      <c r="W90" s="255"/>
      <c r="X90" s="255"/>
      <c r="Y90" s="255"/>
      <c r="Z90" s="255"/>
      <c r="AA90" s="255"/>
      <c r="AB90" s="255"/>
      <c r="AC90" s="255"/>
      <c r="AD90" s="255"/>
      <c r="AE90" s="255"/>
      <c r="AF90" s="255"/>
      <c r="AG90" s="255"/>
      <c r="AH90" s="255"/>
    </row>
    <row r="91" ht="12.75" customHeight="1">
      <c r="A91" s="30" t="s">
        <v>134</v>
      </c>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2"/>
      <c r="AH91" s="24"/>
    </row>
    <row r="92" ht="12.75" customHeight="1">
      <c r="A92" s="33" t="s">
        <v>37</v>
      </c>
      <c r="B92" s="34"/>
      <c r="C92" s="35">
        <v>2000.0</v>
      </c>
      <c r="D92" s="35">
        <v>2001.0</v>
      </c>
      <c r="E92" s="35">
        <v>2002.0</v>
      </c>
      <c r="F92" s="35">
        <v>2003.0</v>
      </c>
      <c r="G92" s="35">
        <v>2004.0</v>
      </c>
      <c r="H92" s="35">
        <v>2005.0</v>
      </c>
      <c r="I92" s="35">
        <v>2006.0</v>
      </c>
      <c r="J92" s="35">
        <v>2007.0</v>
      </c>
      <c r="K92" s="35">
        <v>2008.0</v>
      </c>
      <c r="L92" s="35">
        <v>2009.0</v>
      </c>
      <c r="M92" s="35">
        <v>2010.0</v>
      </c>
      <c r="N92" s="35">
        <v>2011.0</v>
      </c>
      <c r="O92" s="35">
        <v>2012.0</v>
      </c>
      <c r="P92" s="35">
        <v>2013.0</v>
      </c>
      <c r="Q92" s="35">
        <v>2014.0</v>
      </c>
      <c r="R92" s="35">
        <v>2015.0</v>
      </c>
      <c r="S92" s="35">
        <v>2016.0</v>
      </c>
      <c r="T92" s="35">
        <v>2017.0</v>
      </c>
      <c r="U92" s="35">
        <v>2018.0</v>
      </c>
      <c r="V92" s="35">
        <v>2019.0</v>
      </c>
      <c r="W92" s="35">
        <v>2020.0</v>
      </c>
      <c r="X92" s="35">
        <v>2021.0</v>
      </c>
      <c r="Y92" s="35">
        <v>2022.0</v>
      </c>
      <c r="Z92" s="35">
        <v>2023.0</v>
      </c>
      <c r="AA92" s="35">
        <v>2024.0</v>
      </c>
      <c r="AB92" s="35">
        <v>2025.0</v>
      </c>
      <c r="AC92" s="35">
        <v>2026.0</v>
      </c>
      <c r="AD92" s="35">
        <v>2027.0</v>
      </c>
      <c r="AE92" s="35">
        <v>2028.0</v>
      </c>
      <c r="AF92" s="35">
        <v>2029.0</v>
      </c>
      <c r="AG92" s="36">
        <v>2030.0</v>
      </c>
      <c r="AH92" s="24"/>
    </row>
    <row r="93" ht="12.75" customHeight="1">
      <c r="A93" s="37" t="s">
        <v>38</v>
      </c>
      <c r="B93" s="38"/>
      <c r="C93" s="39">
        <v>3.0</v>
      </c>
      <c r="D93" s="39">
        <v>4.0</v>
      </c>
      <c r="E93" s="39">
        <v>5.0</v>
      </c>
      <c r="F93" s="39">
        <v>6.0</v>
      </c>
      <c r="G93" s="39">
        <v>7.0</v>
      </c>
      <c r="H93" s="39">
        <v>8.0</v>
      </c>
      <c r="I93" s="39">
        <v>9.0</v>
      </c>
      <c r="J93" s="39">
        <v>10.0</v>
      </c>
      <c r="K93" s="39">
        <v>11.0</v>
      </c>
      <c r="L93" s="39">
        <v>12.0</v>
      </c>
      <c r="M93" s="39">
        <v>13.0</v>
      </c>
      <c r="N93" s="39">
        <v>14.0</v>
      </c>
      <c r="O93" s="39">
        <v>15.0</v>
      </c>
      <c r="P93" s="39">
        <v>16.0</v>
      </c>
      <c r="Q93" s="39">
        <v>17.0</v>
      </c>
      <c r="R93" s="39">
        <v>18.0</v>
      </c>
      <c r="S93" s="39">
        <v>19.0</v>
      </c>
      <c r="T93" s="39">
        <v>20.0</v>
      </c>
      <c r="U93" s="39">
        <v>21.0</v>
      </c>
      <c r="V93" s="39">
        <v>22.0</v>
      </c>
      <c r="W93" s="39">
        <v>23.0</v>
      </c>
      <c r="X93" s="39">
        <v>24.0</v>
      </c>
      <c r="Y93" s="39">
        <v>25.0</v>
      </c>
      <c r="Z93" s="39">
        <v>26.0</v>
      </c>
      <c r="AA93" s="39">
        <v>27.0</v>
      </c>
      <c r="AB93" s="39">
        <v>28.0</v>
      </c>
      <c r="AC93" s="39">
        <v>29.0</v>
      </c>
      <c r="AD93" s="39">
        <v>30.0</v>
      </c>
      <c r="AE93" s="39">
        <v>31.0</v>
      </c>
      <c r="AF93" s="39">
        <v>32.0</v>
      </c>
      <c r="AG93" s="40">
        <v>33.0</v>
      </c>
      <c r="AH93" s="24"/>
    </row>
    <row r="94" ht="12.75" customHeight="1">
      <c r="A94" s="164" t="s">
        <v>39</v>
      </c>
      <c r="B94" s="170"/>
      <c r="C94" s="171">
        <f>SUM(C95:C103)</f>
        <v>30642</v>
      </c>
      <c r="D94" s="172" t="s">
        <v>7</v>
      </c>
      <c r="E94" s="172" t="s">
        <v>7</v>
      </c>
      <c r="F94" s="172" t="s">
        <v>7</v>
      </c>
      <c r="G94" s="172" t="s">
        <v>7</v>
      </c>
      <c r="H94" s="172" t="s">
        <v>7</v>
      </c>
      <c r="I94" s="172" t="s">
        <v>7</v>
      </c>
      <c r="J94" s="172" t="s">
        <v>7</v>
      </c>
      <c r="K94" s="172" t="s">
        <v>7</v>
      </c>
      <c r="L94" s="172" t="s">
        <v>7</v>
      </c>
      <c r="M94" s="172" t="s">
        <v>7</v>
      </c>
      <c r="N94" s="172" t="s">
        <v>7</v>
      </c>
      <c r="O94" s="172" t="s">
        <v>7</v>
      </c>
      <c r="P94" s="172" t="s">
        <v>7</v>
      </c>
      <c r="Q94" s="172" t="s">
        <v>7</v>
      </c>
      <c r="R94" s="172" t="s">
        <v>7</v>
      </c>
      <c r="S94" s="172" t="s">
        <v>7</v>
      </c>
      <c r="T94" s="172" t="s">
        <v>7</v>
      </c>
      <c r="U94" s="176"/>
      <c r="V94" s="176"/>
      <c r="W94" s="176"/>
      <c r="X94" s="176"/>
      <c r="Y94" s="176"/>
      <c r="Z94" s="176"/>
      <c r="AA94" s="176"/>
      <c r="AB94" s="176"/>
      <c r="AC94" s="176"/>
      <c r="AD94" s="176"/>
      <c r="AE94" s="176"/>
      <c r="AF94" s="176"/>
      <c r="AG94" s="177"/>
      <c r="AH94" s="24"/>
    </row>
    <row r="95" ht="12.75" customHeight="1">
      <c r="A95" s="46" t="s">
        <v>135</v>
      </c>
      <c r="B95" s="51" t="s">
        <v>51</v>
      </c>
      <c r="C95" s="48">
        <v>22000.0</v>
      </c>
      <c r="D95" s="71" t="s">
        <v>7</v>
      </c>
      <c r="E95" s="71" t="s">
        <v>7</v>
      </c>
      <c r="F95" s="71" t="s">
        <v>7</v>
      </c>
      <c r="G95" s="71" t="s">
        <v>7</v>
      </c>
      <c r="H95" s="71" t="s">
        <v>7</v>
      </c>
      <c r="I95" s="71" t="s">
        <v>7</v>
      </c>
      <c r="J95" s="71" t="s">
        <v>7</v>
      </c>
      <c r="K95" s="71" t="s">
        <v>7</v>
      </c>
      <c r="L95" s="71" t="s">
        <v>7</v>
      </c>
      <c r="M95" s="71" t="s">
        <v>7</v>
      </c>
      <c r="N95" s="71" t="s">
        <v>7</v>
      </c>
      <c r="O95" s="71" t="s">
        <v>7</v>
      </c>
      <c r="P95" s="71" t="s">
        <v>7</v>
      </c>
      <c r="Q95" s="71" t="s">
        <v>7</v>
      </c>
      <c r="R95" s="71" t="s">
        <v>7</v>
      </c>
      <c r="S95" s="71" t="s">
        <v>7</v>
      </c>
      <c r="T95" s="71" t="s">
        <v>7</v>
      </c>
      <c r="U95" s="84"/>
      <c r="V95" s="84"/>
      <c r="W95" s="84"/>
      <c r="X95" s="84"/>
      <c r="Y95" s="84"/>
      <c r="Z95" s="84"/>
      <c r="AA95" s="84"/>
      <c r="AB95" s="84"/>
      <c r="AC95" s="84"/>
      <c r="AD95" s="84"/>
      <c r="AE95" s="84"/>
      <c r="AF95" s="84"/>
      <c r="AG95" s="88"/>
      <c r="AH95" s="24"/>
    </row>
    <row r="96" ht="12.75" customHeight="1">
      <c r="A96" s="46" t="s">
        <v>136</v>
      </c>
      <c r="B96" s="51" t="s">
        <v>51</v>
      </c>
      <c r="C96" s="48">
        <v>450.0</v>
      </c>
      <c r="D96" s="71" t="s">
        <v>7</v>
      </c>
      <c r="E96" s="71" t="s">
        <v>7</v>
      </c>
      <c r="F96" s="71" t="s">
        <v>7</v>
      </c>
      <c r="G96" s="71" t="s">
        <v>7</v>
      </c>
      <c r="H96" s="71" t="s">
        <v>7</v>
      </c>
      <c r="I96" s="71" t="s">
        <v>7</v>
      </c>
      <c r="J96" s="71" t="s">
        <v>7</v>
      </c>
      <c r="K96" s="71" t="s">
        <v>7</v>
      </c>
      <c r="L96" s="71" t="s">
        <v>7</v>
      </c>
      <c r="M96" s="71" t="s">
        <v>7</v>
      </c>
      <c r="N96" s="71" t="s">
        <v>7</v>
      </c>
      <c r="O96" s="71" t="s">
        <v>7</v>
      </c>
      <c r="P96" s="71" t="s">
        <v>7</v>
      </c>
      <c r="Q96" s="71" t="s">
        <v>7</v>
      </c>
      <c r="R96" s="71" t="s">
        <v>7</v>
      </c>
      <c r="S96" s="71" t="s">
        <v>7</v>
      </c>
      <c r="T96" s="71" t="s">
        <v>7</v>
      </c>
      <c r="U96" s="84"/>
      <c r="V96" s="84"/>
      <c r="W96" s="84"/>
      <c r="X96" s="84"/>
      <c r="Y96" s="84"/>
      <c r="Z96" s="84"/>
      <c r="AA96" s="84"/>
      <c r="AB96" s="84"/>
      <c r="AC96" s="84"/>
      <c r="AD96" s="84"/>
      <c r="AE96" s="84"/>
      <c r="AF96" s="84"/>
      <c r="AG96" s="88"/>
      <c r="AH96" s="24"/>
    </row>
    <row r="97" ht="12.75" customHeight="1">
      <c r="A97" s="46" t="s">
        <v>137</v>
      </c>
      <c r="B97" s="51" t="s">
        <v>51</v>
      </c>
      <c r="C97" s="48">
        <v>1600.0</v>
      </c>
      <c r="D97" s="71" t="s">
        <v>7</v>
      </c>
      <c r="E97" s="71" t="s">
        <v>7</v>
      </c>
      <c r="F97" s="71" t="s">
        <v>7</v>
      </c>
      <c r="G97" s="71" t="s">
        <v>7</v>
      </c>
      <c r="H97" s="71" t="s">
        <v>7</v>
      </c>
      <c r="I97" s="71" t="s">
        <v>7</v>
      </c>
      <c r="J97" s="71" t="s">
        <v>7</v>
      </c>
      <c r="K97" s="71" t="s">
        <v>7</v>
      </c>
      <c r="L97" s="71" t="s">
        <v>7</v>
      </c>
      <c r="M97" s="71" t="s">
        <v>7</v>
      </c>
      <c r="N97" s="71" t="s">
        <v>7</v>
      </c>
      <c r="O97" s="71" t="s">
        <v>7</v>
      </c>
      <c r="P97" s="71" t="s">
        <v>7</v>
      </c>
      <c r="Q97" s="71" t="s">
        <v>7</v>
      </c>
      <c r="R97" s="71" t="s">
        <v>7</v>
      </c>
      <c r="S97" s="71" t="s">
        <v>7</v>
      </c>
      <c r="T97" s="71" t="s">
        <v>7</v>
      </c>
      <c r="U97" s="84"/>
      <c r="V97" s="84"/>
      <c r="W97" s="84"/>
      <c r="X97" s="84"/>
      <c r="Y97" s="84"/>
      <c r="Z97" s="84"/>
      <c r="AA97" s="84"/>
      <c r="AB97" s="84"/>
      <c r="AC97" s="84"/>
      <c r="AD97" s="84"/>
      <c r="AE97" s="84"/>
      <c r="AF97" s="84"/>
      <c r="AG97" s="88"/>
      <c r="AH97" s="24"/>
    </row>
    <row r="98" ht="12.75" customHeight="1">
      <c r="A98" s="46" t="s">
        <v>138</v>
      </c>
      <c r="B98" s="51" t="s">
        <v>51</v>
      </c>
      <c r="C98" s="48">
        <v>100.0</v>
      </c>
      <c r="D98" s="71" t="s">
        <v>7</v>
      </c>
      <c r="E98" s="71" t="s">
        <v>7</v>
      </c>
      <c r="F98" s="71" t="s">
        <v>7</v>
      </c>
      <c r="G98" s="71" t="s">
        <v>7</v>
      </c>
      <c r="H98" s="71" t="s">
        <v>7</v>
      </c>
      <c r="I98" s="71" t="s">
        <v>7</v>
      </c>
      <c r="J98" s="71" t="s">
        <v>7</v>
      </c>
      <c r="K98" s="71" t="s">
        <v>7</v>
      </c>
      <c r="L98" s="71" t="s">
        <v>7</v>
      </c>
      <c r="M98" s="71" t="s">
        <v>7</v>
      </c>
      <c r="N98" s="71" t="s">
        <v>7</v>
      </c>
      <c r="O98" s="71" t="s">
        <v>7</v>
      </c>
      <c r="P98" s="71" t="s">
        <v>7</v>
      </c>
      <c r="Q98" s="71" t="s">
        <v>7</v>
      </c>
      <c r="R98" s="71" t="s">
        <v>7</v>
      </c>
      <c r="S98" s="71" t="s">
        <v>7</v>
      </c>
      <c r="T98" s="71" t="s">
        <v>7</v>
      </c>
      <c r="U98" s="84"/>
      <c r="V98" s="84"/>
      <c r="W98" s="84"/>
      <c r="X98" s="84"/>
      <c r="Y98" s="84"/>
      <c r="Z98" s="84"/>
      <c r="AA98" s="84"/>
      <c r="AB98" s="84"/>
      <c r="AC98" s="84"/>
      <c r="AD98" s="84"/>
      <c r="AE98" s="84"/>
      <c r="AF98" s="84"/>
      <c r="AG98" s="88"/>
      <c r="AH98" s="24"/>
    </row>
    <row r="99" ht="12.75" customHeight="1">
      <c r="A99" s="46" t="s">
        <v>139</v>
      </c>
      <c r="B99" s="51" t="s">
        <v>51</v>
      </c>
      <c r="C99" s="48">
        <v>770.0</v>
      </c>
      <c r="D99" s="71" t="s">
        <v>7</v>
      </c>
      <c r="E99" s="71" t="s">
        <v>7</v>
      </c>
      <c r="F99" s="71" t="s">
        <v>7</v>
      </c>
      <c r="G99" s="71" t="s">
        <v>7</v>
      </c>
      <c r="H99" s="71" t="s">
        <v>7</v>
      </c>
      <c r="I99" s="71" t="s">
        <v>7</v>
      </c>
      <c r="J99" s="71" t="s">
        <v>7</v>
      </c>
      <c r="K99" s="71" t="s">
        <v>7</v>
      </c>
      <c r="L99" s="71" t="s">
        <v>7</v>
      </c>
      <c r="M99" s="71" t="s">
        <v>7</v>
      </c>
      <c r="N99" s="71" t="s">
        <v>7</v>
      </c>
      <c r="O99" s="71" t="s">
        <v>7</v>
      </c>
      <c r="P99" s="71" t="s">
        <v>7</v>
      </c>
      <c r="Q99" s="71" t="s">
        <v>7</v>
      </c>
      <c r="R99" s="71" t="s">
        <v>7</v>
      </c>
      <c r="S99" s="71" t="s">
        <v>7</v>
      </c>
      <c r="T99" s="71" t="s">
        <v>7</v>
      </c>
      <c r="U99" s="84"/>
      <c r="V99" s="84"/>
      <c r="W99" s="84"/>
      <c r="X99" s="84"/>
      <c r="Y99" s="84"/>
      <c r="Z99" s="84"/>
      <c r="AA99" s="84"/>
      <c r="AB99" s="84"/>
      <c r="AC99" s="84"/>
      <c r="AD99" s="84"/>
      <c r="AE99" s="84"/>
      <c r="AF99" s="84"/>
      <c r="AG99" s="88"/>
      <c r="AH99" s="24"/>
    </row>
    <row r="100" ht="12.75" customHeight="1">
      <c r="A100" s="46" t="s">
        <v>140</v>
      </c>
      <c r="B100" s="51" t="s">
        <v>51</v>
      </c>
      <c r="C100" s="48">
        <v>3300.0</v>
      </c>
      <c r="D100" s="71" t="s">
        <v>7</v>
      </c>
      <c r="E100" s="71" t="s">
        <v>7</v>
      </c>
      <c r="F100" s="71" t="s">
        <v>7</v>
      </c>
      <c r="G100" s="71" t="s">
        <v>7</v>
      </c>
      <c r="H100" s="71" t="s">
        <v>7</v>
      </c>
      <c r="I100" s="71" t="s">
        <v>7</v>
      </c>
      <c r="J100" s="71" t="s">
        <v>7</v>
      </c>
      <c r="K100" s="71" t="s">
        <v>7</v>
      </c>
      <c r="L100" s="71" t="s">
        <v>7</v>
      </c>
      <c r="M100" s="71" t="s">
        <v>7</v>
      </c>
      <c r="N100" s="71" t="s">
        <v>7</v>
      </c>
      <c r="O100" s="71" t="s">
        <v>7</v>
      </c>
      <c r="P100" s="71" t="s">
        <v>7</v>
      </c>
      <c r="Q100" s="71" t="s">
        <v>7</v>
      </c>
      <c r="R100" s="71" t="s">
        <v>7</v>
      </c>
      <c r="S100" s="71" t="s">
        <v>7</v>
      </c>
      <c r="T100" s="71" t="s">
        <v>7</v>
      </c>
      <c r="U100" s="84"/>
      <c r="V100" s="84"/>
      <c r="W100" s="84"/>
      <c r="X100" s="84"/>
      <c r="Y100" s="84"/>
      <c r="Z100" s="84"/>
      <c r="AA100" s="84"/>
      <c r="AB100" s="84"/>
      <c r="AC100" s="84"/>
      <c r="AD100" s="84"/>
      <c r="AE100" s="84"/>
      <c r="AF100" s="84"/>
      <c r="AG100" s="88"/>
      <c r="AH100" s="24"/>
    </row>
    <row r="101" ht="12.75" customHeight="1">
      <c r="A101" s="46" t="s">
        <v>141</v>
      </c>
      <c r="B101" s="51" t="s">
        <v>51</v>
      </c>
      <c r="C101" s="48">
        <v>222.0</v>
      </c>
      <c r="D101" s="71" t="s">
        <v>7</v>
      </c>
      <c r="E101" s="71" t="s">
        <v>7</v>
      </c>
      <c r="F101" s="71" t="s">
        <v>7</v>
      </c>
      <c r="G101" s="71" t="s">
        <v>7</v>
      </c>
      <c r="H101" s="71" t="s">
        <v>7</v>
      </c>
      <c r="I101" s="71" t="s">
        <v>7</v>
      </c>
      <c r="J101" s="71" t="s">
        <v>7</v>
      </c>
      <c r="K101" s="71" t="s">
        <v>7</v>
      </c>
      <c r="L101" s="71" t="s">
        <v>7</v>
      </c>
      <c r="M101" s="71" t="s">
        <v>7</v>
      </c>
      <c r="N101" s="71" t="s">
        <v>7</v>
      </c>
      <c r="O101" s="71" t="s">
        <v>7</v>
      </c>
      <c r="P101" s="71" t="s">
        <v>7</v>
      </c>
      <c r="Q101" s="71" t="s">
        <v>7</v>
      </c>
      <c r="R101" s="71" t="s">
        <v>7</v>
      </c>
      <c r="S101" s="71" t="s">
        <v>7</v>
      </c>
      <c r="T101" s="71" t="s">
        <v>7</v>
      </c>
      <c r="U101" s="84"/>
      <c r="V101" s="84"/>
      <c r="W101" s="84"/>
      <c r="X101" s="84"/>
      <c r="Y101" s="84"/>
      <c r="Z101" s="84"/>
      <c r="AA101" s="84"/>
      <c r="AB101" s="84"/>
      <c r="AC101" s="84"/>
      <c r="AD101" s="84"/>
      <c r="AE101" s="84"/>
      <c r="AF101" s="84"/>
      <c r="AG101" s="88"/>
      <c r="AH101" s="24"/>
    </row>
    <row r="102" ht="12.75" customHeight="1">
      <c r="A102" s="46" t="s">
        <v>142</v>
      </c>
      <c r="B102" s="51" t="s">
        <v>51</v>
      </c>
      <c r="C102" s="48">
        <v>1250.0</v>
      </c>
      <c r="D102" s="71" t="s">
        <v>7</v>
      </c>
      <c r="E102" s="71" t="s">
        <v>7</v>
      </c>
      <c r="F102" s="71" t="s">
        <v>7</v>
      </c>
      <c r="G102" s="71" t="s">
        <v>7</v>
      </c>
      <c r="H102" s="71" t="s">
        <v>7</v>
      </c>
      <c r="I102" s="71" t="s">
        <v>7</v>
      </c>
      <c r="J102" s="71" t="s">
        <v>7</v>
      </c>
      <c r="K102" s="71" t="s">
        <v>7</v>
      </c>
      <c r="L102" s="71" t="s">
        <v>7</v>
      </c>
      <c r="M102" s="71" t="s">
        <v>7</v>
      </c>
      <c r="N102" s="71" t="s">
        <v>7</v>
      </c>
      <c r="O102" s="71" t="s">
        <v>7</v>
      </c>
      <c r="P102" s="71" t="s">
        <v>7</v>
      </c>
      <c r="Q102" s="71" t="s">
        <v>7</v>
      </c>
      <c r="R102" s="71" t="s">
        <v>7</v>
      </c>
      <c r="S102" s="71" t="s">
        <v>7</v>
      </c>
      <c r="T102" s="71" t="s">
        <v>7</v>
      </c>
      <c r="U102" s="84"/>
      <c r="V102" s="84"/>
      <c r="W102" s="84"/>
      <c r="X102" s="84"/>
      <c r="Y102" s="84"/>
      <c r="Z102" s="84"/>
      <c r="AA102" s="84"/>
      <c r="AB102" s="84"/>
      <c r="AC102" s="84"/>
      <c r="AD102" s="84"/>
      <c r="AE102" s="84"/>
      <c r="AF102" s="84"/>
      <c r="AG102" s="88"/>
      <c r="AH102" s="24"/>
    </row>
    <row r="103" ht="12.75" customHeight="1">
      <c r="A103" s="52" t="s">
        <v>143</v>
      </c>
      <c r="B103" s="58" t="s">
        <v>51</v>
      </c>
      <c r="C103" s="54">
        <v>950.0</v>
      </c>
      <c r="D103" s="256" t="s">
        <v>7</v>
      </c>
      <c r="E103" s="256" t="s">
        <v>7</v>
      </c>
      <c r="F103" s="256" t="s">
        <v>7</v>
      </c>
      <c r="G103" s="256" t="s">
        <v>7</v>
      </c>
      <c r="H103" s="256" t="s">
        <v>7</v>
      </c>
      <c r="I103" s="256" t="s">
        <v>7</v>
      </c>
      <c r="J103" s="256" t="s">
        <v>7</v>
      </c>
      <c r="K103" s="256" t="s">
        <v>7</v>
      </c>
      <c r="L103" s="256" t="s">
        <v>7</v>
      </c>
      <c r="M103" s="256" t="s">
        <v>7</v>
      </c>
      <c r="N103" s="256" t="s">
        <v>7</v>
      </c>
      <c r="O103" s="256" t="s">
        <v>7</v>
      </c>
      <c r="P103" s="256" t="s">
        <v>7</v>
      </c>
      <c r="Q103" s="256" t="s">
        <v>7</v>
      </c>
      <c r="R103" s="256" t="s">
        <v>7</v>
      </c>
      <c r="S103" s="256" t="s">
        <v>7</v>
      </c>
      <c r="T103" s="256" t="s">
        <v>7</v>
      </c>
      <c r="U103" s="98"/>
      <c r="V103" s="98"/>
      <c r="W103" s="98"/>
      <c r="X103" s="98"/>
      <c r="Y103" s="98"/>
      <c r="Z103" s="98"/>
      <c r="AA103" s="98"/>
      <c r="AB103" s="98"/>
      <c r="AC103" s="98"/>
      <c r="AD103" s="98"/>
      <c r="AE103" s="98"/>
      <c r="AF103" s="98"/>
      <c r="AG103" s="113"/>
      <c r="AH103" s="24"/>
    </row>
    <row r="104" ht="12.75" customHeight="1">
      <c r="A104" s="59" t="s">
        <v>44</v>
      </c>
      <c r="B104" s="60"/>
      <c r="C104" s="192">
        <f>C105+C106</f>
        <v>2213.1</v>
      </c>
      <c r="D104" s="65" t="s">
        <v>7</v>
      </c>
      <c r="E104" s="65" t="s">
        <v>7</v>
      </c>
      <c r="F104" s="65" t="s">
        <v>7</v>
      </c>
      <c r="G104" s="65" t="s">
        <v>7</v>
      </c>
      <c r="H104" s="65" t="s">
        <v>7</v>
      </c>
      <c r="I104" s="65" t="s">
        <v>7</v>
      </c>
      <c r="J104" s="65" t="s">
        <v>7</v>
      </c>
      <c r="K104" s="65" t="s">
        <v>7</v>
      </c>
      <c r="L104" s="65" t="s">
        <v>7</v>
      </c>
      <c r="M104" s="65" t="s">
        <v>7</v>
      </c>
      <c r="N104" s="65" t="s">
        <v>7</v>
      </c>
      <c r="O104" s="65" t="s">
        <v>7</v>
      </c>
      <c r="P104" s="65" t="s">
        <v>7</v>
      </c>
      <c r="Q104" s="65" t="s">
        <v>7</v>
      </c>
      <c r="R104" s="65" t="s">
        <v>7</v>
      </c>
      <c r="S104" s="65" t="s">
        <v>7</v>
      </c>
      <c r="T104" s="65" t="s">
        <v>7</v>
      </c>
      <c r="U104" s="65"/>
      <c r="V104" s="65"/>
      <c r="W104" s="65"/>
      <c r="X104" s="65"/>
      <c r="Y104" s="65"/>
      <c r="Z104" s="65"/>
      <c r="AA104" s="65"/>
      <c r="AB104" s="65"/>
      <c r="AC104" s="65"/>
      <c r="AD104" s="65"/>
      <c r="AE104" s="65"/>
      <c r="AF104" s="65"/>
      <c r="AG104" s="69"/>
      <c r="AH104" s="24"/>
    </row>
    <row r="105" ht="12.75" customHeight="1">
      <c r="A105" s="46" t="s">
        <v>48</v>
      </c>
      <c r="B105" s="47"/>
      <c r="C105" s="259">
        <f>1606+16.4+93.4+25.6+36.5+271+17.8+68.4+78</f>
        <v>2213.1</v>
      </c>
      <c r="D105" s="49" t="s">
        <v>7</v>
      </c>
      <c r="E105" s="49" t="s">
        <v>7</v>
      </c>
      <c r="F105" s="49" t="s">
        <v>7</v>
      </c>
      <c r="G105" s="49" t="s">
        <v>7</v>
      </c>
      <c r="H105" s="49" t="s">
        <v>7</v>
      </c>
      <c r="I105" s="49" t="s">
        <v>7</v>
      </c>
      <c r="J105" s="49" t="s">
        <v>7</v>
      </c>
      <c r="K105" s="49" t="s">
        <v>7</v>
      </c>
      <c r="L105" s="49" t="s">
        <v>7</v>
      </c>
      <c r="M105" s="49" t="s">
        <v>7</v>
      </c>
      <c r="N105" s="49" t="s">
        <v>7</v>
      </c>
      <c r="O105" s="49" t="s">
        <v>7</v>
      </c>
      <c r="P105" s="49" t="s">
        <v>7</v>
      </c>
      <c r="Q105" s="49" t="s">
        <v>7</v>
      </c>
      <c r="R105" s="49" t="s">
        <v>7</v>
      </c>
      <c r="S105" s="49" t="s">
        <v>7</v>
      </c>
      <c r="T105" s="49" t="s">
        <v>7</v>
      </c>
      <c r="U105" s="49"/>
      <c r="V105" s="49"/>
      <c r="W105" s="49"/>
      <c r="X105" s="49"/>
      <c r="Y105" s="49"/>
      <c r="Z105" s="49"/>
      <c r="AA105" s="49"/>
      <c r="AB105" s="49"/>
      <c r="AC105" s="49"/>
      <c r="AD105" s="49"/>
      <c r="AE105" s="49"/>
      <c r="AF105" s="49"/>
      <c r="AG105" s="51"/>
      <c r="AH105" s="24"/>
    </row>
    <row r="106" ht="12.75" customHeight="1">
      <c r="A106" s="74" t="s">
        <v>49</v>
      </c>
      <c r="B106" s="75"/>
      <c r="C106" s="262">
        <v>0.0</v>
      </c>
      <c r="D106" s="77" t="s">
        <v>7</v>
      </c>
      <c r="E106" s="77" t="s">
        <v>7</v>
      </c>
      <c r="F106" s="77" t="s">
        <v>7</v>
      </c>
      <c r="G106" s="77" t="s">
        <v>7</v>
      </c>
      <c r="H106" s="77" t="s">
        <v>7</v>
      </c>
      <c r="I106" s="77" t="s">
        <v>7</v>
      </c>
      <c r="J106" s="77" t="s">
        <v>7</v>
      </c>
      <c r="K106" s="77" t="s">
        <v>7</v>
      </c>
      <c r="L106" s="77" t="s">
        <v>7</v>
      </c>
      <c r="M106" s="77" t="s">
        <v>7</v>
      </c>
      <c r="N106" s="77" t="s">
        <v>7</v>
      </c>
      <c r="O106" s="77" t="s">
        <v>7</v>
      </c>
      <c r="P106" s="77" t="s">
        <v>7</v>
      </c>
      <c r="Q106" s="77" t="s">
        <v>7</v>
      </c>
      <c r="R106" s="77" t="s">
        <v>7</v>
      </c>
      <c r="S106" s="77" t="s">
        <v>7</v>
      </c>
      <c r="T106" s="77" t="s">
        <v>7</v>
      </c>
      <c r="U106" s="77"/>
      <c r="V106" s="77"/>
      <c r="W106" s="77"/>
      <c r="X106" s="77"/>
      <c r="Y106" s="77"/>
      <c r="Z106" s="77"/>
      <c r="AA106" s="77"/>
      <c r="AB106" s="77"/>
      <c r="AC106" s="77"/>
      <c r="AD106" s="77"/>
      <c r="AE106" s="77"/>
      <c r="AF106" s="77"/>
      <c r="AG106" s="81"/>
      <c r="AH106" s="24"/>
    </row>
    <row r="107" ht="12.75" customHeight="1">
      <c r="A107" s="164" t="s">
        <v>50</v>
      </c>
      <c r="B107" s="170"/>
      <c r="C107" s="197">
        <f t="shared" ref="C107:T107" si="25">C108+SUM(C110:C116)</f>
        <v>28990</v>
      </c>
      <c r="D107" s="197">
        <f t="shared" si="25"/>
        <v>29335</v>
      </c>
      <c r="E107" s="197">
        <f t="shared" si="25"/>
        <v>30391</v>
      </c>
      <c r="F107" s="197">
        <f t="shared" si="25"/>
        <v>30738</v>
      </c>
      <c r="G107" s="197">
        <f t="shared" si="25"/>
        <v>31082</v>
      </c>
      <c r="H107" s="197">
        <f t="shared" si="25"/>
        <v>31757</v>
      </c>
      <c r="I107" s="197">
        <f t="shared" si="25"/>
        <v>32947</v>
      </c>
      <c r="J107" s="197">
        <f t="shared" si="25"/>
        <v>34764</v>
      </c>
      <c r="K107" s="197">
        <f t="shared" si="25"/>
        <v>35736</v>
      </c>
      <c r="L107" s="197">
        <f t="shared" si="25"/>
        <v>37700</v>
      </c>
      <c r="M107" s="197">
        <f t="shared" si="25"/>
        <v>38938</v>
      </c>
      <c r="N107" s="197">
        <f t="shared" si="25"/>
        <v>39353</v>
      </c>
      <c r="O107" s="197">
        <f t="shared" si="25"/>
        <v>40322</v>
      </c>
      <c r="P107" s="197">
        <f t="shared" si="25"/>
        <v>40653</v>
      </c>
      <c r="Q107" s="197">
        <f t="shared" si="25"/>
        <v>40853</v>
      </c>
      <c r="R107" s="197">
        <f t="shared" si="25"/>
        <v>41741</v>
      </c>
      <c r="S107" s="197">
        <f t="shared" si="25"/>
        <v>41458</v>
      </c>
      <c r="T107" s="197">
        <f t="shared" si="25"/>
        <v>39481</v>
      </c>
      <c r="U107" s="197">
        <f t="shared" ref="U107:AG107" si="26">SUM(U108:U116)</f>
        <v>41280</v>
      </c>
      <c r="V107" s="197">
        <f t="shared" si="26"/>
        <v>0</v>
      </c>
      <c r="W107" s="197">
        <f t="shared" si="26"/>
        <v>0</v>
      </c>
      <c r="X107" s="197">
        <f t="shared" si="26"/>
        <v>0</v>
      </c>
      <c r="Y107" s="197">
        <f t="shared" si="26"/>
        <v>0</v>
      </c>
      <c r="Z107" s="197">
        <f t="shared" si="26"/>
        <v>0</v>
      </c>
      <c r="AA107" s="197">
        <f t="shared" si="26"/>
        <v>0</v>
      </c>
      <c r="AB107" s="197">
        <f t="shared" si="26"/>
        <v>0</v>
      </c>
      <c r="AC107" s="197">
        <f t="shared" si="26"/>
        <v>0</v>
      </c>
      <c r="AD107" s="197">
        <f t="shared" si="26"/>
        <v>0</v>
      </c>
      <c r="AE107" s="197">
        <f t="shared" si="26"/>
        <v>0</v>
      </c>
      <c r="AF107" s="197">
        <f t="shared" si="26"/>
        <v>0</v>
      </c>
      <c r="AG107" s="199">
        <f t="shared" si="26"/>
        <v>0</v>
      </c>
      <c r="AH107" s="24"/>
    </row>
    <row r="108" ht="12.75" customHeight="1">
      <c r="A108" s="46" t="s">
        <v>135</v>
      </c>
      <c r="B108" s="51" t="s">
        <v>51</v>
      </c>
      <c r="C108" s="84">
        <f>VLOOKUP($A108,'US Census Population Estimates'!$A$20:$AG$266,C$93,FALSE)</f>
        <v>20939</v>
      </c>
      <c r="D108" s="84">
        <f>VLOOKUP($A108,'US Census Population Estimates'!$A$20:$AG$266,D$93,FALSE)</f>
        <v>21449</v>
      </c>
      <c r="E108" s="84">
        <f>VLOOKUP($A108,'US Census Population Estimates'!$A$20:$AG$266,E$93,FALSE)</f>
        <v>22435</v>
      </c>
      <c r="F108" s="84">
        <f>VLOOKUP($A108,'US Census Population Estimates'!$A$20:$AG$266,F$93,FALSE)</f>
        <v>22742</v>
      </c>
      <c r="G108" s="84">
        <f>VLOOKUP($A108,'US Census Population Estimates'!$A$20:$AG$266,G$93,FALSE)</f>
        <v>23002</v>
      </c>
      <c r="H108" s="84">
        <f>VLOOKUP($A108,'US Census Population Estimates'!$A$20:$AG$266,H$93,FALSE)</f>
        <v>23670</v>
      </c>
      <c r="I108" s="84">
        <f>VLOOKUP($A108,'US Census Population Estimates'!$A$20:$AG$266,I$93,FALSE)</f>
        <v>24728</v>
      </c>
      <c r="J108" s="84">
        <f>VLOOKUP($A108,'US Census Population Estimates'!$A$20:$AG$266,J$93,FALSE)</f>
        <v>26128</v>
      </c>
      <c r="K108" s="84">
        <f>VLOOKUP($A108,'US Census Population Estimates'!$A$20:$AG$266,K$93,FALSE)</f>
        <v>26931</v>
      </c>
      <c r="L108" s="84">
        <f>VLOOKUP($A108,'US Census Population Estimates'!$A$20:$AG$266,L$93,FALSE)</f>
        <v>28742</v>
      </c>
      <c r="M108" s="84">
        <f>VLOOKUP($A108,'US Census Population Estimates'!$A$20:$AG$266,M$93,FALSE)</f>
        <v>29947</v>
      </c>
      <c r="N108" s="84">
        <f>VLOOKUP($A108,'US Census Population Estimates'!$A$20:$AG$266,N$93,FALSE)</f>
        <v>30392</v>
      </c>
      <c r="O108" s="84">
        <f>VLOOKUP($A108,'US Census Population Estimates'!$A$20:$AG$266,O$93,FALSE)</f>
        <v>31378</v>
      </c>
      <c r="P108" s="84">
        <f>VLOOKUP($A108,'US Census Population Estimates'!$A$20:$AG$266,P$93,FALSE)</f>
        <v>31637</v>
      </c>
      <c r="Q108" s="84">
        <f>VLOOKUP($A108,'US Census Population Estimates'!$A$20:$AG$266,Q$93,FALSE)</f>
        <v>31820</v>
      </c>
      <c r="R108" s="84">
        <f>VLOOKUP($A108,'US Census Population Estimates'!$A$20:$AG$266,R$93,FALSE)</f>
        <v>32611</v>
      </c>
      <c r="S108" s="84">
        <f>VLOOKUP($A108,'US Census Population Estimates'!$A$20:$AG$266,S$93,FALSE)</f>
        <v>32290</v>
      </c>
      <c r="T108" s="84">
        <f>VLOOKUP($A108,'US Census Population Estimates'!$A$20:$AG$266,T$93,FALSE)</f>
        <v>30560</v>
      </c>
      <c r="U108" s="84">
        <f>VLOOKUP($A108,'US Census Population Estimates'!$A$20:$AG$266,U$93,FALSE)</f>
        <v>31903</v>
      </c>
      <c r="V108" s="84" t="str">
        <f>VLOOKUP($A108,'US Census Population Estimates'!$A$20:$AG$266,V$93,FALSE)</f>
        <v/>
      </c>
      <c r="W108" s="84" t="str">
        <f>VLOOKUP($A108,'US Census Population Estimates'!$A$20:$AG$266,W$93,FALSE)</f>
        <v/>
      </c>
      <c r="X108" s="84" t="str">
        <f>VLOOKUP($A108,'US Census Population Estimates'!$A$20:$AG$266,X$93,FALSE)</f>
        <v/>
      </c>
      <c r="Y108" s="84" t="str">
        <f>VLOOKUP($A108,'US Census Population Estimates'!$A$20:$AG$266,Y$93,FALSE)</f>
        <v/>
      </c>
      <c r="Z108" s="84" t="str">
        <f>VLOOKUP($A108,'US Census Population Estimates'!$A$20:$AG$266,Z$93,FALSE)</f>
        <v/>
      </c>
      <c r="AA108" s="84" t="str">
        <f>VLOOKUP($A108,'US Census Population Estimates'!$A$20:$AG$266,AA$93,FALSE)</f>
        <v/>
      </c>
      <c r="AB108" s="84" t="str">
        <f>VLOOKUP($A108,'US Census Population Estimates'!$A$20:$AG$266,AB$93,FALSE)</f>
        <v/>
      </c>
      <c r="AC108" s="84" t="str">
        <f>VLOOKUP($A108,'US Census Population Estimates'!$A$20:$AG$266,AC$93,FALSE)</f>
        <v/>
      </c>
      <c r="AD108" s="84" t="str">
        <f>VLOOKUP($A108,'US Census Population Estimates'!$A$20:$AG$266,AD$93,FALSE)</f>
        <v/>
      </c>
      <c r="AE108" s="84" t="str">
        <f>VLOOKUP($A108,'US Census Population Estimates'!$A$20:$AG$266,AE$93,FALSE)</f>
        <v/>
      </c>
      <c r="AF108" s="84" t="str">
        <f>VLOOKUP($A108,'US Census Population Estimates'!$A$20:$AG$266,AF$93,FALSE)</f>
        <v/>
      </c>
      <c r="AG108" s="88" t="str">
        <f>VLOOKUP($A108,'US Census Population Estimates'!$A$20:$AG$266,AG$93,FALSE)</f>
        <v/>
      </c>
      <c r="AH108" s="24"/>
    </row>
    <row r="109" ht="12.75" customHeight="1">
      <c r="A109" s="46" t="s">
        <v>136</v>
      </c>
      <c r="B109" s="51" t="s">
        <v>51</v>
      </c>
      <c r="C109" s="84">
        <f>VLOOKUP($A109,'US Census Population Estimates'!$A$20:$AG$266,C$93,FALSE)</f>
        <v>449</v>
      </c>
      <c r="D109" s="84">
        <f>VLOOKUP($A109,'US Census Population Estimates'!$A$20:$AG$266,D$93,FALSE)</f>
        <v>424</v>
      </c>
      <c r="E109" s="84">
        <f>VLOOKUP($A109,'US Census Population Estimates'!$A$20:$AG$266,E$93,FALSE)</f>
        <v>420</v>
      </c>
      <c r="F109" s="84">
        <f>VLOOKUP($A109,'US Census Population Estimates'!$A$20:$AG$266,F$93,FALSE)</f>
        <v>409</v>
      </c>
      <c r="G109" s="84">
        <f>VLOOKUP($A109,'US Census Population Estimates'!$A$20:$AG$266,G$93,FALSE)</f>
        <v>400</v>
      </c>
      <c r="H109" s="84">
        <f>VLOOKUP($A109,'US Census Population Estimates'!$A$20:$AG$266,H$93,FALSE)</f>
        <v>394</v>
      </c>
      <c r="I109" s="84">
        <f>VLOOKUP($A109,'US Census Population Estimates'!$A$20:$AG$266,I$93,FALSE)</f>
        <v>387</v>
      </c>
      <c r="J109" s="84">
        <f>VLOOKUP($A109,'US Census Population Estimates'!$A$20:$AG$266,J$93,FALSE)</f>
        <v>394</v>
      </c>
      <c r="K109" s="84">
        <f>VLOOKUP($A109,'US Census Population Estimates'!$A$20:$AG$266,K$93,FALSE)</f>
        <v>392</v>
      </c>
      <c r="L109" s="84">
        <f>VLOOKUP($A109,'US Census Population Estimates'!$A$20:$AG$266,L$93,FALSE)</f>
        <v>387</v>
      </c>
      <c r="M109" s="84">
        <f>VLOOKUP($A109,'US Census Population Estimates'!$A$20:$AG$266,M$93,FALSE)</f>
        <v>385</v>
      </c>
      <c r="N109" s="84">
        <f>VLOOKUP($A109,'US Census Population Estimates'!$A$20:$AG$266,N$93,FALSE)</f>
        <v>385</v>
      </c>
      <c r="O109" s="84">
        <f>VLOOKUP($A109,'US Census Population Estimates'!$A$20:$AG$266,O$93,FALSE)</f>
        <v>390</v>
      </c>
      <c r="P109" s="84">
        <f>VLOOKUP($A109,'US Census Population Estimates'!$A$20:$AG$266,P$93,FALSE)</f>
        <v>397</v>
      </c>
      <c r="Q109" s="84">
        <f>VLOOKUP($A109,'US Census Population Estimates'!$A$20:$AG$266,Q$93,FALSE)</f>
        <v>401</v>
      </c>
      <c r="R109" s="84">
        <f>VLOOKUP($A109,'US Census Population Estimates'!$A$20:$AG$266,R$93,FALSE)</f>
        <v>411</v>
      </c>
      <c r="S109" s="84">
        <f>VLOOKUP($A109,'US Census Population Estimates'!$A$20:$AG$266,S$93,FALSE)</f>
        <v>414</v>
      </c>
      <c r="T109" s="84">
        <f>VLOOKUP($A109,'US Census Population Estimates'!$A$20:$AG$266,T$93,FALSE)</f>
        <v>416</v>
      </c>
      <c r="U109" s="84">
        <f>VLOOKUP($A109,'US Census Population Estimates'!$A$20:$AG$266,U$93,FALSE)</f>
        <v>419</v>
      </c>
      <c r="V109" s="84" t="str">
        <f>VLOOKUP($A109,'US Census Population Estimates'!$A$20:$AG$266,V$93,FALSE)</f>
        <v/>
      </c>
      <c r="W109" s="84" t="str">
        <f>VLOOKUP($A109,'US Census Population Estimates'!$A$20:$AG$266,W$93,FALSE)</f>
        <v/>
      </c>
      <c r="X109" s="84" t="str">
        <f>VLOOKUP($A109,'US Census Population Estimates'!$A$20:$AG$266,X$93,FALSE)</f>
        <v/>
      </c>
      <c r="Y109" s="84" t="str">
        <f>VLOOKUP($A109,'US Census Population Estimates'!$A$20:$AG$266,Y$93,FALSE)</f>
        <v/>
      </c>
      <c r="Z109" s="84" t="str">
        <f>VLOOKUP($A109,'US Census Population Estimates'!$A$20:$AG$266,Z$93,FALSE)</f>
        <v/>
      </c>
      <c r="AA109" s="84" t="str">
        <f>VLOOKUP($A109,'US Census Population Estimates'!$A$20:$AG$266,AA$93,FALSE)</f>
        <v/>
      </c>
      <c r="AB109" s="84" t="str">
        <f>VLOOKUP($A109,'US Census Population Estimates'!$A$20:$AG$266,AB$93,FALSE)</f>
        <v/>
      </c>
      <c r="AC109" s="84" t="str">
        <f>VLOOKUP($A109,'US Census Population Estimates'!$A$20:$AG$266,AC$93,FALSE)</f>
        <v/>
      </c>
      <c r="AD109" s="84" t="str">
        <f>VLOOKUP($A109,'US Census Population Estimates'!$A$20:$AG$266,AD$93,FALSE)</f>
        <v/>
      </c>
      <c r="AE109" s="84" t="str">
        <f>VLOOKUP($A109,'US Census Population Estimates'!$A$20:$AG$266,AE$93,FALSE)</f>
        <v/>
      </c>
      <c r="AF109" s="84" t="str">
        <f>VLOOKUP($A109,'US Census Population Estimates'!$A$20:$AG$266,AF$93,FALSE)</f>
        <v/>
      </c>
      <c r="AG109" s="88" t="str">
        <f>VLOOKUP($A109,'US Census Population Estimates'!$A$20:$AG$266,AG$93,FALSE)</f>
        <v/>
      </c>
      <c r="AH109" s="24"/>
    </row>
    <row r="110" ht="12.75" customHeight="1">
      <c r="A110" s="46" t="s">
        <v>137</v>
      </c>
      <c r="B110" s="51" t="s">
        <v>51</v>
      </c>
      <c r="C110" s="84">
        <f>VLOOKUP($A110,'US Census Population Estimates'!$A$20:$AG$266,C$93,FALSE)</f>
        <v>1445</v>
      </c>
      <c r="D110" s="84">
        <f>VLOOKUP($A110,'US Census Population Estimates'!$A$20:$AG$266,D$93,FALSE)</f>
        <v>1419</v>
      </c>
      <c r="E110" s="84">
        <f>VLOOKUP($A110,'US Census Population Estimates'!$A$20:$AG$266,E$93,FALSE)</f>
        <v>1383</v>
      </c>
      <c r="F110" s="84">
        <f>VLOOKUP($A110,'US Census Population Estimates'!$A$20:$AG$266,F$93,FALSE)</f>
        <v>1387</v>
      </c>
      <c r="G110" s="84">
        <f>VLOOKUP($A110,'US Census Population Estimates'!$A$20:$AG$266,G$93,FALSE)</f>
        <v>1418</v>
      </c>
      <c r="H110" s="84">
        <f>VLOOKUP($A110,'US Census Population Estimates'!$A$20:$AG$266,H$93,FALSE)</f>
        <v>1419</v>
      </c>
      <c r="I110" s="84">
        <f>VLOOKUP($A110,'US Census Population Estimates'!$A$20:$AG$266,I$93,FALSE)</f>
        <v>1435</v>
      </c>
      <c r="J110" s="84">
        <f>VLOOKUP($A110,'US Census Population Estimates'!$A$20:$AG$266,J$93,FALSE)</f>
        <v>1509</v>
      </c>
      <c r="K110" s="84">
        <f>VLOOKUP($A110,'US Census Population Estimates'!$A$20:$AG$266,K$93,FALSE)</f>
        <v>1541</v>
      </c>
      <c r="L110" s="84">
        <f>VLOOKUP($A110,'US Census Population Estimates'!$A$20:$AG$266,L$93,FALSE)</f>
        <v>1558</v>
      </c>
      <c r="M110" s="84">
        <f>VLOOKUP($A110,'US Census Population Estimates'!$A$20:$AG$266,M$93,FALSE)</f>
        <v>1572</v>
      </c>
      <c r="N110" s="84">
        <f>VLOOKUP($A110,'US Census Population Estimates'!$A$20:$AG$266,N$93,FALSE)</f>
        <v>1569</v>
      </c>
      <c r="O110" s="84">
        <f>VLOOKUP($A110,'US Census Population Estimates'!$A$20:$AG$266,O$93,FALSE)</f>
        <v>1576</v>
      </c>
      <c r="P110" s="84">
        <f>VLOOKUP($A110,'US Census Population Estimates'!$A$20:$AG$266,P$93,FALSE)</f>
        <v>1624</v>
      </c>
      <c r="Q110" s="84">
        <f>VLOOKUP($A110,'US Census Population Estimates'!$A$20:$AG$266,Q$93,FALSE)</f>
        <v>1593</v>
      </c>
      <c r="R110" s="84">
        <f>VLOOKUP($A110,'US Census Population Estimates'!$A$20:$AG$266,R$93,FALSE)</f>
        <v>1598</v>
      </c>
      <c r="S110" s="84">
        <f>VLOOKUP($A110,'US Census Population Estimates'!$A$20:$AG$266,S$93,FALSE)</f>
        <v>1583</v>
      </c>
      <c r="T110" s="84">
        <f>VLOOKUP($A110,'US Census Population Estimates'!$A$20:$AG$266,T$93,FALSE)</f>
        <v>1543</v>
      </c>
      <c r="U110" s="84">
        <f>VLOOKUP($A110,'US Census Population Estimates'!$A$20:$AG$266,U$93,FALSE)</f>
        <v>1541</v>
      </c>
      <c r="V110" s="84" t="str">
        <f>VLOOKUP($A110,'US Census Population Estimates'!$A$20:$AG$266,V$93,FALSE)</f>
        <v/>
      </c>
      <c r="W110" s="84" t="str">
        <f>VLOOKUP($A110,'US Census Population Estimates'!$A$20:$AG$266,W$93,FALSE)</f>
        <v/>
      </c>
      <c r="X110" s="84" t="str">
        <f>VLOOKUP($A110,'US Census Population Estimates'!$A$20:$AG$266,X$93,FALSE)</f>
        <v/>
      </c>
      <c r="Y110" s="84" t="str">
        <f>VLOOKUP($A110,'US Census Population Estimates'!$A$20:$AG$266,Y$93,FALSE)</f>
        <v/>
      </c>
      <c r="Z110" s="84" t="str">
        <f>VLOOKUP($A110,'US Census Population Estimates'!$A$20:$AG$266,Z$93,FALSE)</f>
        <v/>
      </c>
      <c r="AA110" s="84" t="str">
        <f>VLOOKUP($A110,'US Census Population Estimates'!$A$20:$AG$266,AA$93,FALSE)</f>
        <v/>
      </c>
      <c r="AB110" s="84" t="str">
        <f>VLOOKUP($A110,'US Census Population Estimates'!$A$20:$AG$266,AB$93,FALSE)</f>
        <v/>
      </c>
      <c r="AC110" s="84" t="str">
        <f>VLOOKUP($A110,'US Census Population Estimates'!$A$20:$AG$266,AC$93,FALSE)</f>
        <v/>
      </c>
      <c r="AD110" s="84" t="str">
        <f>VLOOKUP($A110,'US Census Population Estimates'!$A$20:$AG$266,AD$93,FALSE)</f>
        <v/>
      </c>
      <c r="AE110" s="84" t="str">
        <f>VLOOKUP($A110,'US Census Population Estimates'!$A$20:$AG$266,AE$93,FALSE)</f>
        <v/>
      </c>
      <c r="AF110" s="84" t="str">
        <f>VLOOKUP($A110,'US Census Population Estimates'!$A$20:$AG$266,AF$93,FALSE)</f>
        <v/>
      </c>
      <c r="AG110" s="88" t="str">
        <f>VLOOKUP($A110,'US Census Population Estimates'!$A$20:$AG$266,AG$93,FALSE)</f>
        <v/>
      </c>
      <c r="AH110" s="24"/>
    </row>
    <row r="111" ht="12.75" customHeight="1">
      <c r="A111" s="46" t="s">
        <v>138</v>
      </c>
      <c r="B111" s="51" t="s">
        <v>51</v>
      </c>
      <c r="C111" s="84">
        <f>VLOOKUP($A111,'US Census Population Estimates'!$A$20:$AG$266,C$93,FALSE)</f>
        <v>101</v>
      </c>
      <c r="D111" s="84">
        <f>VLOOKUP($A111,'US Census Population Estimates'!$A$20:$AG$266,D$93,FALSE)</f>
        <v>100</v>
      </c>
      <c r="E111" s="84">
        <f>VLOOKUP($A111,'US Census Population Estimates'!$A$20:$AG$266,E$93,FALSE)</f>
        <v>96</v>
      </c>
      <c r="F111" s="84">
        <f>VLOOKUP($A111,'US Census Population Estimates'!$A$20:$AG$266,F$93,FALSE)</f>
        <v>94</v>
      </c>
      <c r="G111" s="84">
        <f>VLOOKUP($A111,'US Census Population Estimates'!$A$20:$AG$266,G$93,FALSE)</f>
        <v>95</v>
      </c>
      <c r="H111" s="84">
        <f>VLOOKUP($A111,'US Census Population Estimates'!$A$20:$AG$266,H$93,FALSE)</f>
        <v>94</v>
      </c>
      <c r="I111" s="84">
        <f>VLOOKUP($A111,'US Census Population Estimates'!$A$20:$AG$266,I$93,FALSE)</f>
        <v>93</v>
      </c>
      <c r="J111" s="84">
        <f>VLOOKUP($A111,'US Census Population Estimates'!$A$20:$AG$266,J$93,FALSE)</f>
        <v>94</v>
      </c>
      <c r="K111" s="84">
        <f>VLOOKUP($A111,'US Census Population Estimates'!$A$20:$AG$266,K$93,FALSE)</f>
        <v>96</v>
      </c>
      <c r="L111" s="84">
        <f>VLOOKUP($A111,'US Census Population Estimates'!$A$20:$AG$266,L$93,FALSE)</f>
        <v>95</v>
      </c>
      <c r="M111" s="84">
        <f>VLOOKUP($A111,'US Census Population Estimates'!$A$20:$AG$266,M$93,FALSE)</f>
        <v>95</v>
      </c>
      <c r="N111" s="84">
        <f>VLOOKUP($A111,'US Census Population Estimates'!$A$20:$AG$266,N$93,FALSE)</f>
        <v>95</v>
      </c>
      <c r="O111" s="84">
        <f>VLOOKUP($A111,'US Census Population Estimates'!$A$20:$AG$266,O$93,FALSE)</f>
        <v>93</v>
      </c>
      <c r="P111" s="84">
        <f>VLOOKUP($A111,'US Census Population Estimates'!$A$20:$AG$266,P$93,FALSE)</f>
        <v>95</v>
      </c>
      <c r="Q111" s="84">
        <f>VLOOKUP($A111,'US Census Population Estimates'!$A$20:$AG$266,Q$93,FALSE)</f>
        <v>93</v>
      </c>
      <c r="R111" s="84">
        <f>VLOOKUP($A111,'US Census Population Estimates'!$A$20:$AG$266,R$93,FALSE)</f>
        <v>93</v>
      </c>
      <c r="S111" s="84">
        <f>VLOOKUP($A111,'US Census Population Estimates'!$A$20:$AG$266,S$93,FALSE)</f>
        <v>92</v>
      </c>
      <c r="T111" s="84">
        <f>VLOOKUP($A111,'US Census Population Estimates'!$A$20:$AG$266,T$93,FALSE)</f>
        <v>88</v>
      </c>
      <c r="U111" s="84">
        <f>VLOOKUP($A111,'US Census Population Estimates'!$A$20:$AG$266,U$93,FALSE)</f>
        <v>88</v>
      </c>
      <c r="V111" s="84" t="str">
        <f>VLOOKUP($A111,'US Census Population Estimates'!$A$20:$AG$266,V$93,FALSE)</f>
        <v/>
      </c>
      <c r="W111" s="84" t="str">
        <f>VLOOKUP($A111,'US Census Population Estimates'!$A$20:$AG$266,W$93,FALSE)</f>
        <v/>
      </c>
      <c r="X111" s="84" t="str">
        <f>VLOOKUP($A111,'US Census Population Estimates'!$A$20:$AG$266,X$93,FALSE)</f>
        <v/>
      </c>
      <c r="Y111" s="84" t="str">
        <f>VLOOKUP($A111,'US Census Population Estimates'!$A$20:$AG$266,Y$93,FALSE)</f>
        <v/>
      </c>
      <c r="Z111" s="84" t="str">
        <f>VLOOKUP($A111,'US Census Population Estimates'!$A$20:$AG$266,Z$93,FALSE)</f>
        <v/>
      </c>
      <c r="AA111" s="84" t="str">
        <f>VLOOKUP($A111,'US Census Population Estimates'!$A$20:$AG$266,AA$93,FALSE)</f>
        <v/>
      </c>
      <c r="AB111" s="84" t="str">
        <f>VLOOKUP($A111,'US Census Population Estimates'!$A$20:$AG$266,AB$93,FALSE)</f>
        <v/>
      </c>
      <c r="AC111" s="84" t="str">
        <f>VLOOKUP($A111,'US Census Population Estimates'!$A$20:$AG$266,AC$93,FALSE)</f>
        <v/>
      </c>
      <c r="AD111" s="84" t="str">
        <f>VLOOKUP($A111,'US Census Population Estimates'!$A$20:$AG$266,AD$93,FALSE)</f>
        <v/>
      </c>
      <c r="AE111" s="84" t="str">
        <f>VLOOKUP($A111,'US Census Population Estimates'!$A$20:$AG$266,AE$93,FALSE)</f>
        <v/>
      </c>
      <c r="AF111" s="84" t="str">
        <f>VLOOKUP($A111,'US Census Population Estimates'!$A$20:$AG$266,AF$93,FALSE)</f>
        <v/>
      </c>
      <c r="AG111" s="88" t="str">
        <f>VLOOKUP($A111,'US Census Population Estimates'!$A$20:$AG$266,AG$93,FALSE)</f>
        <v/>
      </c>
      <c r="AH111" s="24"/>
    </row>
    <row r="112" ht="12.75" customHeight="1">
      <c r="A112" s="46" t="s">
        <v>139</v>
      </c>
      <c r="B112" s="51" t="s">
        <v>51</v>
      </c>
      <c r="C112" s="84">
        <f>VLOOKUP($A112,'US Census Population Estimates'!$A$20:$AG$266,C$93,FALSE)</f>
        <v>847</v>
      </c>
      <c r="D112" s="84">
        <f>VLOOKUP($A112,'US Census Population Estimates'!$A$20:$AG$266,D$93,FALSE)</f>
        <v>828</v>
      </c>
      <c r="E112" s="84">
        <f>VLOOKUP($A112,'US Census Population Estimates'!$A$20:$AG$266,E$93,FALSE)</f>
        <v>849</v>
      </c>
      <c r="F112" s="84">
        <f>VLOOKUP($A112,'US Census Population Estimates'!$A$20:$AG$266,F$93,FALSE)</f>
        <v>856</v>
      </c>
      <c r="G112" s="84">
        <f>VLOOKUP($A112,'US Census Population Estimates'!$A$20:$AG$266,G$93,FALSE)</f>
        <v>866</v>
      </c>
      <c r="H112" s="84">
        <f>VLOOKUP($A112,'US Census Population Estimates'!$A$20:$AG$266,H$93,FALSE)</f>
        <v>883</v>
      </c>
      <c r="I112" s="84">
        <f>VLOOKUP($A112,'US Census Population Estimates'!$A$20:$AG$266,I$93,FALSE)</f>
        <v>898</v>
      </c>
      <c r="J112" s="84">
        <f>VLOOKUP($A112,'US Census Population Estimates'!$A$20:$AG$266,J$93,FALSE)</f>
        <v>944</v>
      </c>
      <c r="K112" s="84">
        <f>VLOOKUP($A112,'US Census Population Estimates'!$A$20:$AG$266,K$93,FALSE)</f>
        <v>973</v>
      </c>
      <c r="L112" s="84">
        <f>VLOOKUP($A112,'US Census Population Estimates'!$A$20:$AG$266,L$93,FALSE)</f>
        <v>993</v>
      </c>
      <c r="M112" s="84">
        <f>VLOOKUP($A112,'US Census Population Estimates'!$A$20:$AG$266,M$93,FALSE)</f>
        <v>1013</v>
      </c>
      <c r="N112" s="84">
        <f>VLOOKUP($A112,'US Census Population Estimates'!$A$20:$AG$266,N$93,FALSE)</f>
        <v>1019</v>
      </c>
      <c r="O112" s="84">
        <f>VLOOKUP($A112,'US Census Population Estimates'!$A$20:$AG$266,O$93,FALSE)</f>
        <v>1021</v>
      </c>
      <c r="P112" s="84">
        <f>VLOOKUP($A112,'US Census Population Estimates'!$A$20:$AG$266,P$93,FALSE)</f>
        <v>1023</v>
      </c>
      <c r="Q112" s="84">
        <f>VLOOKUP($A112,'US Census Population Estimates'!$A$20:$AG$266,Q$93,FALSE)</f>
        <v>1034</v>
      </c>
      <c r="R112" s="84">
        <f>VLOOKUP($A112,'US Census Population Estimates'!$A$20:$AG$266,R$93,FALSE)</f>
        <v>1058</v>
      </c>
      <c r="S112" s="84">
        <f>VLOOKUP($A112,'US Census Population Estimates'!$A$20:$AG$266,S$93,FALSE)</f>
        <v>1068</v>
      </c>
      <c r="T112" s="84">
        <f>VLOOKUP($A112,'US Census Population Estimates'!$A$20:$AG$266,T$93,FALSE)</f>
        <v>1054</v>
      </c>
      <c r="U112" s="84">
        <f>VLOOKUP($A112,'US Census Population Estimates'!$A$20:$AG$266,U$93,FALSE)</f>
        <v>1062</v>
      </c>
      <c r="V112" s="84" t="str">
        <f>VLOOKUP($A112,'US Census Population Estimates'!$A$20:$AG$266,V$93,FALSE)</f>
        <v/>
      </c>
      <c r="W112" s="84" t="str">
        <f>VLOOKUP($A112,'US Census Population Estimates'!$A$20:$AG$266,W$93,FALSE)</f>
        <v/>
      </c>
      <c r="X112" s="84" t="str">
        <f>VLOOKUP($A112,'US Census Population Estimates'!$A$20:$AG$266,X$93,FALSE)</f>
        <v/>
      </c>
      <c r="Y112" s="84" t="str">
        <f>VLOOKUP($A112,'US Census Population Estimates'!$A$20:$AG$266,Y$93,FALSE)</f>
        <v/>
      </c>
      <c r="Z112" s="84" t="str">
        <f>VLOOKUP($A112,'US Census Population Estimates'!$A$20:$AG$266,Z$93,FALSE)</f>
        <v/>
      </c>
      <c r="AA112" s="84" t="str">
        <f>VLOOKUP($A112,'US Census Population Estimates'!$A$20:$AG$266,AA$93,FALSE)</f>
        <v/>
      </c>
      <c r="AB112" s="84" t="str">
        <f>VLOOKUP($A112,'US Census Population Estimates'!$A$20:$AG$266,AB$93,FALSE)</f>
        <v/>
      </c>
      <c r="AC112" s="84" t="str">
        <f>VLOOKUP($A112,'US Census Population Estimates'!$A$20:$AG$266,AC$93,FALSE)</f>
        <v/>
      </c>
      <c r="AD112" s="84" t="str">
        <f>VLOOKUP($A112,'US Census Population Estimates'!$A$20:$AG$266,AD$93,FALSE)</f>
        <v/>
      </c>
      <c r="AE112" s="84" t="str">
        <f>VLOOKUP($A112,'US Census Population Estimates'!$A$20:$AG$266,AE$93,FALSE)</f>
        <v/>
      </c>
      <c r="AF112" s="84" t="str">
        <f>VLOOKUP($A112,'US Census Population Estimates'!$A$20:$AG$266,AF$93,FALSE)</f>
        <v/>
      </c>
      <c r="AG112" s="88" t="str">
        <f>VLOOKUP($A112,'US Census Population Estimates'!$A$20:$AG$266,AG$93,FALSE)</f>
        <v/>
      </c>
      <c r="AH112" s="24"/>
    </row>
    <row r="113" ht="12.75" customHeight="1">
      <c r="A113" s="46" t="s">
        <v>140</v>
      </c>
      <c r="B113" s="51" t="s">
        <v>51</v>
      </c>
      <c r="C113" s="84">
        <f>VLOOKUP($A113,'US Census Population Estimates'!$A$20:$AG$266,C$93,FALSE)</f>
        <v>3298</v>
      </c>
      <c r="D113" s="84">
        <f>VLOOKUP($A113,'US Census Population Estimates'!$A$20:$AG$266,D$93,FALSE)</f>
        <v>3224</v>
      </c>
      <c r="E113" s="84">
        <f>VLOOKUP($A113,'US Census Population Estimates'!$A$20:$AG$266,E$93,FALSE)</f>
        <v>3259</v>
      </c>
      <c r="F113" s="84">
        <f>VLOOKUP($A113,'US Census Population Estimates'!$A$20:$AG$266,F$93,FALSE)</f>
        <v>3268</v>
      </c>
      <c r="G113" s="84">
        <f>VLOOKUP($A113,'US Census Population Estimates'!$A$20:$AG$266,G$93,FALSE)</f>
        <v>3283</v>
      </c>
      <c r="H113" s="84">
        <f>VLOOKUP($A113,'US Census Population Estimates'!$A$20:$AG$266,H$93,FALSE)</f>
        <v>3246</v>
      </c>
      <c r="I113" s="84">
        <f>VLOOKUP($A113,'US Census Population Estimates'!$A$20:$AG$266,I$93,FALSE)</f>
        <v>3297</v>
      </c>
      <c r="J113" s="84">
        <f>VLOOKUP($A113,'US Census Population Estimates'!$A$20:$AG$266,J$93,FALSE)</f>
        <v>3471</v>
      </c>
      <c r="K113" s="84">
        <f>VLOOKUP($A113,'US Census Population Estimates'!$A$20:$AG$266,K$93,FALSE)</f>
        <v>3506</v>
      </c>
      <c r="L113" s="84">
        <f>VLOOKUP($A113,'US Census Population Estimates'!$A$20:$AG$266,L$93,FALSE)</f>
        <v>3565</v>
      </c>
      <c r="M113" s="84">
        <f>VLOOKUP($A113,'US Census Population Estimates'!$A$20:$AG$266,M$93,FALSE)</f>
        <v>3530</v>
      </c>
      <c r="N113" s="84">
        <f>VLOOKUP($A113,'US Census Population Estimates'!$A$20:$AG$266,N$93,FALSE)</f>
        <v>3505</v>
      </c>
      <c r="O113" s="84">
        <f>VLOOKUP($A113,'US Census Population Estimates'!$A$20:$AG$266,O$93,FALSE)</f>
        <v>3472</v>
      </c>
      <c r="P113" s="84">
        <f>VLOOKUP($A113,'US Census Population Estimates'!$A$20:$AG$266,P$93,FALSE)</f>
        <v>3480</v>
      </c>
      <c r="Q113" s="84">
        <f>VLOOKUP($A113,'US Census Population Estimates'!$A$20:$AG$266,Q$93,FALSE)</f>
        <v>3482</v>
      </c>
      <c r="R113" s="84">
        <f>VLOOKUP($A113,'US Census Population Estimates'!$A$20:$AG$266,R$93,FALSE)</f>
        <v>3495</v>
      </c>
      <c r="S113" s="84">
        <f>VLOOKUP($A113,'US Census Population Estimates'!$A$20:$AG$266,S$93,FALSE)</f>
        <v>3514</v>
      </c>
      <c r="T113" s="84">
        <f>VLOOKUP($A113,'US Census Population Estimates'!$A$20:$AG$266,T$93,FALSE)</f>
        <v>3389</v>
      </c>
      <c r="U113" s="84">
        <f>VLOOKUP($A113,'US Census Population Estimates'!$A$20:$AG$266,U$93,FALSE)</f>
        <v>3402</v>
      </c>
      <c r="V113" s="84" t="str">
        <f>VLOOKUP($A113,'US Census Population Estimates'!$A$20:$AG$266,V$93,FALSE)</f>
        <v/>
      </c>
      <c r="W113" s="84" t="str">
        <f>VLOOKUP($A113,'US Census Population Estimates'!$A$20:$AG$266,W$93,FALSE)</f>
        <v/>
      </c>
      <c r="X113" s="84" t="str">
        <f>VLOOKUP($A113,'US Census Population Estimates'!$A$20:$AG$266,X$93,FALSE)</f>
        <v/>
      </c>
      <c r="Y113" s="84" t="str">
        <f>VLOOKUP($A113,'US Census Population Estimates'!$A$20:$AG$266,Y$93,FALSE)</f>
        <v/>
      </c>
      <c r="Z113" s="84" t="str">
        <f>VLOOKUP($A113,'US Census Population Estimates'!$A$20:$AG$266,Z$93,FALSE)</f>
        <v/>
      </c>
      <c r="AA113" s="84" t="str">
        <f>VLOOKUP($A113,'US Census Population Estimates'!$A$20:$AG$266,AA$93,FALSE)</f>
        <v/>
      </c>
      <c r="AB113" s="84" t="str">
        <f>VLOOKUP($A113,'US Census Population Estimates'!$A$20:$AG$266,AB$93,FALSE)</f>
        <v/>
      </c>
      <c r="AC113" s="84" t="str">
        <f>VLOOKUP($A113,'US Census Population Estimates'!$A$20:$AG$266,AC$93,FALSE)</f>
        <v/>
      </c>
      <c r="AD113" s="84" t="str">
        <f>VLOOKUP($A113,'US Census Population Estimates'!$A$20:$AG$266,AD$93,FALSE)</f>
        <v/>
      </c>
      <c r="AE113" s="84" t="str">
        <f>VLOOKUP($A113,'US Census Population Estimates'!$A$20:$AG$266,AE$93,FALSE)</f>
        <v/>
      </c>
      <c r="AF113" s="84" t="str">
        <f>VLOOKUP($A113,'US Census Population Estimates'!$A$20:$AG$266,AF$93,FALSE)</f>
        <v/>
      </c>
      <c r="AG113" s="88" t="str">
        <f>VLOOKUP($A113,'US Census Population Estimates'!$A$20:$AG$266,AG$93,FALSE)</f>
        <v/>
      </c>
      <c r="AH113" s="24"/>
    </row>
    <row r="114" ht="12.75" customHeight="1">
      <c r="A114" s="46" t="s">
        <v>141</v>
      </c>
      <c r="B114" s="51" t="s">
        <v>51</v>
      </c>
      <c r="C114" s="84">
        <f>VLOOKUP($A114,'US Census Population Estimates'!$A$20:$AG$266,C$93,FALSE)</f>
        <v>224</v>
      </c>
      <c r="D114" s="84">
        <f>VLOOKUP($A114,'US Census Population Estimates'!$A$20:$AG$266,D$93,FALSE)</f>
        <v>241</v>
      </c>
      <c r="E114" s="84">
        <f>VLOOKUP($A114,'US Census Population Estimates'!$A$20:$AG$266,E$93,FALSE)</f>
        <v>269</v>
      </c>
      <c r="F114" s="84">
        <f>VLOOKUP($A114,'US Census Population Estimates'!$A$20:$AG$266,F$93,FALSE)</f>
        <v>292</v>
      </c>
      <c r="G114" s="84">
        <f>VLOOKUP($A114,'US Census Population Estimates'!$A$20:$AG$266,G$93,FALSE)</f>
        <v>316</v>
      </c>
      <c r="H114" s="84">
        <f>VLOOKUP($A114,'US Census Population Estimates'!$A$20:$AG$266,H$93,FALSE)</f>
        <v>342</v>
      </c>
      <c r="I114" s="84">
        <f>VLOOKUP($A114,'US Census Population Estimates'!$A$20:$AG$266,I$93,FALSE)</f>
        <v>368</v>
      </c>
      <c r="J114" s="84">
        <f>VLOOKUP($A114,'US Census Population Estimates'!$A$20:$AG$266,J$93,FALSE)</f>
        <v>407</v>
      </c>
      <c r="K114" s="84">
        <f>VLOOKUP($A114,'US Census Population Estimates'!$A$20:$AG$266,K$93,FALSE)</f>
        <v>439</v>
      </c>
      <c r="L114" s="84">
        <f>VLOOKUP($A114,'US Census Population Estimates'!$A$20:$AG$266,L$93,FALSE)</f>
        <v>468</v>
      </c>
      <c r="M114" s="84">
        <f>VLOOKUP($A114,'US Census Population Estimates'!$A$20:$AG$266,M$93,FALSE)</f>
        <v>492</v>
      </c>
      <c r="N114" s="84">
        <f>VLOOKUP($A114,'US Census Population Estimates'!$A$20:$AG$266,N$93,FALSE)</f>
        <v>493</v>
      </c>
      <c r="O114" s="84">
        <f>VLOOKUP($A114,'US Census Population Estimates'!$A$20:$AG$266,O$93,FALSE)</f>
        <v>492</v>
      </c>
      <c r="P114" s="84">
        <f>VLOOKUP($A114,'US Census Population Estimates'!$A$20:$AG$266,P$93,FALSE)</f>
        <v>492</v>
      </c>
      <c r="Q114" s="84">
        <f>VLOOKUP($A114,'US Census Population Estimates'!$A$20:$AG$266,Q$93,FALSE)</f>
        <v>499</v>
      </c>
      <c r="R114" s="84">
        <f>VLOOKUP($A114,'US Census Population Estimates'!$A$20:$AG$266,R$93,FALSE)</f>
        <v>519</v>
      </c>
      <c r="S114" s="84">
        <f>VLOOKUP($A114,'US Census Population Estimates'!$A$20:$AG$266,S$93,FALSE)</f>
        <v>529</v>
      </c>
      <c r="T114" s="84">
        <f>VLOOKUP($A114,'US Census Population Estimates'!$A$20:$AG$266,T$93,FALSE)</f>
        <v>522</v>
      </c>
      <c r="U114" s="84">
        <f>VLOOKUP($A114,'US Census Population Estimates'!$A$20:$AG$266,U$93,FALSE)</f>
        <v>527</v>
      </c>
      <c r="V114" s="84" t="str">
        <f>VLOOKUP($A114,'US Census Population Estimates'!$A$20:$AG$266,V$93,FALSE)</f>
        <v/>
      </c>
      <c r="W114" s="84" t="str">
        <f>VLOOKUP($A114,'US Census Population Estimates'!$A$20:$AG$266,W$93,FALSE)</f>
        <v/>
      </c>
      <c r="X114" s="84" t="str">
        <f>VLOOKUP($A114,'US Census Population Estimates'!$A$20:$AG$266,X$93,FALSE)</f>
        <v/>
      </c>
      <c r="Y114" s="84" t="str">
        <f>VLOOKUP($A114,'US Census Population Estimates'!$A$20:$AG$266,Y$93,FALSE)</f>
        <v/>
      </c>
      <c r="Z114" s="84" t="str">
        <f>VLOOKUP($A114,'US Census Population Estimates'!$A$20:$AG$266,Z$93,FALSE)</f>
        <v/>
      </c>
      <c r="AA114" s="84" t="str">
        <f>VLOOKUP($A114,'US Census Population Estimates'!$A$20:$AG$266,AA$93,FALSE)</f>
        <v/>
      </c>
      <c r="AB114" s="84" t="str">
        <f>VLOOKUP($A114,'US Census Population Estimates'!$A$20:$AG$266,AB$93,FALSE)</f>
        <v/>
      </c>
      <c r="AC114" s="84" t="str">
        <f>VLOOKUP($A114,'US Census Population Estimates'!$A$20:$AG$266,AC$93,FALSE)</f>
        <v/>
      </c>
      <c r="AD114" s="84" t="str">
        <f>VLOOKUP($A114,'US Census Population Estimates'!$A$20:$AG$266,AD$93,FALSE)</f>
        <v/>
      </c>
      <c r="AE114" s="84" t="str">
        <f>VLOOKUP($A114,'US Census Population Estimates'!$A$20:$AG$266,AE$93,FALSE)</f>
        <v/>
      </c>
      <c r="AF114" s="84" t="str">
        <f>VLOOKUP($A114,'US Census Population Estimates'!$A$20:$AG$266,AF$93,FALSE)</f>
        <v/>
      </c>
      <c r="AG114" s="88" t="str">
        <f>VLOOKUP($A114,'US Census Population Estimates'!$A$20:$AG$266,AG$93,FALSE)</f>
        <v/>
      </c>
      <c r="AH114" s="24"/>
    </row>
    <row r="115" ht="12.75" customHeight="1">
      <c r="A115" s="46" t="s">
        <v>142</v>
      </c>
      <c r="B115" s="51" t="s">
        <v>51</v>
      </c>
      <c r="C115" s="84">
        <f>VLOOKUP($A115,'US Census Population Estimates'!$A$20:$AG$266,C$93,FALSE)</f>
        <v>1252</v>
      </c>
      <c r="D115" s="84">
        <f>VLOOKUP($A115,'US Census Population Estimates'!$A$20:$AG$266,D$93,FALSE)</f>
        <v>1196</v>
      </c>
      <c r="E115" s="84">
        <f>VLOOKUP($A115,'US Census Population Estimates'!$A$20:$AG$266,E$93,FALSE)</f>
        <v>1194</v>
      </c>
      <c r="F115" s="84">
        <f>VLOOKUP($A115,'US Census Population Estimates'!$A$20:$AG$266,F$93,FALSE)</f>
        <v>1175</v>
      </c>
      <c r="G115" s="84">
        <f>VLOOKUP($A115,'US Census Population Estimates'!$A$20:$AG$266,G$93,FALSE)</f>
        <v>1160</v>
      </c>
      <c r="H115" s="84">
        <f>VLOOKUP($A115,'US Census Population Estimates'!$A$20:$AG$266,H$93,FALSE)</f>
        <v>1154</v>
      </c>
      <c r="I115" s="84">
        <f>VLOOKUP($A115,'US Census Population Estimates'!$A$20:$AG$266,I$93,FALSE)</f>
        <v>1146</v>
      </c>
      <c r="J115" s="84">
        <f>VLOOKUP($A115,'US Census Population Estimates'!$A$20:$AG$266,J$93,FALSE)</f>
        <v>1177</v>
      </c>
      <c r="K115" s="84">
        <f>VLOOKUP($A115,'US Census Population Estimates'!$A$20:$AG$266,K$93,FALSE)</f>
        <v>1185</v>
      </c>
      <c r="L115" s="84">
        <f>VLOOKUP($A115,'US Census Population Estimates'!$A$20:$AG$266,L$93,FALSE)</f>
        <v>1181</v>
      </c>
      <c r="M115" s="84">
        <f>VLOOKUP($A115,'US Census Population Estimates'!$A$20:$AG$266,M$93,FALSE)</f>
        <v>1191</v>
      </c>
      <c r="N115" s="84">
        <f>VLOOKUP($A115,'US Census Population Estimates'!$A$20:$AG$266,N$93,FALSE)</f>
        <v>1191</v>
      </c>
      <c r="O115" s="84">
        <f>VLOOKUP($A115,'US Census Population Estimates'!$A$20:$AG$266,O$93,FALSE)</f>
        <v>1207</v>
      </c>
      <c r="P115" s="84">
        <f>VLOOKUP($A115,'US Census Population Estimates'!$A$20:$AG$266,P$93,FALSE)</f>
        <v>1212</v>
      </c>
      <c r="Q115" s="84">
        <f>VLOOKUP($A115,'US Census Population Estimates'!$A$20:$AG$266,Q$93,FALSE)</f>
        <v>1234</v>
      </c>
      <c r="R115" s="84">
        <f>VLOOKUP($A115,'US Census Population Estimates'!$A$20:$AG$266,R$93,FALSE)</f>
        <v>1265</v>
      </c>
      <c r="S115" s="84">
        <f>VLOOKUP($A115,'US Census Population Estimates'!$A$20:$AG$266,S$93,FALSE)</f>
        <v>1278</v>
      </c>
      <c r="T115" s="84">
        <f>VLOOKUP($A115,'US Census Population Estimates'!$A$20:$AG$266,T$93,FALSE)</f>
        <v>1265</v>
      </c>
      <c r="U115" s="84">
        <f>VLOOKUP($A115,'US Census Population Estimates'!$A$20:$AG$266,U$93,FALSE)</f>
        <v>1274</v>
      </c>
      <c r="V115" s="84" t="str">
        <f>VLOOKUP($A115,'US Census Population Estimates'!$A$20:$AG$266,V$93,FALSE)</f>
        <v/>
      </c>
      <c r="W115" s="84" t="str">
        <f>VLOOKUP($A115,'US Census Population Estimates'!$A$20:$AG$266,W$93,FALSE)</f>
        <v/>
      </c>
      <c r="X115" s="84" t="str">
        <f>VLOOKUP($A115,'US Census Population Estimates'!$A$20:$AG$266,X$93,FALSE)</f>
        <v/>
      </c>
      <c r="Y115" s="84" t="str">
        <f>VLOOKUP($A115,'US Census Population Estimates'!$A$20:$AG$266,Y$93,FALSE)</f>
        <v/>
      </c>
      <c r="Z115" s="84" t="str">
        <f>VLOOKUP($A115,'US Census Population Estimates'!$A$20:$AG$266,Z$93,FALSE)</f>
        <v/>
      </c>
      <c r="AA115" s="84" t="str">
        <f>VLOOKUP($A115,'US Census Population Estimates'!$A$20:$AG$266,AA$93,FALSE)</f>
        <v/>
      </c>
      <c r="AB115" s="84" t="str">
        <f>VLOOKUP($A115,'US Census Population Estimates'!$A$20:$AG$266,AB$93,FALSE)</f>
        <v/>
      </c>
      <c r="AC115" s="84" t="str">
        <f>VLOOKUP($A115,'US Census Population Estimates'!$A$20:$AG$266,AC$93,FALSE)</f>
        <v/>
      </c>
      <c r="AD115" s="84" t="str">
        <f>VLOOKUP($A115,'US Census Population Estimates'!$A$20:$AG$266,AD$93,FALSE)</f>
        <v/>
      </c>
      <c r="AE115" s="84" t="str">
        <f>VLOOKUP($A115,'US Census Population Estimates'!$A$20:$AG$266,AE$93,FALSE)</f>
        <v/>
      </c>
      <c r="AF115" s="84" t="str">
        <f>VLOOKUP($A115,'US Census Population Estimates'!$A$20:$AG$266,AF$93,FALSE)</f>
        <v/>
      </c>
      <c r="AG115" s="88" t="str">
        <f>VLOOKUP($A115,'US Census Population Estimates'!$A$20:$AG$266,AG$93,FALSE)</f>
        <v/>
      </c>
      <c r="AH115" s="24"/>
    </row>
    <row r="116" ht="12.75" customHeight="1">
      <c r="A116" s="52" t="s">
        <v>143</v>
      </c>
      <c r="B116" s="58" t="s">
        <v>51</v>
      </c>
      <c r="C116" s="240">
        <f>VLOOKUP($A116,'US Census Population Estimates'!$A$20:$AG$266,C$93,FALSE)</f>
        <v>884</v>
      </c>
      <c r="D116" s="98">
        <f>VLOOKUP($A116,'US Census Population Estimates'!$A$20:$AG$266,D$93,FALSE)</f>
        <v>878</v>
      </c>
      <c r="E116" s="98">
        <f>VLOOKUP($A116,'US Census Population Estimates'!$A$20:$AG$266,E$93,FALSE)</f>
        <v>906</v>
      </c>
      <c r="F116" s="98">
        <f>VLOOKUP($A116,'US Census Population Estimates'!$A$20:$AG$266,F$93,FALSE)</f>
        <v>924</v>
      </c>
      <c r="G116" s="98">
        <f>VLOOKUP($A116,'US Census Population Estimates'!$A$20:$AG$266,G$93,FALSE)</f>
        <v>942</v>
      </c>
      <c r="H116" s="98">
        <f>VLOOKUP($A116,'US Census Population Estimates'!$A$20:$AG$266,H$93,FALSE)</f>
        <v>949</v>
      </c>
      <c r="I116" s="98">
        <f>VLOOKUP($A116,'US Census Population Estimates'!$A$20:$AG$266,I$93,FALSE)</f>
        <v>982</v>
      </c>
      <c r="J116" s="98">
        <f>VLOOKUP($A116,'US Census Population Estimates'!$A$20:$AG$266,J$93,FALSE)</f>
        <v>1034</v>
      </c>
      <c r="K116" s="98">
        <f>VLOOKUP($A116,'US Census Population Estimates'!$A$20:$AG$266,K$93,FALSE)</f>
        <v>1065</v>
      </c>
      <c r="L116" s="98">
        <f>VLOOKUP($A116,'US Census Population Estimates'!$A$20:$AG$266,L$93,FALSE)</f>
        <v>1098</v>
      </c>
      <c r="M116" s="98">
        <f>VLOOKUP($A116,'US Census Population Estimates'!$A$20:$AG$266,M$93,FALSE)</f>
        <v>1098</v>
      </c>
      <c r="N116" s="98">
        <f>VLOOKUP($A116,'US Census Population Estimates'!$A$20:$AG$266,N$93,FALSE)</f>
        <v>1089</v>
      </c>
      <c r="O116" s="98">
        <f>VLOOKUP($A116,'US Census Population Estimates'!$A$20:$AG$266,O$93,FALSE)</f>
        <v>1083</v>
      </c>
      <c r="P116" s="98">
        <f>VLOOKUP($A116,'US Census Population Estimates'!$A$20:$AG$266,P$93,FALSE)</f>
        <v>1090</v>
      </c>
      <c r="Q116" s="98">
        <f>VLOOKUP($A116,'US Census Population Estimates'!$A$20:$AG$266,Q$93,FALSE)</f>
        <v>1098</v>
      </c>
      <c r="R116" s="98">
        <f>VLOOKUP($A116,'US Census Population Estimates'!$A$20:$AG$266,R$93,FALSE)</f>
        <v>1102</v>
      </c>
      <c r="S116" s="98">
        <f>VLOOKUP($A116,'US Census Population Estimates'!$A$20:$AG$266,S$93,FALSE)</f>
        <v>1104</v>
      </c>
      <c r="T116" s="98">
        <f>VLOOKUP($A116,'US Census Population Estimates'!$A$20:$AG$266,T$93,FALSE)</f>
        <v>1060</v>
      </c>
      <c r="U116" s="98">
        <f>VLOOKUP($A116,'US Census Population Estimates'!$A$20:$AG$266,U$93,FALSE)</f>
        <v>1064</v>
      </c>
      <c r="V116" s="98" t="str">
        <f>VLOOKUP($A116,'US Census Population Estimates'!$A$20:$AG$266,V$93,FALSE)</f>
        <v/>
      </c>
      <c r="W116" s="98" t="str">
        <f>VLOOKUP($A116,'US Census Population Estimates'!$A$20:$AG$266,W$93,FALSE)</f>
        <v/>
      </c>
      <c r="X116" s="98" t="str">
        <f>VLOOKUP($A116,'US Census Population Estimates'!$A$20:$AG$266,X$93,FALSE)</f>
        <v/>
      </c>
      <c r="Y116" s="98" t="str">
        <f>VLOOKUP($A116,'US Census Population Estimates'!$A$20:$AG$266,Y$93,FALSE)</f>
        <v/>
      </c>
      <c r="Z116" s="98" t="str">
        <f>VLOOKUP($A116,'US Census Population Estimates'!$A$20:$AG$266,Z$93,FALSE)</f>
        <v/>
      </c>
      <c r="AA116" s="98" t="str">
        <f>VLOOKUP($A116,'US Census Population Estimates'!$A$20:$AG$266,AA$93,FALSE)</f>
        <v/>
      </c>
      <c r="AB116" s="98" t="str">
        <f>VLOOKUP($A116,'US Census Population Estimates'!$A$20:$AG$266,AB$93,FALSE)</f>
        <v/>
      </c>
      <c r="AC116" s="98" t="str">
        <f>VLOOKUP($A116,'US Census Population Estimates'!$A$20:$AG$266,AC$93,FALSE)</f>
        <v/>
      </c>
      <c r="AD116" s="98" t="str">
        <f>VLOOKUP($A116,'US Census Population Estimates'!$A$20:$AG$266,AD$93,FALSE)</f>
        <v/>
      </c>
      <c r="AE116" s="98" t="str">
        <f>VLOOKUP($A116,'US Census Population Estimates'!$A$20:$AG$266,AE$93,FALSE)</f>
        <v/>
      </c>
      <c r="AF116" s="98" t="str">
        <f>VLOOKUP($A116,'US Census Population Estimates'!$A$20:$AG$266,AF$93,FALSE)</f>
        <v/>
      </c>
      <c r="AG116" s="113" t="str">
        <f>VLOOKUP($A116,'US Census Population Estimates'!$A$20:$AG$266,AG$93,FALSE)</f>
        <v/>
      </c>
      <c r="AH116" s="24"/>
    </row>
    <row r="117" ht="12.75" customHeight="1">
      <c r="A117" s="59" t="s">
        <v>61</v>
      </c>
      <c r="B117" s="60"/>
      <c r="C117" s="115">
        <f t="shared" ref="C117:T117" si="27">C118+C119</f>
        <v>2213.1</v>
      </c>
      <c r="D117" s="115">
        <f t="shared" si="27"/>
        <v>2239.43734</v>
      </c>
      <c r="E117" s="115">
        <f t="shared" si="27"/>
        <v>2320.052504</v>
      </c>
      <c r="F117" s="115">
        <f t="shared" si="27"/>
        <v>2346.542525</v>
      </c>
      <c r="G117" s="115">
        <f t="shared" si="27"/>
        <v>2372.803525</v>
      </c>
      <c r="H117" s="115">
        <f t="shared" si="27"/>
        <v>2424.333105</v>
      </c>
      <c r="I117" s="115">
        <f t="shared" si="27"/>
        <v>2515.177844</v>
      </c>
      <c r="J117" s="115">
        <f t="shared" si="27"/>
        <v>2653.887837</v>
      </c>
      <c r="K117" s="115">
        <f t="shared" si="27"/>
        <v>2728.090431</v>
      </c>
      <c r="L117" s="115">
        <f t="shared" si="27"/>
        <v>2878.022422</v>
      </c>
      <c r="M117" s="115">
        <f t="shared" si="27"/>
        <v>2972.531487</v>
      </c>
      <c r="N117" s="115">
        <f t="shared" si="27"/>
        <v>3004.212635</v>
      </c>
      <c r="O117" s="115">
        <f t="shared" si="27"/>
        <v>3078.186209</v>
      </c>
      <c r="P117" s="115">
        <f t="shared" si="27"/>
        <v>3103.454788</v>
      </c>
      <c r="Q117" s="115">
        <f t="shared" si="27"/>
        <v>3118.722811</v>
      </c>
      <c r="R117" s="115">
        <f t="shared" si="27"/>
        <v>3186.512835</v>
      </c>
      <c r="S117" s="115">
        <f t="shared" si="27"/>
        <v>3164.908582</v>
      </c>
      <c r="T117" s="115">
        <f t="shared" si="27"/>
        <v>3013.98417</v>
      </c>
      <c r="U117" s="243"/>
      <c r="V117" s="243"/>
      <c r="W117" s="243"/>
      <c r="X117" s="243"/>
      <c r="Y117" s="243"/>
      <c r="Z117" s="243"/>
      <c r="AA117" s="243"/>
      <c r="AB117" s="243"/>
      <c r="AC117" s="243"/>
      <c r="AD117" s="243"/>
      <c r="AE117" s="243"/>
      <c r="AF117" s="243"/>
      <c r="AG117" s="244"/>
      <c r="AH117" s="24"/>
    </row>
    <row r="118" ht="12.75" customHeight="1">
      <c r="A118" s="46" t="s">
        <v>48</v>
      </c>
      <c r="B118" s="47"/>
      <c r="C118" s="84">
        <f t="shared" ref="C118:C119" si="29">C105</f>
        <v>2213.1</v>
      </c>
      <c r="D118" s="84">
        <f t="shared" ref="D118:AG118" si="28">$C$117*D107/$C$107</f>
        <v>2239.43734</v>
      </c>
      <c r="E118" s="84">
        <f t="shared" si="28"/>
        <v>2320.052504</v>
      </c>
      <c r="F118" s="84">
        <f t="shared" si="28"/>
        <v>2346.542525</v>
      </c>
      <c r="G118" s="84">
        <f t="shared" si="28"/>
        <v>2372.803525</v>
      </c>
      <c r="H118" s="84">
        <f t="shared" si="28"/>
        <v>2424.333105</v>
      </c>
      <c r="I118" s="84">
        <f t="shared" si="28"/>
        <v>2515.177844</v>
      </c>
      <c r="J118" s="84">
        <f t="shared" si="28"/>
        <v>2653.887837</v>
      </c>
      <c r="K118" s="84">
        <f t="shared" si="28"/>
        <v>2728.090431</v>
      </c>
      <c r="L118" s="84">
        <f t="shared" si="28"/>
        <v>2878.022422</v>
      </c>
      <c r="M118" s="84">
        <f t="shared" si="28"/>
        <v>2972.531487</v>
      </c>
      <c r="N118" s="84">
        <f t="shared" si="28"/>
        <v>3004.212635</v>
      </c>
      <c r="O118" s="84">
        <f t="shared" si="28"/>
        <v>3078.186209</v>
      </c>
      <c r="P118" s="84">
        <f t="shared" si="28"/>
        <v>3103.454788</v>
      </c>
      <c r="Q118" s="84">
        <f t="shared" si="28"/>
        <v>3118.722811</v>
      </c>
      <c r="R118" s="84">
        <f t="shared" si="28"/>
        <v>3186.512835</v>
      </c>
      <c r="S118" s="84">
        <f t="shared" si="28"/>
        <v>3164.908582</v>
      </c>
      <c r="T118" s="84">
        <f t="shared" si="28"/>
        <v>3013.98417</v>
      </c>
      <c r="U118" s="84">
        <f t="shared" si="28"/>
        <v>3151.320041</v>
      </c>
      <c r="V118" s="84">
        <f t="shared" si="28"/>
        <v>0</v>
      </c>
      <c r="W118" s="84">
        <f t="shared" si="28"/>
        <v>0</v>
      </c>
      <c r="X118" s="84">
        <f t="shared" si="28"/>
        <v>0</v>
      </c>
      <c r="Y118" s="84">
        <f t="shared" si="28"/>
        <v>0</v>
      </c>
      <c r="Z118" s="84">
        <f t="shared" si="28"/>
        <v>0</v>
      </c>
      <c r="AA118" s="84">
        <f t="shared" si="28"/>
        <v>0</v>
      </c>
      <c r="AB118" s="84">
        <f t="shared" si="28"/>
        <v>0</v>
      </c>
      <c r="AC118" s="84">
        <f t="shared" si="28"/>
        <v>0</v>
      </c>
      <c r="AD118" s="84">
        <f t="shared" si="28"/>
        <v>0</v>
      </c>
      <c r="AE118" s="84">
        <f t="shared" si="28"/>
        <v>0</v>
      </c>
      <c r="AF118" s="84">
        <f t="shared" si="28"/>
        <v>0</v>
      </c>
      <c r="AG118" s="88">
        <f t="shared" si="28"/>
        <v>0</v>
      </c>
      <c r="AH118" s="24"/>
    </row>
    <row r="119" ht="12.75" customHeight="1">
      <c r="A119" s="74" t="s">
        <v>49</v>
      </c>
      <c r="B119" s="75"/>
      <c r="C119" s="126">
        <f t="shared" si="29"/>
        <v>0</v>
      </c>
      <c r="D119" s="126">
        <f t="shared" ref="D119:AF119" si="30">$C$119*D107/$C$107</f>
        <v>0</v>
      </c>
      <c r="E119" s="126">
        <f t="shared" si="30"/>
        <v>0</v>
      </c>
      <c r="F119" s="126">
        <f t="shared" si="30"/>
        <v>0</v>
      </c>
      <c r="G119" s="126">
        <f t="shared" si="30"/>
        <v>0</v>
      </c>
      <c r="H119" s="126">
        <f t="shared" si="30"/>
        <v>0</v>
      </c>
      <c r="I119" s="126">
        <f t="shared" si="30"/>
        <v>0</v>
      </c>
      <c r="J119" s="126">
        <f t="shared" si="30"/>
        <v>0</v>
      </c>
      <c r="K119" s="126">
        <f t="shared" si="30"/>
        <v>0</v>
      </c>
      <c r="L119" s="126">
        <f t="shared" si="30"/>
        <v>0</v>
      </c>
      <c r="M119" s="126">
        <f t="shared" si="30"/>
        <v>0</v>
      </c>
      <c r="N119" s="126">
        <f t="shared" si="30"/>
        <v>0</v>
      </c>
      <c r="O119" s="126">
        <f t="shared" si="30"/>
        <v>0</v>
      </c>
      <c r="P119" s="126">
        <f t="shared" si="30"/>
        <v>0</v>
      </c>
      <c r="Q119" s="126">
        <f t="shared" si="30"/>
        <v>0</v>
      </c>
      <c r="R119" s="126">
        <f t="shared" si="30"/>
        <v>0</v>
      </c>
      <c r="S119" s="126">
        <f t="shared" si="30"/>
        <v>0</v>
      </c>
      <c r="T119" s="126">
        <f t="shared" si="30"/>
        <v>0</v>
      </c>
      <c r="U119" s="126">
        <f t="shared" si="30"/>
        <v>0</v>
      </c>
      <c r="V119" s="126">
        <f t="shared" si="30"/>
        <v>0</v>
      </c>
      <c r="W119" s="126">
        <f t="shared" si="30"/>
        <v>0</v>
      </c>
      <c r="X119" s="126">
        <f t="shared" si="30"/>
        <v>0</v>
      </c>
      <c r="Y119" s="126">
        <f t="shared" si="30"/>
        <v>0</v>
      </c>
      <c r="Z119" s="126">
        <f t="shared" si="30"/>
        <v>0</v>
      </c>
      <c r="AA119" s="126">
        <f t="shared" si="30"/>
        <v>0</v>
      </c>
      <c r="AB119" s="126">
        <f t="shared" si="30"/>
        <v>0</v>
      </c>
      <c r="AC119" s="126">
        <f t="shared" si="30"/>
        <v>0</v>
      </c>
      <c r="AD119" s="126">
        <f t="shared" si="30"/>
        <v>0</v>
      </c>
      <c r="AE119" s="126">
        <f t="shared" si="30"/>
        <v>0</v>
      </c>
      <c r="AF119" s="126">
        <f t="shared" si="30"/>
        <v>0</v>
      </c>
      <c r="AG119" s="129" t="str">
        <f>AF119*AG107/AF107</f>
        <v>#DIV/0!</v>
      </c>
      <c r="AH119" s="24"/>
    </row>
    <row r="120" ht="12.75" customHeight="1">
      <c r="A120" s="130" t="s">
        <v>63</v>
      </c>
      <c r="B120" s="131"/>
      <c r="C120" s="132"/>
      <c r="D120" s="132"/>
      <c r="E120" s="132"/>
      <c r="F120" s="132"/>
      <c r="G120" s="132"/>
      <c r="H120" s="132"/>
      <c r="I120" s="132"/>
      <c r="J120" s="132"/>
      <c r="K120" s="132"/>
      <c r="L120" s="132"/>
      <c r="M120" s="132"/>
      <c r="N120" s="132"/>
      <c r="O120" s="134"/>
      <c r="P120" s="134"/>
      <c r="Q120" s="134"/>
      <c r="R120" s="134"/>
      <c r="S120" s="134"/>
      <c r="T120" s="134"/>
      <c r="U120" s="134"/>
      <c r="V120" s="134"/>
      <c r="W120" s="134"/>
      <c r="X120" s="134"/>
      <c r="Y120" s="134"/>
      <c r="Z120" s="134"/>
      <c r="AA120" s="134"/>
      <c r="AB120" s="134"/>
      <c r="AC120" s="134"/>
      <c r="AD120" s="134"/>
      <c r="AE120" s="134"/>
      <c r="AF120" s="134"/>
      <c r="AG120" s="135"/>
      <c r="AH120" s="24"/>
    </row>
    <row r="121" ht="12.75" customHeight="1">
      <c r="A121" s="46" t="s">
        <v>64</v>
      </c>
      <c r="B121" s="51" t="s">
        <v>51</v>
      </c>
      <c r="C121" s="48">
        <v>7405.0</v>
      </c>
      <c r="D121" s="49" t="s">
        <v>7</v>
      </c>
      <c r="E121" s="49" t="s">
        <v>7</v>
      </c>
      <c r="F121" s="49" t="s">
        <v>7</v>
      </c>
      <c r="G121" s="49" t="s">
        <v>7</v>
      </c>
      <c r="H121" s="49" t="s">
        <v>7</v>
      </c>
      <c r="I121" s="49" t="s">
        <v>7</v>
      </c>
      <c r="J121" s="49" t="s">
        <v>7</v>
      </c>
      <c r="K121" s="49" t="s">
        <v>7</v>
      </c>
      <c r="L121" s="49" t="s">
        <v>7</v>
      </c>
      <c r="M121" s="49" t="s">
        <v>7</v>
      </c>
      <c r="N121" s="49" t="s">
        <v>7</v>
      </c>
      <c r="O121" s="49" t="s">
        <v>7</v>
      </c>
      <c r="P121" s="49" t="s">
        <v>7</v>
      </c>
      <c r="Q121" s="49" t="s">
        <v>7</v>
      </c>
      <c r="R121" s="49" t="s">
        <v>7</v>
      </c>
      <c r="S121" s="49" t="s">
        <v>7</v>
      </c>
      <c r="T121" s="49" t="s">
        <v>7</v>
      </c>
      <c r="U121" s="49"/>
      <c r="V121" s="49"/>
      <c r="W121" s="49"/>
      <c r="X121" s="49"/>
      <c r="Y121" s="49"/>
      <c r="Z121" s="49"/>
      <c r="AA121" s="49"/>
      <c r="AB121" s="49"/>
      <c r="AC121" s="49"/>
      <c r="AD121" s="49"/>
      <c r="AE121" s="49"/>
      <c r="AF121" s="49"/>
      <c r="AG121" s="51"/>
      <c r="AH121" s="24"/>
    </row>
    <row r="122" ht="12.75" customHeight="1">
      <c r="A122" s="52" t="s">
        <v>65</v>
      </c>
      <c r="B122" s="53"/>
      <c r="C122" s="56" t="s">
        <v>122</v>
      </c>
      <c r="D122" s="55" t="s">
        <v>7</v>
      </c>
      <c r="E122" s="55" t="s">
        <v>7</v>
      </c>
      <c r="F122" s="55" t="s">
        <v>7</v>
      </c>
      <c r="G122" s="55" t="s">
        <v>7</v>
      </c>
      <c r="H122" s="55" t="s">
        <v>7</v>
      </c>
      <c r="I122" s="55" t="s">
        <v>7</v>
      </c>
      <c r="J122" s="55" t="s">
        <v>7</v>
      </c>
      <c r="K122" s="55" t="s">
        <v>7</v>
      </c>
      <c r="L122" s="55" t="s">
        <v>7</v>
      </c>
      <c r="M122" s="55" t="s">
        <v>7</v>
      </c>
      <c r="N122" s="55" t="s">
        <v>7</v>
      </c>
      <c r="O122" s="55" t="s">
        <v>7</v>
      </c>
      <c r="P122" s="55" t="s">
        <v>7</v>
      </c>
      <c r="Q122" s="55" t="s">
        <v>7</v>
      </c>
      <c r="R122" s="55" t="s">
        <v>7</v>
      </c>
      <c r="S122" s="55" t="s">
        <v>7</v>
      </c>
      <c r="T122" s="55" t="s">
        <v>7</v>
      </c>
      <c r="U122" s="55"/>
      <c r="V122" s="55"/>
      <c r="W122" s="55"/>
      <c r="X122" s="55"/>
      <c r="Y122" s="55"/>
      <c r="Z122" s="55"/>
      <c r="AA122" s="55"/>
      <c r="AB122" s="55"/>
      <c r="AC122" s="55"/>
      <c r="AD122" s="55"/>
      <c r="AE122" s="55"/>
      <c r="AF122" s="55"/>
      <c r="AG122" s="58"/>
      <c r="AH122" s="24"/>
    </row>
    <row r="123" ht="12.75" customHeight="1">
      <c r="A123" s="130" t="s">
        <v>66</v>
      </c>
      <c r="B123" s="131"/>
      <c r="C123" s="250"/>
      <c r="D123" s="132"/>
      <c r="E123" s="132"/>
      <c r="F123" s="132"/>
      <c r="G123" s="132"/>
      <c r="H123" s="138"/>
      <c r="I123" s="138"/>
      <c r="J123" s="138"/>
      <c r="K123" s="138"/>
      <c r="L123" s="132"/>
      <c r="M123" s="132"/>
      <c r="N123" s="132"/>
      <c r="O123" s="132"/>
      <c r="P123" s="132"/>
      <c r="Q123" s="132"/>
      <c r="R123" s="132"/>
      <c r="S123" s="132"/>
      <c r="T123" s="132"/>
      <c r="U123" s="140"/>
      <c r="V123" s="140"/>
      <c r="W123" s="140"/>
      <c r="X123" s="140"/>
      <c r="Y123" s="140"/>
      <c r="Z123" s="140"/>
      <c r="AA123" s="140"/>
      <c r="AB123" s="140"/>
      <c r="AC123" s="140"/>
      <c r="AD123" s="140"/>
      <c r="AE123" s="140"/>
      <c r="AF123" s="140"/>
      <c r="AG123" s="142"/>
      <c r="AH123" s="24"/>
    </row>
    <row r="124" ht="12.75" customHeight="1">
      <c r="A124" s="46" t="s">
        <v>68</v>
      </c>
      <c r="B124" s="47"/>
      <c r="C124" s="252">
        <f>C121</f>
        <v>7405</v>
      </c>
      <c r="D124" s="84">
        <f t="shared" ref="D124:AG124" si="31">$C$124*D108/$C$108</f>
        <v>7585.359616</v>
      </c>
      <c r="E124" s="84">
        <f t="shared" si="31"/>
        <v>7934.054874</v>
      </c>
      <c r="F124" s="84">
        <f t="shared" si="31"/>
        <v>8042.62429</v>
      </c>
      <c r="G124" s="84">
        <f t="shared" si="31"/>
        <v>8134.572329</v>
      </c>
      <c r="H124" s="84">
        <f t="shared" si="31"/>
        <v>8370.808062</v>
      </c>
      <c r="I124" s="84">
        <f t="shared" si="31"/>
        <v>8744.965853</v>
      </c>
      <c r="J124" s="84">
        <f t="shared" si="31"/>
        <v>9240.070682</v>
      </c>
      <c r="K124" s="84">
        <f t="shared" si="31"/>
        <v>9524.048665</v>
      </c>
      <c r="L124" s="84">
        <f t="shared" si="31"/>
        <v>10164.50213</v>
      </c>
      <c r="M124" s="84">
        <f t="shared" si="31"/>
        <v>10590.64592</v>
      </c>
      <c r="N124" s="84">
        <f t="shared" si="31"/>
        <v>10748.01853</v>
      </c>
      <c r="O124" s="84">
        <f t="shared" si="31"/>
        <v>11096.71379</v>
      </c>
      <c r="P124" s="84">
        <f t="shared" si="31"/>
        <v>11188.30818</v>
      </c>
      <c r="Q124" s="84">
        <f t="shared" si="31"/>
        <v>11253.02545</v>
      </c>
      <c r="R124" s="84">
        <f t="shared" si="31"/>
        <v>11532.75968</v>
      </c>
      <c r="S124" s="84">
        <f t="shared" si="31"/>
        <v>11419.23922</v>
      </c>
      <c r="T124" s="84">
        <f t="shared" si="31"/>
        <v>10807.43111</v>
      </c>
      <c r="U124" s="84">
        <f t="shared" si="31"/>
        <v>11282.3781</v>
      </c>
      <c r="V124" s="84">
        <f t="shared" si="31"/>
        <v>0</v>
      </c>
      <c r="W124" s="84">
        <f t="shared" si="31"/>
        <v>0</v>
      </c>
      <c r="X124" s="84">
        <f t="shared" si="31"/>
        <v>0</v>
      </c>
      <c r="Y124" s="84">
        <f t="shared" si="31"/>
        <v>0</v>
      </c>
      <c r="Z124" s="84">
        <f t="shared" si="31"/>
        <v>0</v>
      </c>
      <c r="AA124" s="84">
        <f t="shared" si="31"/>
        <v>0</v>
      </c>
      <c r="AB124" s="84">
        <f t="shared" si="31"/>
        <v>0</v>
      </c>
      <c r="AC124" s="84">
        <f t="shared" si="31"/>
        <v>0</v>
      </c>
      <c r="AD124" s="84">
        <f t="shared" si="31"/>
        <v>0</v>
      </c>
      <c r="AE124" s="84">
        <f t="shared" si="31"/>
        <v>0</v>
      </c>
      <c r="AF124" s="84">
        <f t="shared" si="31"/>
        <v>0</v>
      </c>
      <c r="AG124" s="88">
        <f t="shared" si="31"/>
        <v>0</v>
      </c>
      <c r="AH124" s="24"/>
    </row>
    <row r="125" ht="12.75" customHeight="1">
      <c r="A125" s="46" t="s">
        <v>128</v>
      </c>
      <c r="B125" s="51" t="s">
        <v>51</v>
      </c>
      <c r="C125" s="48">
        <f t="shared" ref="C125:AG125" si="32">C124*300*365/325851</f>
        <v>2488.399606</v>
      </c>
      <c r="D125" s="84">
        <f t="shared" si="32"/>
        <v>2549.008221</v>
      </c>
      <c r="E125" s="84">
        <f t="shared" si="32"/>
        <v>2666.184878</v>
      </c>
      <c r="F125" s="84">
        <f t="shared" si="32"/>
        <v>2702.668888</v>
      </c>
      <c r="G125" s="84">
        <f t="shared" si="32"/>
        <v>2733.567397</v>
      </c>
      <c r="H125" s="84">
        <f t="shared" si="32"/>
        <v>2812.9528</v>
      </c>
      <c r="I125" s="84">
        <f t="shared" si="32"/>
        <v>2938.685967</v>
      </c>
      <c r="J125" s="84">
        <f t="shared" si="32"/>
        <v>3105.062558</v>
      </c>
      <c r="K125" s="84">
        <f t="shared" si="32"/>
        <v>3200.491417</v>
      </c>
      <c r="L125" s="84">
        <f t="shared" si="32"/>
        <v>3415.711422</v>
      </c>
      <c r="M125" s="84">
        <f t="shared" si="32"/>
        <v>3558.914132</v>
      </c>
      <c r="N125" s="84">
        <f t="shared" si="32"/>
        <v>3611.798119</v>
      </c>
      <c r="O125" s="84">
        <f t="shared" si="32"/>
        <v>3728.974776</v>
      </c>
      <c r="P125" s="84">
        <f t="shared" si="32"/>
        <v>3759.754445</v>
      </c>
      <c r="Q125" s="84">
        <f t="shared" si="32"/>
        <v>3781.502243</v>
      </c>
      <c r="R125" s="84">
        <f t="shared" si="32"/>
        <v>3875.505017</v>
      </c>
      <c r="S125" s="84">
        <f t="shared" si="32"/>
        <v>3837.357241</v>
      </c>
      <c r="T125" s="84">
        <f t="shared" si="32"/>
        <v>3631.76331</v>
      </c>
      <c r="U125" s="84">
        <f t="shared" si="32"/>
        <v>3791.365998</v>
      </c>
      <c r="V125" s="84">
        <f t="shared" si="32"/>
        <v>0</v>
      </c>
      <c r="W125" s="84">
        <f t="shared" si="32"/>
        <v>0</v>
      </c>
      <c r="X125" s="84">
        <f t="shared" si="32"/>
        <v>0</v>
      </c>
      <c r="Y125" s="84">
        <f t="shared" si="32"/>
        <v>0</v>
      </c>
      <c r="Z125" s="84">
        <f t="shared" si="32"/>
        <v>0</v>
      </c>
      <c r="AA125" s="84">
        <f t="shared" si="32"/>
        <v>0</v>
      </c>
      <c r="AB125" s="84">
        <f t="shared" si="32"/>
        <v>0</v>
      </c>
      <c r="AC125" s="84">
        <f t="shared" si="32"/>
        <v>0</v>
      </c>
      <c r="AD125" s="84">
        <f t="shared" si="32"/>
        <v>0</v>
      </c>
      <c r="AE125" s="84">
        <f t="shared" si="32"/>
        <v>0</v>
      </c>
      <c r="AF125" s="84">
        <f t="shared" si="32"/>
        <v>0</v>
      </c>
      <c r="AG125" s="88">
        <f t="shared" si="32"/>
        <v>0</v>
      </c>
      <c r="AH125" s="24"/>
    </row>
    <row r="126" ht="12.75" customHeight="1">
      <c r="A126" s="153" t="s">
        <v>133</v>
      </c>
      <c r="B126" s="215" t="s">
        <v>51</v>
      </c>
      <c r="C126" s="253">
        <f t="shared" ref="C126:AG126" si="33">C124*150*365/325851</f>
        <v>1244.199803</v>
      </c>
      <c r="D126" s="157">
        <f t="shared" si="33"/>
        <v>1274.504111</v>
      </c>
      <c r="E126" s="157">
        <f t="shared" si="33"/>
        <v>1333.092439</v>
      </c>
      <c r="F126" s="157">
        <f t="shared" si="33"/>
        <v>1351.334444</v>
      </c>
      <c r="G126" s="157">
        <f t="shared" si="33"/>
        <v>1366.783699</v>
      </c>
      <c r="H126" s="157">
        <f t="shared" si="33"/>
        <v>1406.4764</v>
      </c>
      <c r="I126" s="157">
        <f t="shared" si="33"/>
        <v>1469.342983</v>
      </c>
      <c r="J126" s="157">
        <f t="shared" si="33"/>
        <v>1552.531279</v>
      </c>
      <c r="K126" s="157">
        <f t="shared" si="33"/>
        <v>1600.245709</v>
      </c>
      <c r="L126" s="157">
        <f t="shared" si="33"/>
        <v>1707.855711</v>
      </c>
      <c r="M126" s="157">
        <f t="shared" si="33"/>
        <v>1779.457066</v>
      </c>
      <c r="N126" s="157">
        <f t="shared" si="33"/>
        <v>1805.89906</v>
      </c>
      <c r="O126" s="157">
        <f t="shared" si="33"/>
        <v>1864.487388</v>
      </c>
      <c r="P126" s="157">
        <f t="shared" si="33"/>
        <v>1879.877223</v>
      </c>
      <c r="Q126" s="157">
        <f t="shared" si="33"/>
        <v>1890.751121</v>
      </c>
      <c r="R126" s="157">
        <f t="shared" si="33"/>
        <v>1937.752508</v>
      </c>
      <c r="S126" s="157">
        <f t="shared" si="33"/>
        <v>1918.678621</v>
      </c>
      <c r="T126" s="157">
        <f t="shared" si="33"/>
        <v>1815.881655</v>
      </c>
      <c r="U126" s="157">
        <f t="shared" si="33"/>
        <v>1895.682999</v>
      </c>
      <c r="V126" s="157">
        <f t="shared" si="33"/>
        <v>0</v>
      </c>
      <c r="W126" s="157">
        <f t="shared" si="33"/>
        <v>0</v>
      </c>
      <c r="X126" s="157">
        <f t="shared" si="33"/>
        <v>0</v>
      </c>
      <c r="Y126" s="157">
        <f t="shared" si="33"/>
        <v>0</v>
      </c>
      <c r="Z126" s="157">
        <f t="shared" si="33"/>
        <v>0</v>
      </c>
      <c r="AA126" s="157">
        <f t="shared" si="33"/>
        <v>0</v>
      </c>
      <c r="AB126" s="157">
        <f t="shared" si="33"/>
        <v>0</v>
      </c>
      <c r="AC126" s="157">
        <f t="shared" si="33"/>
        <v>0</v>
      </c>
      <c r="AD126" s="157">
        <f t="shared" si="33"/>
        <v>0</v>
      </c>
      <c r="AE126" s="157">
        <f t="shared" si="33"/>
        <v>0</v>
      </c>
      <c r="AF126" s="157">
        <f t="shared" si="33"/>
        <v>0</v>
      </c>
      <c r="AG126" s="158">
        <f t="shared" si="33"/>
        <v>0</v>
      </c>
      <c r="AH126" s="24"/>
    </row>
    <row r="127" ht="12.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row>
    <row r="128" ht="12.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row>
    <row r="129" ht="12.75" customHeight="1">
      <c r="A129" s="30" t="s">
        <v>144</v>
      </c>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2"/>
      <c r="AH129" s="24"/>
    </row>
    <row r="130" ht="12.75" customHeight="1">
      <c r="A130" s="33" t="s">
        <v>37</v>
      </c>
      <c r="B130" s="34"/>
      <c r="C130" s="35">
        <v>2000.0</v>
      </c>
      <c r="D130" s="35">
        <v>2001.0</v>
      </c>
      <c r="E130" s="35">
        <v>2002.0</v>
      </c>
      <c r="F130" s="35">
        <v>2003.0</v>
      </c>
      <c r="G130" s="35">
        <v>2004.0</v>
      </c>
      <c r="H130" s="35">
        <v>2005.0</v>
      </c>
      <c r="I130" s="35">
        <v>2006.0</v>
      </c>
      <c r="J130" s="35">
        <v>2007.0</v>
      </c>
      <c r="K130" s="35">
        <v>2008.0</v>
      </c>
      <c r="L130" s="35">
        <v>2009.0</v>
      </c>
      <c r="M130" s="35">
        <v>2010.0</v>
      </c>
      <c r="N130" s="35">
        <v>2011.0</v>
      </c>
      <c r="O130" s="35">
        <v>2012.0</v>
      </c>
      <c r="P130" s="35">
        <v>2013.0</v>
      </c>
      <c r="Q130" s="35">
        <v>2014.0</v>
      </c>
      <c r="R130" s="35">
        <v>2015.0</v>
      </c>
      <c r="S130" s="35">
        <v>2016.0</v>
      </c>
      <c r="T130" s="35">
        <v>2017.0</v>
      </c>
      <c r="U130" s="35">
        <v>2018.0</v>
      </c>
      <c r="V130" s="35">
        <v>2019.0</v>
      </c>
      <c r="W130" s="35">
        <v>2020.0</v>
      </c>
      <c r="X130" s="35">
        <v>2021.0</v>
      </c>
      <c r="Y130" s="35">
        <v>2022.0</v>
      </c>
      <c r="Z130" s="35">
        <v>2023.0</v>
      </c>
      <c r="AA130" s="35">
        <v>2024.0</v>
      </c>
      <c r="AB130" s="35">
        <v>2025.0</v>
      </c>
      <c r="AC130" s="35">
        <v>2026.0</v>
      </c>
      <c r="AD130" s="35">
        <v>2027.0</v>
      </c>
      <c r="AE130" s="35">
        <v>2028.0</v>
      </c>
      <c r="AF130" s="35">
        <v>2029.0</v>
      </c>
      <c r="AG130" s="36">
        <v>2030.0</v>
      </c>
      <c r="AH130" s="24"/>
    </row>
    <row r="131" ht="12.75" customHeight="1">
      <c r="A131" s="37" t="s">
        <v>38</v>
      </c>
      <c r="B131" s="38"/>
      <c r="C131" s="39">
        <v>3.0</v>
      </c>
      <c r="D131" s="39">
        <v>4.0</v>
      </c>
      <c r="E131" s="39">
        <v>5.0</v>
      </c>
      <c r="F131" s="39">
        <v>6.0</v>
      </c>
      <c r="G131" s="39">
        <v>7.0</v>
      </c>
      <c r="H131" s="39">
        <v>8.0</v>
      </c>
      <c r="I131" s="39">
        <v>9.0</v>
      </c>
      <c r="J131" s="39">
        <v>10.0</v>
      </c>
      <c r="K131" s="39">
        <v>11.0</v>
      </c>
      <c r="L131" s="39">
        <v>12.0</v>
      </c>
      <c r="M131" s="39">
        <v>13.0</v>
      </c>
      <c r="N131" s="39">
        <v>14.0</v>
      </c>
      <c r="O131" s="39">
        <v>15.0</v>
      </c>
      <c r="P131" s="39">
        <v>16.0</v>
      </c>
      <c r="Q131" s="39">
        <v>17.0</v>
      </c>
      <c r="R131" s="39">
        <v>18.0</v>
      </c>
      <c r="S131" s="39">
        <v>19.0</v>
      </c>
      <c r="T131" s="39">
        <v>20.0</v>
      </c>
      <c r="U131" s="39">
        <v>21.0</v>
      </c>
      <c r="V131" s="39">
        <v>22.0</v>
      </c>
      <c r="W131" s="39">
        <v>23.0</v>
      </c>
      <c r="X131" s="39">
        <v>24.0</v>
      </c>
      <c r="Y131" s="39">
        <v>25.0</v>
      </c>
      <c r="Z131" s="39">
        <v>26.0</v>
      </c>
      <c r="AA131" s="39">
        <v>27.0</v>
      </c>
      <c r="AB131" s="39">
        <v>28.0</v>
      </c>
      <c r="AC131" s="39">
        <v>29.0</v>
      </c>
      <c r="AD131" s="39">
        <v>30.0</v>
      </c>
      <c r="AE131" s="39">
        <v>31.0</v>
      </c>
      <c r="AF131" s="39">
        <v>32.0</v>
      </c>
      <c r="AG131" s="40">
        <v>33.0</v>
      </c>
      <c r="AH131" s="24"/>
    </row>
    <row r="132" ht="12.75" customHeight="1">
      <c r="A132" s="164" t="s">
        <v>145</v>
      </c>
      <c r="B132" s="170"/>
      <c r="C132" s="197"/>
      <c r="D132" s="172"/>
      <c r="E132" s="172" t="s">
        <v>7</v>
      </c>
      <c r="F132" s="172"/>
      <c r="G132" s="172"/>
      <c r="H132" s="172"/>
      <c r="I132" s="172"/>
      <c r="J132" s="172"/>
      <c r="K132" s="172"/>
      <c r="L132" s="172"/>
      <c r="M132" s="172"/>
      <c r="N132" s="172"/>
      <c r="O132" s="172"/>
      <c r="P132" s="172" t="s">
        <v>7</v>
      </c>
      <c r="Q132" s="172"/>
      <c r="R132" s="172"/>
      <c r="S132" s="172"/>
      <c r="T132" s="172"/>
      <c r="U132" s="176"/>
      <c r="V132" s="176"/>
      <c r="W132" s="176"/>
      <c r="X132" s="176"/>
      <c r="Y132" s="176"/>
      <c r="Z132" s="176"/>
      <c r="AA132" s="176"/>
      <c r="AB132" s="176"/>
      <c r="AC132" s="176"/>
      <c r="AD132" s="176"/>
      <c r="AE132" s="176"/>
      <c r="AF132" s="176"/>
      <c r="AG132" s="177"/>
      <c r="AH132" s="24"/>
    </row>
    <row r="133" ht="12.75" customHeight="1">
      <c r="A133" s="46" t="s">
        <v>146</v>
      </c>
      <c r="B133" s="51" t="s">
        <v>51</v>
      </c>
      <c r="C133" s="71" t="s">
        <v>7</v>
      </c>
      <c r="D133" s="49" t="s">
        <v>7</v>
      </c>
      <c r="E133" s="50">
        <f>42000*365/325851</f>
        <v>47.04604252</v>
      </c>
      <c r="F133" s="49" t="s">
        <v>7</v>
      </c>
      <c r="G133" s="49" t="s">
        <v>7</v>
      </c>
      <c r="H133" s="49" t="s">
        <v>7</v>
      </c>
      <c r="I133" s="49" t="s">
        <v>7</v>
      </c>
      <c r="J133" s="49" t="s">
        <v>7</v>
      </c>
      <c r="K133" s="49" t="s">
        <v>7</v>
      </c>
      <c r="L133" s="49" t="s">
        <v>7</v>
      </c>
      <c r="M133" s="49" t="s">
        <v>7</v>
      </c>
      <c r="N133" s="49" t="s">
        <v>7</v>
      </c>
      <c r="O133" s="49" t="s">
        <v>7</v>
      </c>
      <c r="P133" s="270">
        <f>38830000/325851</f>
        <v>119.1648944</v>
      </c>
      <c r="Q133" s="49" t="s">
        <v>7</v>
      </c>
      <c r="R133" s="71" t="s">
        <v>7</v>
      </c>
      <c r="S133" s="271" t="s">
        <v>7</v>
      </c>
      <c r="T133" s="49" t="s">
        <v>7</v>
      </c>
      <c r="U133" s="49" t="s">
        <v>7</v>
      </c>
      <c r="V133" s="24"/>
      <c r="W133" s="24"/>
      <c r="X133" s="24"/>
      <c r="Y133" s="24"/>
      <c r="Z133" s="24"/>
      <c r="AA133" s="24"/>
      <c r="AB133" s="24"/>
      <c r="AC133" s="24"/>
      <c r="AD133" s="24"/>
      <c r="AE133" s="24"/>
      <c r="AF133" s="24"/>
      <c r="AG133" s="272"/>
      <c r="AH133" s="24"/>
    </row>
    <row r="134" ht="12.75" customHeight="1">
      <c r="A134" s="273"/>
      <c r="B134" s="51" t="s">
        <v>147</v>
      </c>
      <c r="C134" s="71" t="s">
        <v>7</v>
      </c>
      <c r="D134" s="49" t="s">
        <v>7</v>
      </c>
      <c r="E134" s="50">
        <v>0.0</v>
      </c>
      <c r="F134" s="49" t="s">
        <v>7</v>
      </c>
      <c r="G134" s="49" t="s">
        <v>7</v>
      </c>
      <c r="H134" s="49" t="s">
        <v>7</v>
      </c>
      <c r="I134" s="49" t="s">
        <v>7</v>
      </c>
      <c r="J134" s="49" t="s">
        <v>7</v>
      </c>
      <c r="K134" s="49" t="s">
        <v>7</v>
      </c>
      <c r="L134" s="49" t="s">
        <v>7</v>
      </c>
      <c r="M134" s="49" t="s">
        <v>7</v>
      </c>
      <c r="N134" s="49" t="s">
        <v>7</v>
      </c>
      <c r="O134" s="49" t="s">
        <v>7</v>
      </c>
      <c r="P134" s="50">
        <v>0.0</v>
      </c>
      <c r="Q134" s="49" t="s">
        <v>7</v>
      </c>
      <c r="R134" s="71" t="s">
        <v>7</v>
      </c>
      <c r="S134" s="271" t="s">
        <v>7</v>
      </c>
      <c r="T134" s="49" t="s">
        <v>7</v>
      </c>
      <c r="U134" s="49" t="s">
        <v>7</v>
      </c>
      <c r="V134" s="24"/>
      <c r="W134" s="24"/>
      <c r="X134" s="24"/>
      <c r="Y134" s="24"/>
      <c r="Z134" s="24"/>
      <c r="AA134" s="24"/>
      <c r="AB134" s="24"/>
      <c r="AC134" s="24"/>
      <c r="AD134" s="24"/>
      <c r="AE134" s="24"/>
      <c r="AF134" s="24"/>
      <c r="AG134" s="272"/>
      <c r="AH134" s="24"/>
    </row>
    <row r="135" ht="12.75" customHeight="1">
      <c r="A135" s="273"/>
      <c r="B135" s="51" t="s">
        <v>148</v>
      </c>
      <c r="C135" s="71" t="s">
        <v>7</v>
      </c>
      <c r="D135" s="49" t="s">
        <v>7</v>
      </c>
      <c r="E135" s="50">
        <f>E133-E134</f>
        <v>47.04604252</v>
      </c>
      <c r="F135" s="49" t="s">
        <v>7</v>
      </c>
      <c r="G135" s="49" t="s">
        <v>7</v>
      </c>
      <c r="H135" s="49" t="s">
        <v>7</v>
      </c>
      <c r="I135" s="49" t="s">
        <v>7</v>
      </c>
      <c r="J135" s="49" t="s">
        <v>7</v>
      </c>
      <c r="K135" s="49" t="s">
        <v>7</v>
      </c>
      <c r="L135" s="49" t="s">
        <v>7</v>
      </c>
      <c r="M135" s="49" t="s">
        <v>7</v>
      </c>
      <c r="N135" s="49" t="s">
        <v>7</v>
      </c>
      <c r="O135" s="49" t="s">
        <v>7</v>
      </c>
      <c r="P135" s="270">
        <f>P133-P134</f>
        <v>119.1648944</v>
      </c>
      <c r="Q135" s="49" t="s">
        <v>7</v>
      </c>
      <c r="R135" s="71" t="s">
        <v>7</v>
      </c>
      <c r="S135" s="271" t="s">
        <v>7</v>
      </c>
      <c r="T135" s="49" t="s">
        <v>7</v>
      </c>
      <c r="U135" s="49" t="s">
        <v>7</v>
      </c>
      <c r="V135" s="24"/>
      <c r="W135" s="24"/>
      <c r="X135" s="24"/>
      <c r="Y135" s="24"/>
      <c r="Z135" s="24"/>
      <c r="AA135" s="24"/>
      <c r="AB135" s="24"/>
      <c r="AC135" s="24"/>
      <c r="AD135" s="24"/>
      <c r="AE135" s="24"/>
      <c r="AF135" s="24"/>
      <c r="AG135" s="272"/>
      <c r="AH135" s="24"/>
    </row>
    <row r="136" ht="12.75" customHeight="1">
      <c r="A136" s="46" t="s">
        <v>149</v>
      </c>
      <c r="B136" s="51" t="s">
        <v>51</v>
      </c>
      <c r="C136" s="71" t="s">
        <v>7</v>
      </c>
      <c r="D136" s="49" t="s">
        <v>7</v>
      </c>
      <c r="E136" s="50">
        <f>15000*365/325851</f>
        <v>16.80215804</v>
      </c>
      <c r="F136" s="49" t="s">
        <v>7</v>
      </c>
      <c r="G136" s="49" t="s">
        <v>7</v>
      </c>
      <c r="H136" s="49" t="s">
        <v>7</v>
      </c>
      <c r="I136" s="49" t="s">
        <v>7</v>
      </c>
      <c r="J136" s="49" t="s">
        <v>7</v>
      </c>
      <c r="K136" s="49" t="s">
        <v>7</v>
      </c>
      <c r="L136" s="49" t="s">
        <v>7</v>
      </c>
      <c r="M136" s="49" t="s">
        <v>7</v>
      </c>
      <c r="N136" s="49" t="s">
        <v>7</v>
      </c>
      <c r="O136" s="49" t="s">
        <v>7</v>
      </c>
      <c r="P136" s="270">
        <f>26650000/325851</f>
        <v>81.78584691</v>
      </c>
      <c r="Q136" s="49" t="s">
        <v>7</v>
      </c>
      <c r="R136" s="71" t="s">
        <v>7</v>
      </c>
      <c r="S136" s="271" t="s">
        <v>7</v>
      </c>
      <c r="T136" s="49" t="s">
        <v>7</v>
      </c>
      <c r="U136" s="49" t="s">
        <v>7</v>
      </c>
      <c r="V136" s="24"/>
      <c r="W136" s="24"/>
      <c r="X136" s="24"/>
      <c r="Y136" s="24"/>
      <c r="Z136" s="24"/>
      <c r="AA136" s="24"/>
      <c r="AB136" s="24"/>
      <c r="AC136" s="24"/>
      <c r="AD136" s="24"/>
      <c r="AE136" s="24"/>
      <c r="AF136" s="24"/>
      <c r="AG136" s="272"/>
      <c r="AH136" s="24"/>
    </row>
    <row r="137" ht="12.75" customHeight="1">
      <c r="A137" s="273"/>
      <c r="B137" s="51" t="s">
        <v>147</v>
      </c>
      <c r="C137" s="71" t="s">
        <v>7</v>
      </c>
      <c r="D137" s="49" t="s">
        <v>7</v>
      </c>
      <c r="E137" s="50">
        <v>0.0</v>
      </c>
      <c r="F137" s="49" t="s">
        <v>7</v>
      </c>
      <c r="G137" s="49" t="s">
        <v>7</v>
      </c>
      <c r="H137" s="49" t="s">
        <v>7</v>
      </c>
      <c r="I137" s="49" t="s">
        <v>7</v>
      </c>
      <c r="J137" s="49" t="s">
        <v>7</v>
      </c>
      <c r="K137" s="49" t="s">
        <v>7</v>
      </c>
      <c r="L137" s="49" t="s">
        <v>7</v>
      </c>
      <c r="M137" s="49" t="s">
        <v>7</v>
      </c>
      <c r="N137" s="49" t="s">
        <v>7</v>
      </c>
      <c r="O137" s="49" t="s">
        <v>7</v>
      </c>
      <c r="P137" s="50">
        <v>0.0</v>
      </c>
      <c r="Q137" s="49" t="s">
        <v>7</v>
      </c>
      <c r="R137" s="71" t="s">
        <v>7</v>
      </c>
      <c r="S137" s="271" t="s">
        <v>7</v>
      </c>
      <c r="T137" s="49" t="s">
        <v>7</v>
      </c>
      <c r="U137" s="49" t="s">
        <v>7</v>
      </c>
      <c r="V137" s="24"/>
      <c r="W137" s="24"/>
      <c r="X137" s="24"/>
      <c r="Y137" s="24"/>
      <c r="Z137" s="24"/>
      <c r="AA137" s="24"/>
      <c r="AB137" s="24"/>
      <c r="AC137" s="24"/>
      <c r="AD137" s="24"/>
      <c r="AE137" s="24"/>
      <c r="AF137" s="24"/>
      <c r="AG137" s="272"/>
      <c r="AH137" s="24"/>
    </row>
    <row r="138" ht="12.75" customHeight="1">
      <c r="A138" s="273"/>
      <c r="B138" s="51" t="s">
        <v>148</v>
      </c>
      <c r="C138" s="71" t="s">
        <v>7</v>
      </c>
      <c r="D138" s="49" t="s">
        <v>7</v>
      </c>
      <c r="E138" s="50">
        <f>E136-E137</f>
        <v>16.80215804</v>
      </c>
      <c r="F138" s="49" t="s">
        <v>7</v>
      </c>
      <c r="G138" s="49" t="s">
        <v>7</v>
      </c>
      <c r="H138" s="49" t="s">
        <v>7</v>
      </c>
      <c r="I138" s="49" t="s">
        <v>7</v>
      </c>
      <c r="J138" s="49" t="s">
        <v>7</v>
      </c>
      <c r="K138" s="49" t="s">
        <v>7</v>
      </c>
      <c r="L138" s="49" t="s">
        <v>7</v>
      </c>
      <c r="M138" s="49" t="s">
        <v>7</v>
      </c>
      <c r="N138" s="49" t="s">
        <v>7</v>
      </c>
      <c r="O138" s="49" t="s">
        <v>7</v>
      </c>
      <c r="P138" s="270">
        <f>P136-P137</f>
        <v>81.78584691</v>
      </c>
      <c r="Q138" s="49" t="s">
        <v>7</v>
      </c>
      <c r="R138" s="71" t="s">
        <v>7</v>
      </c>
      <c r="S138" s="271" t="s">
        <v>7</v>
      </c>
      <c r="T138" s="49" t="s">
        <v>7</v>
      </c>
      <c r="U138" s="49" t="s">
        <v>7</v>
      </c>
      <c r="V138" s="24"/>
      <c r="W138" s="24"/>
      <c r="X138" s="24"/>
      <c r="Y138" s="24"/>
      <c r="Z138" s="24"/>
      <c r="AA138" s="24"/>
      <c r="AB138" s="24"/>
      <c r="AC138" s="24"/>
      <c r="AD138" s="24"/>
      <c r="AE138" s="24"/>
      <c r="AF138" s="24"/>
      <c r="AG138" s="272"/>
      <c r="AH138" s="24"/>
    </row>
    <row r="139" ht="12.75" customHeight="1">
      <c r="A139" s="46" t="s">
        <v>150</v>
      </c>
      <c r="B139" s="51" t="s">
        <v>51</v>
      </c>
      <c r="C139" s="71" t="s">
        <v>7</v>
      </c>
      <c r="D139" s="49" t="s">
        <v>7</v>
      </c>
      <c r="E139" s="50">
        <f>38850*365/325851</f>
        <v>43.51758933</v>
      </c>
      <c r="F139" s="49" t="s">
        <v>7</v>
      </c>
      <c r="G139" s="49" t="s">
        <v>7</v>
      </c>
      <c r="H139" s="49" t="s">
        <v>7</v>
      </c>
      <c r="I139" s="49" t="s">
        <v>7</v>
      </c>
      <c r="J139" s="49" t="s">
        <v>7</v>
      </c>
      <c r="K139" s="49" t="s">
        <v>7</v>
      </c>
      <c r="L139" s="49" t="s">
        <v>7</v>
      </c>
      <c r="M139" s="49" t="s">
        <v>7</v>
      </c>
      <c r="N139" s="49" t="s">
        <v>7</v>
      </c>
      <c r="O139" s="49" t="s">
        <v>7</v>
      </c>
      <c r="P139" s="270">
        <f>19120000/325851</f>
        <v>58.67712543</v>
      </c>
      <c r="Q139" s="49" t="s">
        <v>7</v>
      </c>
      <c r="R139" s="71" t="s">
        <v>7</v>
      </c>
      <c r="S139" s="271" t="s">
        <v>7</v>
      </c>
      <c r="T139" s="49" t="s">
        <v>7</v>
      </c>
      <c r="U139" s="49" t="s">
        <v>7</v>
      </c>
      <c r="V139" s="24"/>
      <c r="W139" s="24"/>
      <c r="X139" s="24"/>
      <c r="Y139" s="24"/>
      <c r="Z139" s="24"/>
      <c r="AA139" s="24"/>
      <c r="AB139" s="24"/>
      <c r="AC139" s="24"/>
      <c r="AD139" s="24"/>
      <c r="AE139" s="24"/>
      <c r="AF139" s="24"/>
      <c r="AG139" s="272"/>
      <c r="AH139" s="24"/>
    </row>
    <row r="140" ht="12.75" customHeight="1">
      <c r="A140" s="273"/>
      <c r="B140" s="51" t="s">
        <v>147</v>
      </c>
      <c r="C140" s="71" t="s">
        <v>7</v>
      </c>
      <c r="D140" s="49" t="s">
        <v>7</v>
      </c>
      <c r="E140" s="50">
        <v>0.0</v>
      </c>
      <c r="F140" s="49" t="s">
        <v>7</v>
      </c>
      <c r="G140" s="49" t="s">
        <v>7</v>
      </c>
      <c r="H140" s="49" t="s">
        <v>7</v>
      </c>
      <c r="I140" s="49" t="s">
        <v>7</v>
      </c>
      <c r="J140" s="49" t="s">
        <v>7</v>
      </c>
      <c r="K140" s="49" t="s">
        <v>7</v>
      </c>
      <c r="L140" s="49" t="s">
        <v>7</v>
      </c>
      <c r="M140" s="49" t="s">
        <v>7</v>
      </c>
      <c r="N140" s="49" t="s">
        <v>7</v>
      </c>
      <c r="O140" s="49" t="s">
        <v>7</v>
      </c>
      <c r="P140" s="25">
        <v>0.0</v>
      </c>
      <c r="Q140" s="49" t="s">
        <v>7</v>
      </c>
      <c r="R140" s="71" t="s">
        <v>7</v>
      </c>
      <c r="S140" s="271" t="s">
        <v>7</v>
      </c>
      <c r="T140" s="49" t="s">
        <v>7</v>
      </c>
      <c r="U140" s="49" t="s">
        <v>7</v>
      </c>
      <c r="V140" s="24"/>
      <c r="W140" s="24"/>
      <c r="X140" s="24"/>
      <c r="Y140" s="24"/>
      <c r="Z140" s="24"/>
      <c r="AA140" s="24"/>
      <c r="AB140" s="24"/>
      <c r="AC140" s="24"/>
      <c r="AD140" s="24"/>
      <c r="AE140" s="24"/>
      <c r="AF140" s="24"/>
      <c r="AG140" s="272"/>
      <c r="AH140" s="24"/>
    </row>
    <row r="141" ht="12.75" customHeight="1">
      <c r="A141" s="273"/>
      <c r="B141" s="51" t="s">
        <v>148</v>
      </c>
      <c r="C141" s="71" t="s">
        <v>7</v>
      </c>
      <c r="D141" s="49" t="s">
        <v>7</v>
      </c>
      <c r="E141" s="50">
        <f>E139-E140</f>
        <v>43.51758933</v>
      </c>
      <c r="F141" s="49" t="s">
        <v>7</v>
      </c>
      <c r="G141" s="49" t="s">
        <v>7</v>
      </c>
      <c r="H141" s="49" t="s">
        <v>7</v>
      </c>
      <c r="I141" s="49" t="s">
        <v>7</v>
      </c>
      <c r="J141" s="49" t="s">
        <v>7</v>
      </c>
      <c r="K141" s="49" t="s">
        <v>7</v>
      </c>
      <c r="L141" s="49" t="s">
        <v>7</v>
      </c>
      <c r="M141" s="49" t="s">
        <v>7</v>
      </c>
      <c r="N141" s="49" t="s">
        <v>7</v>
      </c>
      <c r="O141" s="49" t="s">
        <v>7</v>
      </c>
      <c r="P141" s="270">
        <f>P139-P140</f>
        <v>58.67712543</v>
      </c>
      <c r="Q141" s="49" t="s">
        <v>7</v>
      </c>
      <c r="R141" s="71" t="s">
        <v>7</v>
      </c>
      <c r="S141" s="271" t="s">
        <v>7</v>
      </c>
      <c r="T141" s="49" t="s">
        <v>7</v>
      </c>
      <c r="U141" s="49" t="s">
        <v>7</v>
      </c>
      <c r="V141" s="24"/>
      <c r="W141" s="24"/>
      <c r="X141" s="24"/>
      <c r="Y141" s="24"/>
      <c r="Z141" s="24"/>
      <c r="AA141" s="24"/>
      <c r="AB141" s="24"/>
      <c r="AC141" s="24"/>
      <c r="AD141" s="24"/>
      <c r="AE141" s="24"/>
      <c r="AF141" s="24"/>
      <c r="AG141" s="272"/>
      <c r="AH141" s="24"/>
    </row>
    <row r="142" ht="12.75" customHeight="1">
      <c r="A142" s="46" t="s">
        <v>151</v>
      </c>
      <c r="B142" s="51" t="s">
        <v>51</v>
      </c>
      <c r="C142" s="71" t="s">
        <v>7</v>
      </c>
      <c r="D142" s="71" t="s">
        <v>7</v>
      </c>
      <c r="E142" s="50">
        <f>24000*365/325851</f>
        <v>26.88345287</v>
      </c>
      <c r="F142" s="71" t="s">
        <v>7</v>
      </c>
      <c r="G142" s="71" t="s">
        <v>7</v>
      </c>
      <c r="H142" s="71" t="s">
        <v>7</v>
      </c>
      <c r="I142" s="71" t="s">
        <v>7</v>
      </c>
      <c r="J142" s="71" t="s">
        <v>7</v>
      </c>
      <c r="K142" s="71" t="s">
        <v>7</v>
      </c>
      <c r="L142" s="71" t="s">
        <v>7</v>
      </c>
      <c r="M142" s="71" t="s">
        <v>7</v>
      </c>
      <c r="N142" s="71" t="s">
        <v>7</v>
      </c>
      <c r="O142" s="71" t="s">
        <v>7</v>
      </c>
      <c r="P142" s="50">
        <f>11230000/325851</f>
        <v>34.46360453</v>
      </c>
      <c r="Q142" s="71" t="s">
        <v>7</v>
      </c>
      <c r="R142" s="71" t="s">
        <v>7</v>
      </c>
      <c r="S142" s="271" t="s">
        <v>7</v>
      </c>
      <c r="T142" s="71" t="s">
        <v>7</v>
      </c>
      <c r="U142" s="71" t="s">
        <v>7</v>
      </c>
      <c r="V142" s="24"/>
      <c r="W142" s="24"/>
      <c r="X142" s="24"/>
      <c r="Y142" s="24"/>
      <c r="Z142" s="24"/>
      <c r="AA142" s="84"/>
      <c r="AB142" s="84"/>
      <c r="AC142" s="84"/>
      <c r="AD142" s="84"/>
      <c r="AE142" s="84"/>
      <c r="AF142" s="84"/>
      <c r="AG142" s="88"/>
      <c r="AH142" s="24"/>
    </row>
    <row r="143" ht="12.75" customHeight="1">
      <c r="A143" s="46"/>
      <c r="B143" s="51" t="s">
        <v>147</v>
      </c>
      <c r="C143" s="71" t="s">
        <v>7</v>
      </c>
      <c r="D143" s="71" t="s">
        <v>7</v>
      </c>
      <c r="E143" s="50">
        <v>0.0</v>
      </c>
      <c r="F143" s="71" t="s">
        <v>7</v>
      </c>
      <c r="G143" s="71" t="s">
        <v>7</v>
      </c>
      <c r="H143" s="71" t="s">
        <v>7</v>
      </c>
      <c r="I143" s="71" t="s">
        <v>7</v>
      </c>
      <c r="J143" s="71" t="s">
        <v>7</v>
      </c>
      <c r="K143" s="71" t="s">
        <v>7</v>
      </c>
      <c r="L143" s="71" t="s">
        <v>7</v>
      </c>
      <c r="M143" s="71" t="s">
        <v>7</v>
      </c>
      <c r="N143" s="71" t="s">
        <v>7</v>
      </c>
      <c r="O143" s="71" t="s">
        <v>7</v>
      </c>
      <c r="P143" s="50">
        <v>0.0</v>
      </c>
      <c r="Q143" s="71" t="s">
        <v>7</v>
      </c>
      <c r="R143" s="71" t="s">
        <v>7</v>
      </c>
      <c r="S143" s="271" t="s">
        <v>7</v>
      </c>
      <c r="T143" s="71" t="s">
        <v>7</v>
      </c>
      <c r="U143" s="71" t="s">
        <v>7</v>
      </c>
      <c r="V143" s="24"/>
      <c r="W143" s="24"/>
      <c r="X143" s="24"/>
      <c r="Y143" s="24"/>
      <c r="Z143" s="24"/>
      <c r="AA143" s="84"/>
      <c r="AB143" s="84"/>
      <c r="AC143" s="84"/>
      <c r="AD143" s="84"/>
      <c r="AE143" s="84"/>
      <c r="AF143" s="84"/>
      <c r="AG143" s="88"/>
      <c r="AH143" s="24"/>
    </row>
    <row r="144" ht="12.75" customHeight="1">
      <c r="A144" s="46"/>
      <c r="B144" s="51" t="s">
        <v>148</v>
      </c>
      <c r="C144" s="71" t="s">
        <v>7</v>
      </c>
      <c r="D144" s="71" t="s">
        <v>7</v>
      </c>
      <c r="E144" s="50">
        <f>E142-E143</f>
        <v>26.88345287</v>
      </c>
      <c r="F144" s="71" t="s">
        <v>7</v>
      </c>
      <c r="G144" s="71" t="s">
        <v>7</v>
      </c>
      <c r="H144" s="71" t="s">
        <v>7</v>
      </c>
      <c r="I144" s="71" t="s">
        <v>7</v>
      </c>
      <c r="J144" s="71" t="s">
        <v>7</v>
      </c>
      <c r="K144" s="71" t="s">
        <v>7</v>
      </c>
      <c r="L144" s="71" t="s">
        <v>7</v>
      </c>
      <c r="M144" s="71" t="s">
        <v>7</v>
      </c>
      <c r="N144" s="71" t="s">
        <v>7</v>
      </c>
      <c r="O144" s="71" t="s">
        <v>7</v>
      </c>
      <c r="P144" s="50">
        <f>P142-P143</f>
        <v>34.46360453</v>
      </c>
      <c r="Q144" s="71" t="s">
        <v>7</v>
      </c>
      <c r="R144" s="71" t="s">
        <v>7</v>
      </c>
      <c r="S144" s="271" t="s">
        <v>7</v>
      </c>
      <c r="T144" s="71" t="s">
        <v>7</v>
      </c>
      <c r="U144" s="71" t="s">
        <v>7</v>
      </c>
      <c r="V144" s="24"/>
      <c r="W144" s="24"/>
      <c r="X144" s="24"/>
      <c r="Y144" s="24"/>
      <c r="Z144" s="24"/>
      <c r="AA144" s="84"/>
      <c r="AB144" s="84"/>
      <c r="AC144" s="84"/>
      <c r="AD144" s="84"/>
      <c r="AE144" s="84"/>
      <c r="AF144" s="84"/>
      <c r="AG144" s="88"/>
      <c r="AH144" s="24"/>
    </row>
    <row r="145" ht="12.75" customHeight="1">
      <c r="A145" s="46" t="s">
        <v>152</v>
      </c>
      <c r="B145" s="51" t="s">
        <v>51</v>
      </c>
      <c r="C145" s="71" t="s">
        <v>7</v>
      </c>
      <c r="D145" s="71" t="s">
        <v>7</v>
      </c>
      <c r="E145" s="50">
        <f>141360*365/325851</f>
        <v>158.3435374</v>
      </c>
      <c r="F145" s="71" t="s">
        <v>7</v>
      </c>
      <c r="G145" s="71" t="s">
        <v>7</v>
      </c>
      <c r="H145" s="71" t="s">
        <v>7</v>
      </c>
      <c r="I145" s="71" t="s">
        <v>7</v>
      </c>
      <c r="J145" s="71" t="s">
        <v>7</v>
      </c>
      <c r="K145" s="71" t="s">
        <v>7</v>
      </c>
      <c r="L145" s="71" t="s">
        <v>7</v>
      </c>
      <c r="M145" s="71" t="s">
        <v>7</v>
      </c>
      <c r="N145" s="71" t="s">
        <v>7</v>
      </c>
      <c r="O145" s="71" t="s">
        <v>7</v>
      </c>
      <c r="P145" s="50">
        <f>18770000/325851</f>
        <v>57.60301487</v>
      </c>
      <c r="Q145" s="71" t="s">
        <v>7</v>
      </c>
      <c r="R145" s="71" t="s">
        <v>7</v>
      </c>
      <c r="S145" s="271" t="s">
        <v>7</v>
      </c>
      <c r="T145" s="71" t="s">
        <v>7</v>
      </c>
      <c r="U145" s="71" t="s">
        <v>7</v>
      </c>
      <c r="V145" s="24"/>
      <c r="W145" s="24"/>
      <c r="X145" s="24"/>
      <c r="Y145" s="24"/>
      <c r="Z145" s="24"/>
      <c r="AA145" s="84"/>
      <c r="AB145" s="84"/>
      <c r="AC145" s="84"/>
      <c r="AD145" s="84"/>
      <c r="AE145" s="84"/>
      <c r="AF145" s="84"/>
      <c r="AG145" s="88"/>
      <c r="AH145" s="24"/>
    </row>
    <row r="146" ht="12.75" customHeight="1">
      <c r="A146" s="46"/>
      <c r="B146" s="51" t="s">
        <v>147</v>
      </c>
      <c r="C146" s="71" t="s">
        <v>7</v>
      </c>
      <c r="D146" s="71" t="s">
        <v>7</v>
      </c>
      <c r="E146" s="50">
        <v>0.0</v>
      </c>
      <c r="F146" s="71" t="s">
        <v>7</v>
      </c>
      <c r="G146" s="71" t="s">
        <v>7</v>
      </c>
      <c r="H146" s="71" t="s">
        <v>7</v>
      </c>
      <c r="I146" s="71" t="s">
        <v>7</v>
      </c>
      <c r="J146" s="71" t="s">
        <v>7</v>
      </c>
      <c r="K146" s="71" t="s">
        <v>7</v>
      </c>
      <c r="L146" s="71" t="s">
        <v>7</v>
      </c>
      <c r="M146" s="71" t="s">
        <v>7</v>
      </c>
      <c r="N146" s="71" t="s">
        <v>7</v>
      </c>
      <c r="O146" s="71" t="s">
        <v>7</v>
      </c>
      <c r="P146" s="50">
        <v>0.0</v>
      </c>
      <c r="Q146" s="71" t="s">
        <v>7</v>
      </c>
      <c r="R146" s="71" t="s">
        <v>7</v>
      </c>
      <c r="S146" s="271" t="s">
        <v>7</v>
      </c>
      <c r="T146" s="71" t="s">
        <v>7</v>
      </c>
      <c r="U146" s="71" t="s">
        <v>7</v>
      </c>
      <c r="V146" s="24"/>
      <c r="W146" s="24"/>
      <c r="X146" s="24"/>
      <c r="Y146" s="24"/>
      <c r="Z146" s="24"/>
      <c r="AA146" s="84"/>
      <c r="AB146" s="84"/>
      <c r="AC146" s="84"/>
      <c r="AD146" s="84"/>
      <c r="AE146" s="84"/>
      <c r="AF146" s="84"/>
      <c r="AG146" s="88"/>
      <c r="AH146" s="24"/>
    </row>
    <row r="147" ht="12.75" customHeight="1">
      <c r="A147" s="46"/>
      <c r="B147" s="51" t="s">
        <v>148</v>
      </c>
      <c r="C147" s="71" t="s">
        <v>7</v>
      </c>
      <c r="D147" s="71" t="s">
        <v>7</v>
      </c>
      <c r="E147" s="50">
        <f>E145-E146</f>
        <v>158.3435374</v>
      </c>
      <c r="F147" s="71" t="s">
        <v>7</v>
      </c>
      <c r="G147" s="71" t="s">
        <v>7</v>
      </c>
      <c r="H147" s="71" t="s">
        <v>7</v>
      </c>
      <c r="I147" s="71" t="s">
        <v>7</v>
      </c>
      <c r="J147" s="71" t="s">
        <v>7</v>
      </c>
      <c r="K147" s="71" t="s">
        <v>7</v>
      </c>
      <c r="L147" s="71" t="s">
        <v>7</v>
      </c>
      <c r="M147" s="71" t="s">
        <v>7</v>
      </c>
      <c r="N147" s="71" t="s">
        <v>7</v>
      </c>
      <c r="O147" s="71" t="s">
        <v>7</v>
      </c>
      <c r="P147" s="50">
        <f>P145-P146</f>
        <v>57.60301487</v>
      </c>
      <c r="Q147" s="71" t="s">
        <v>7</v>
      </c>
      <c r="R147" s="71" t="s">
        <v>7</v>
      </c>
      <c r="S147" s="271" t="s">
        <v>7</v>
      </c>
      <c r="T147" s="71" t="s">
        <v>7</v>
      </c>
      <c r="U147" s="71" t="s">
        <v>7</v>
      </c>
      <c r="V147" s="24"/>
      <c r="W147" s="24"/>
      <c r="X147" s="24"/>
      <c r="Y147" s="24"/>
      <c r="Z147" s="24"/>
      <c r="AA147" s="84"/>
      <c r="AB147" s="84"/>
      <c r="AC147" s="84"/>
      <c r="AD147" s="84"/>
      <c r="AE147" s="84"/>
      <c r="AF147" s="84"/>
      <c r="AG147" s="88"/>
      <c r="AH147" s="24"/>
    </row>
    <row r="148" ht="12.75" customHeight="1">
      <c r="A148" s="46" t="s">
        <v>153</v>
      </c>
      <c r="B148" s="51" t="s">
        <v>51</v>
      </c>
      <c r="C148" s="71" t="s">
        <v>7</v>
      </c>
      <c r="D148" s="71" t="s">
        <v>7</v>
      </c>
      <c r="E148" s="50">
        <f>95587*365/325851</f>
        <v>107.071192</v>
      </c>
      <c r="F148" s="71" t="s">
        <v>7</v>
      </c>
      <c r="G148" s="71" t="s">
        <v>7</v>
      </c>
      <c r="H148" s="71" t="s">
        <v>7</v>
      </c>
      <c r="I148" s="71" t="s">
        <v>7</v>
      </c>
      <c r="J148" s="71" t="s">
        <v>7</v>
      </c>
      <c r="K148" s="71" t="s">
        <v>7</v>
      </c>
      <c r="L148" s="71" t="s">
        <v>7</v>
      </c>
      <c r="M148" s="71" t="s">
        <v>7</v>
      </c>
      <c r="N148" s="71" t="s">
        <v>7</v>
      </c>
      <c r="O148" s="71" t="s">
        <v>7</v>
      </c>
      <c r="P148" s="50">
        <f>16690000/325851</f>
        <v>51.21972926</v>
      </c>
      <c r="Q148" s="71" t="s">
        <v>7</v>
      </c>
      <c r="R148" s="71" t="s">
        <v>7</v>
      </c>
      <c r="S148" s="271" t="s">
        <v>7</v>
      </c>
      <c r="T148" s="71" t="s">
        <v>7</v>
      </c>
      <c r="U148" s="71" t="s">
        <v>7</v>
      </c>
      <c r="V148" s="84"/>
      <c r="W148" s="84"/>
      <c r="X148" s="84"/>
      <c r="Y148" s="84"/>
      <c r="Z148" s="84"/>
      <c r="AA148" s="84"/>
      <c r="AB148" s="84"/>
      <c r="AC148" s="84"/>
      <c r="AD148" s="84"/>
      <c r="AE148" s="84"/>
      <c r="AF148" s="84"/>
      <c r="AG148" s="88"/>
      <c r="AH148" s="24"/>
    </row>
    <row r="149" ht="12.75" customHeight="1">
      <c r="A149" s="46"/>
      <c r="B149" s="51" t="s">
        <v>147</v>
      </c>
      <c r="C149" s="71" t="s">
        <v>7</v>
      </c>
      <c r="D149" s="71" t="s">
        <v>7</v>
      </c>
      <c r="E149" s="50">
        <v>0.0</v>
      </c>
      <c r="F149" s="71" t="s">
        <v>7</v>
      </c>
      <c r="G149" s="71" t="s">
        <v>7</v>
      </c>
      <c r="H149" s="71" t="s">
        <v>7</v>
      </c>
      <c r="I149" s="71" t="s">
        <v>7</v>
      </c>
      <c r="J149" s="71" t="s">
        <v>7</v>
      </c>
      <c r="K149" s="71" t="s">
        <v>7</v>
      </c>
      <c r="L149" s="71" t="s">
        <v>7</v>
      </c>
      <c r="M149" s="71" t="s">
        <v>7</v>
      </c>
      <c r="N149" s="71" t="s">
        <v>7</v>
      </c>
      <c r="O149" s="71" t="s">
        <v>7</v>
      </c>
      <c r="P149" s="50">
        <v>0.0</v>
      </c>
      <c r="Q149" s="71" t="s">
        <v>7</v>
      </c>
      <c r="R149" s="71" t="s">
        <v>7</v>
      </c>
      <c r="S149" s="271" t="s">
        <v>7</v>
      </c>
      <c r="T149" s="71" t="s">
        <v>7</v>
      </c>
      <c r="U149" s="71" t="s">
        <v>7</v>
      </c>
      <c r="V149" s="84"/>
      <c r="W149" s="84"/>
      <c r="X149" s="84"/>
      <c r="Y149" s="84"/>
      <c r="Z149" s="84"/>
      <c r="AA149" s="84"/>
      <c r="AB149" s="84"/>
      <c r="AC149" s="84"/>
      <c r="AD149" s="84"/>
      <c r="AE149" s="84"/>
      <c r="AF149" s="84"/>
      <c r="AG149" s="88"/>
      <c r="AH149" s="24"/>
    </row>
    <row r="150" ht="12.75" customHeight="1">
      <c r="A150" s="46"/>
      <c r="B150" s="51" t="s">
        <v>148</v>
      </c>
      <c r="C150" s="71" t="s">
        <v>7</v>
      </c>
      <c r="D150" s="71" t="s">
        <v>7</v>
      </c>
      <c r="E150" s="50">
        <f>E148-E149</f>
        <v>107.071192</v>
      </c>
      <c r="F150" s="71" t="s">
        <v>7</v>
      </c>
      <c r="G150" s="71" t="s">
        <v>7</v>
      </c>
      <c r="H150" s="71" t="s">
        <v>7</v>
      </c>
      <c r="I150" s="71" t="s">
        <v>7</v>
      </c>
      <c r="J150" s="71" t="s">
        <v>7</v>
      </c>
      <c r="K150" s="71" t="s">
        <v>7</v>
      </c>
      <c r="L150" s="71" t="s">
        <v>7</v>
      </c>
      <c r="M150" s="71" t="s">
        <v>7</v>
      </c>
      <c r="N150" s="71" t="s">
        <v>7</v>
      </c>
      <c r="O150" s="71" t="s">
        <v>7</v>
      </c>
      <c r="P150" s="50">
        <f>P148-P149</f>
        <v>51.21972926</v>
      </c>
      <c r="Q150" s="71" t="s">
        <v>7</v>
      </c>
      <c r="R150" s="71" t="s">
        <v>7</v>
      </c>
      <c r="S150" s="271" t="s">
        <v>7</v>
      </c>
      <c r="T150" s="71" t="s">
        <v>7</v>
      </c>
      <c r="U150" s="71" t="s">
        <v>7</v>
      </c>
      <c r="V150" s="84"/>
      <c r="W150" s="84"/>
      <c r="X150" s="84"/>
      <c r="Y150" s="84"/>
      <c r="Z150" s="84"/>
      <c r="AA150" s="84"/>
      <c r="AB150" s="84"/>
      <c r="AC150" s="84"/>
      <c r="AD150" s="84"/>
      <c r="AE150" s="84"/>
      <c r="AF150" s="84"/>
      <c r="AG150" s="88"/>
      <c r="AH150" s="24"/>
    </row>
    <row r="151" ht="12.75" customHeight="1">
      <c r="A151" s="46" t="s">
        <v>154</v>
      </c>
      <c r="B151" s="51" t="s">
        <v>51</v>
      </c>
      <c r="C151" s="71" t="s">
        <v>7</v>
      </c>
      <c r="D151" s="71" t="s">
        <v>7</v>
      </c>
      <c r="E151" s="50">
        <f>600000*365/325851</f>
        <v>672.0863217</v>
      </c>
      <c r="F151" s="71" t="s">
        <v>7</v>
      </c>
      <c r="G151" s="71" t="s">
        <v>7</v>
      </c>
      <c r="H151" s="71" t="s">
        <v>7</v>
      </c>
      <c r="I151" s="71" t="s">
        <v>7</v>
      </c>
      <c r="J151" s="71" t="s">
        <v>7</v>
      </c>
      <c r="K151" s="71" t="s">
        <v>7</v>
      </c>
      <c r="L151" s="71" t="s">
        <v>7</v>
      </c>
      <c r="M151" s="71" t="s">
        <v>7</v>
      </c>
      <c r="N151" s="71" t="s">
        <v>7</v>
      </c>
      <c r="O151" s="71" t="s">
        <v>7</v>
      </c>
      <c r="P151" s="50">
        <f>217630000/325851</f>
        <v>667.881946</v>
      </c>
      <c r="Q151" s="71" t="s">
        <v>7</v>
      </c>
      <c r="R151" s="71" t="s">
        <v>7</v>
      </c>
      <c r="S151" s="271" t="s">
        <v>7</v>
      </c>
      <c r="T151" s="71" t="s">
        <v>7</v>
      </c>
      <c r="U151" s="71" t="s">
        <v>7</v>
      </c>
      <c r="V151" s="84"/>
      <c r="W151" s="84"/>
      <c r="X151" s="84"/>
      <c r="Y151" s="84"/>
      <c r="Z151" s="84"/>
      <c r="AA151" s="84"/>
      <c r="AB151" s="84"/>
      <c r="AC151" s="84"/>
      <c r="AD151" s="84"/>
      <c r="AE151" s="84"/>
      <c r="AF151" s="84"/>
      <c r="AG151" s="88"/>
      <c r="AH151" s="24"/>
    </row>
    <row r="152" ht="12.75" customHeight="1">
      <c r="A152" s="46"/>
      <c r="B152" s="51" t="s">
        <v>147</v>
      </c>
      <c r="C152" s="71" t="s">
        <v>7</v>
      </c>
      <c r="D152" s="71" t="s">
        <v>7</v>
      </c>
      <c r="E152" s="50">
        <v>0.0</v>
      </c>
      <c r="F152" s="71" t="s">
        <v>7</v>
      </c>
      <c r="G152" s="71" t="s">
        <v>7</v>
      </c>
      <c r="H152" s="71" t="s">
        <v>7</v>
      </c>
      <c r="I152" s="71" t="s">
        <v>7</v>
      </c>
      <c r="J152" s="71" t="s">
        <v>7</v>
      </c>
      <c r="K152" s="71" t="s">
        <v>7</v>
      </c>
      <c r="L152" s="71" t="s">
        <v>7</v>
      </c>
      <c r="M152" s="71" t="s">
        <v>7</v>
      </c>
      <c r="N152" s="71" t="s">
        <v>7</v>
      </c>
      <c r="O152" s="71" t="s">
        <v>7</v>
      </c>
      <c r="P152" s="50">
        <f>64270000/325851</f>
        <v>197.2373876</v>
      </c>
      <c r="Q152" s="71" t="s">
        <v>7</v>
      </c>
      <c r="R152" s="71" t="s">
        <v>7</v>
      </c>
      <c r="S152" s="271" t="s">
        <v>7</v>
      </c>
      <c r="T152" s="71" t="s">
        <v>7</v>
      </c>
      <c r="U152" s="71" t="s">
        <v>7</v>
      </c>
      <c r="V152" s="84"/>
      <c r="W152" s="84"/>
      <c r="X152" s="84"/>
      <c r="Y152" s="84"/>
      <c r="Z152" s="84"/>
      <c r="AA152" s="84"/>
      <c r="AB152" s="84"/>
      <c r="AC152" s="84"/>
      <c r="AD152" s="84"/>
      <c r="AE152" s="84"/>
      <c r="AF152" s="84"/>
      <c r="AG152" s="88"/>
      <c r="AH152" s="24"/>
    </row>
    <row r="153" ht="12.75" customHeight="1">
      <c r="A153" s="46"/>
      <c r="B153" s="51" t="s">
        <v>148</v>
      </c>
      <c r="C153" s="71" t="s">
        <v>7</v>
      </c>
      <c r="D153" s="71" t="s">
        <v>7</v>
      </c>
      <c r="E153" s="50">
        <f>E151-E152</f>
        <v>672.0863217</v>
      </c>
      <c r="F153" s="71" t="s">
        <v>7</v>
      </c>
      <c r="G153" s="71" t="s">
        <v>7</v>
      </c>
      <c r="H153" s="71" t="s">
        <v>7</v>
      </c>
      <c r="I153" s="71" t="s">
        <v>7</v>
      </c>
      <c r="J153" s="71" t="s">
        <v>7</v>
      </c>
      <c r="K153" s="71" t="s">
        <v>7</v>
      </c>
      <c r="L153" s="71" t="s">
        <v>7</v>
      </c>
      <c r="M153" s="71" t="s">
        <v>7</v>
      </c>
      <c r="N153" s="71" t="s">
        <v>7</v>
      </c>
      <c r="O153" s="71" t="s">
        <v>7</v>
      </c>
      <c r="P153" s="50">
        <f>P151-P152</f>
        <v>470.6445584</v>
      </c>
      <c r="Q153" s="71" t="s">
        <v>7</v>
      </c>
      <c r="R153" s="71" t="s">
        <v>7</v>
      </c>
      <c r="S153" s="271" t="s">
        <v>7</v>
      </c>
      <c r="T153" s="71" t="s">
        <v>7</v>
      </c>
      <c r="U153" s="71" t="s">
        <v>7</v>
      </c>
      <c r="V153" s="84"/>
      <c r="W153" s="84"/>
      <c r="X153" s="84"/>
      <c r="Y153" s="84"/>
      <c r="Z153" s="84"/>
      <c r="AA153" s="84"/>
      <c r="AB153" s="84"/>
      <c r="AC153" s="84"/>
      <c r="AD153" s="84"/>
      <c r="AE153" s="84"/>
      <c r="AF153" s="84"/>
      <c r="AG153" s="88"/>
      <c r="AH153" s="24"/>
    </row>
    <row r="154" ht="12.75" customHeight="1">
      <c r="A154" s="46" t="s">
        <v>155</v>
      </c>
      <c r="B154" s="51" t="s">
        <v>51</v>
      </c>
      <c r="C154" s="71" t="s">
        <v>7</v>
      </c>
      <c r="D154" s="71" t="s">
        <v>7</v>
      </c>
      <c r="E154" s="50">
        <f>484800*365/325851</f>
        <v>543.0457479</v>
      </c>
      <c r="F154" s="71" t="s">
        <v>7</v>
      </c>
      <c r="G154" s="71" t="s">
        <v>7</v>
      </c>
      <c r="H154" s="71" t="s">
        <v>7</v>
      </c>
      <c r="I154" s="71" t="s">
        <v>7</v>
      </c>
      <c r="J154" s="71" t="s">
        <v>7</v>
      </c>
      <c r="K154" s="71" t="s">
        <v>7</v>
      </c>
      <c r="L154" s="71" t="s">
        <v>7</v>
      </c>
      <c r="M154" s="71" t="s">
        <v>7</v>
      </c>
      <c r="N154" s="71" t="s">
        <v>7</v>
      </c>
      <c r="O154" s="71" t="s">
        <v>7</v>
      </c>
      <c r="P154" s="50">
        <f>147500000/325851</f>
        <v>452.6608787</v>
      </c>
      <c r="Q154" s="71" t="s">
        <v>7</v>
      </c>
      <c r="R154" s="71" t="s">
        <v>7</v>
      </c>
      <c r="S154" s="271" t="s">
        <v>7</v>
      </c>
      <c r="T154" s="71" t="s">
        <v>7</v>
      </c>
      <c r="U154" s="71" t="s">
        <v>7</v>
      </c>
      <c r="V154" s="84"/>
      <c r="W154" s="84"/>
      <c r="X154" s="84"/>
      <c r="Y154" s="84"/>
      <c r="Z154" s="84"/>
      <c r="AA154" s="84"/>
      <c r="AB154" s="84"/>
      <c r="AC154" s="84"/>
      <c r="AD154" s="84"/>
      <c r="AE154" s="84"/>
      <c r="AF154" s="84"/>
      <c r="AG154" s="88"/>
      <c r="AH154" s="24"/>
    </row>
    <row r="155" ht="12.75" customHeight="1">
      <c r="A155" s="46"/>
      <c r="B155" s="51" t="s">
        <v>147</v>
      </c>
      <c r="C155" s="71" t="s">
        <v>7</v>
      </c>
      <c r="D155" s="71" t="s">
        <v>7</v>
      </c>
      <c r="E155" s="50">
        <v>0.0</v>
      </c>
      <c r="F155" s="71" t="s">
        <v>7</v>
      </c>
      <c r="G155" s="71" t="s">
        <v>7</v>
      </c>
      <c r="H155" s="71" t="s">
        <v>7</v>
      </c>
      <c r="I155" s="71" t="s">
        <v>7</v>
      </c>
      <c r="J155" s="71" t="s">
        <v>7</v>
      </c>
      <c r="K155" s="71" t="s">
        <v>7</v>
      </c>
      <c r="L155" s="71" t="s">
        <v>7</v>
      </c>
      <c r="M155" s="71" t="s">
        <v>7</v>
      </c>
      <c r="N155" s="71" t="s">
        <v>7</v>
      </c>
      <c r="O155" s="71" t="s">
        <v>7</v>
      </c>
      <c r="P155" s="50">
        <v>0.0</v>
      </c>
      <c r="Q155" s="71" t="s">
        <v>7</v>
      </c>
      <c r="R155" s="71" t="s">
        <v>7</v>
      </c>
      <c r="S155" s="271" t="s">
        <v>7</v>
      </c>
      <c r="T155" s="71" t="s">
        <v>7</v>
      </c>
      <c r="U155" s="71" t="s">
        <v>7</v>
      </c>
      <c r="V155" s="84"/>
      <c r="W155" s="84"/>
      <c r="X155" s="84"/>
      <c r="Y155" s="84"/>
      <c r="Z155" s="84"/>
      <c r="AA155" s="84"/>
      <c r="AB155" s="84"/>
      <c r="AC155" s="84"/>
      <c r="AD155" s="84"/>
      <c r="AE155" s="84"/>
      <c r="AF155" s="84"/>
      <c r="AG155" s="88"/>
      <c r="AH155" s="24"/>
    </row>
    <row r="156" ht="12.75" customHeight="1">
      <c r="A156" s="46"/>
      <c r="B156" s="51" t="s">
        <v>148</v>
      </c>
      <c r="C156" s="71" t="s">
        <v>7</v>
      </c>
      <c r="D156" s="71" t="s">
        <v>7</v>
      </c>
      <c r="E156" s="50">
        <f>E154-E155</f>
        <v>543.0457479</v>
      </c>
      <c r="F156" s="71" t="s">
        <v>7</v>
      </c>
      <c r="G156" s="71" t="s">
        <v>7</v>
      </c>
      <c r="H156" s="71" t="s">
        <v>7</v>
      </c>
      <c r="I156" s="71" t="s">
        <v>7</v>
      </c>
      <c r="J156" s="71" t="s">
        <v>7</v>
      </c>
      <c r="K156" s="71" t="s">
        <v>7</v>
      </c>
      <c r="L156" s="71" t="s">
        <v>7</v>
      </c>
      <c r="M156" s="71" t="s">
        <v>7</v>
      </c>
      <c r="N156" s="71" t="s">
        <v>7</v>
      </c>
      <c r="O156" s="71" t="s">
        <v>7</v>
      </c>
      <c r="P156" s="50">
        <f>P154-P155</f>
        <v>452.6608787</v>
      </c>
      <c r="Q156" s="71" t="s">
        <v>7</v>
      </c>
      <c r="R156" s="71" t="s">
        <v>7</v>
      </c>
      <c r="S156" s="271" t="s">
        <v>7</v>
      </c>
      <c r="T156" s="71" t="s">
        <v>7</v>
      </c>
      <c r="U156" s="71" t="s">
        <v>7</v>
      </c>
      <c r="V156" s="84"/>
      <c r="W156" s="84"/>
      <c r="X156" s="84"/>
      <c r="Y156" s="84"/>
      <c r="Z156" s="84"/>
      <c r="AA156" s="84"/>
      <c r="AB156" s="84"/>
      <c r="AC156" s="84"/>
      <c r="AD156" s="84"/>
      <c r="AE156" s="84"/>
      <c r="AF156" s="84"/>
      <c r="AG156" s="88"/>
      <c r="AH156" s="24"/>
    </row>
    <row r="157" ht="12.75" customHeight="1">
      <c r="A157" s="46" t="s">
        <v>156</v>
      </c>
      <c r="B157" s="51" t="s">
        <v>51</v>
      </c>
      <c r="C157" s="71" t="s">
        <v>7</v>
      </c>
      <c r="D157" s="71" t="s">
        <v>7</v>
      </c>
      <c r="E157" s="50">
        <f>23500*365/325851</f>
        <v>26.32338093</v>
      </c>
      <c r="F157" s="71" t="s">
        <v>7</v>
      </c>
      <c r="G157" s="71" t="s">
        <v>7</v>
      </c>
      <c r="H157" s="71" t="s">
        <v>7</v>
      </c>
      <c r="I157" s="71" t="s">
        <v>7</v>
      </c>
      <c r="J157" s="71" t="s">
        <v>7</v>
      </c>
      <c r="K157" s="71" t="s">
        <v>7</v>
      </c>
      <c r="L157" s="71" t="s">
        <v>7</v>
      </c>
      <c r="M157" s="71" t="s">
        <v>7</v>
      </c>
      <c r="N157" s="71" t="s">
        <v>7</v>
      </c>
      <c r="O157" s="71" t="s">
        <v>7</v>
      </c>
      <c r="P157" s="50">
        <f>5830000/325851</f>
        <v>17.89161304</v>
      </c>
      <c r="Q157" s="71" t="s">
        <v>7</v>
      </c>
      <c r="R157" s="71" t="s">
        <v>7</v>
      </c>
      <c r="S157" s="271" t="s">
        <v>7</v>
      </c>
      <c r="T157" s="71" t="s">
        <v>7</v>
      </c>
      <c r="U157" s="71" t="s">
        <v>7</v>
      </c>
      <c r="V157" s="84"/>
      <c r="W157" s="84"/>
      <c r="X157" s="84"/>
      <c r="Y157" s="84"/>
      <c r="Z157" s="84"/>
      <c r="AA157" s="84"/>
      <c r="AB157" s="84"/>
      <c r="AC157" s="84"/>
      <c r="AD157" s="84"/>
      <c r="AE157" s="84"/>
      <c r="AF157" s="84"/>
      <c r="AG157" s="88"/>
      <c r="AH157" s="24"/>
    </row>
    <row r="158" ht="12.75" customHeight="1">
      <c r="A158" s="46"/>
      <c r="B158" s="51" t="s">
        <v>147</v>
      </c>
      <c r="C158" s="71" t="s">
        <v>7</v>
      </c>
      <c r="D158" s="71" t="s">
        <v>7</v>
      </c>
      <c r="E158" s="50">
        <v>0.0</v>
      </c>
      <c r="F158" s="71" t="s">
        <v>7</v>
      </c>
      <c r="G158" s="71" t="s">
        <v>7</v>
      </c>
      <c r="H158" s="71" t="s">
        <v>7</v>
      </c>
      <c r="I158" s="71" t="s">
        <v>7</v>
      </c>
      <c r="J158" s="71" t="s">
        <v>7</v>
      </c>
      <c r="K158" s="71" t="s">
        <v>7</v>
      </c>
      <c r="L158" s="71" t="s">
        <v>7</v>
      </c>
      <c r="M158" s="71" t="s">
        <v>7</v>
      </c>
      <c r="N158" s="71" t="s">
        <v>7</v>
      </c>
      <c r="O158" s="71" t="s">
        <v>7</v>
      </c>
      <c r="P158" s="50">
        <f>2400000/325851</f>
        <v>7.365329552</v>
      </c>
      <c r="Q158" s="71" t="s">
        <v>7</v>
      </c>
      <c r="R158" s="71" t="s">
        <v>7</v>
      </c>
      <c r="S158" s="271" t="s">
        <v>7</v>
      </c>
      <c r="T158" s="71" t="s">
        <v>7</v>
      </c>
      <c r="U158" s="71" t="s">
        <v>7</v>
      </c>
      <c r="V158" s="84"/>
      <c r="W158" s="84"/>
      <c r="X158" s="84"/>
      <c r="Y158" s="84"/>
      <c r="Z158" s="84"/>
      <c r="AA158" s="84"/>
      <c r="AB158" s="84"/>
      <c r="AC158" s="84"/>
      <c r="AD158" s="84"/>
      <c r="AE158" s="84"/>
      <c r="AF158" s="84"/>
      <c r="AG158" s="88"/>
      <c r="AH158" s="24"/>
    </row>
    <row r="159" ht="12.75" customHeight="1">
      <c r="A159" s="46"/>
      <c r="B159" s="51" t="s">
        <v>148</v>
      </c>
      <c r="C159" s="71" t="s">
        <v>7</v>
      </c>
      <c r="D159" s="71" t="s">
        <v>7</v>
      </c>
      <c r="E159" s="50">
        <f>E157-E158</f>
        <v>26.32338093</v>
      </c>
      <c r="F159" s="71" t="s">
        <v>7</v>
      </c>
      <c r="G159" s="71" t="s">
        <v>7</v>
      </c>
      <c r="H159" s="71" t="s">
        <v>7</v>
      </c>
      <c r="I159" s="71" t="s">
        <v>7</v>
      </c>
      <c r="J159" s="71" t="s">
        <v>7</v>
      </c>
      <c r="K159" s="71" t="s">
        <v>7</v>
      </c>
      <c r="L159" s="71" t="s">
        <v>7</v>
      </c>
      <c r="M159" s="71" t="s">
        <v>7</v>
      </c>
      <c r="N159" s="71" t="s">
        <v>7</v>
      </c>
      <c r="O159" s="71" t="s">
        <v>7</v>
      </c>
      <c r="P159" s="50">
        <f>P157-P158</f>
        <v>10.52628349</v>
      </c>
      <c r="Q159" s="71" t="s">
        <v>7</v>
      </c>
      <c r="R159" s="71" t="s">
        <v>7</v>
      </c>
      <c r="S159" s="271" t="s">
        <v>7</v>
      </c>
      <c r="T159" s="71" t="s">
        <v>7</v>
      </c>
      <c r="U159" s="71" t="s">
        <v>7</v>
      </c>
      <c r="V159" s="84"/>
      <c r="W159" s="84"/>
      <c r="X159" s="84"/>
      <c r="Y159" s="84"/>
      <c r="Z159" s="84"/>
      <c r="AA159" s="84"/>
      <c r="AB159" s="84"/>
      <c r="AC159" s="84"/>
      <c r="AD159" s="84"/>
      <c r="AE159" s="84"/>
      <c r="AF159" s="84"/>
      <c r="AG159" s="88"/>
      <c r="AH159" s="24"/>
    </row>
    <row r="160" ht="12.75" customHeight="1">
      <c r="A160" s="46" t="s">
        <v>157</v>
      </c>
      <c r="B160" s="51" t="s">
        <v>51</v>
      </c>
      <c r="C160" s="71" t="s">
        <v>7</v>
      </c>
      <c r="D160" s="71" t="s">
        <v>7</v>
      </c>
      <c r="E160" s="50">
        <f>25000*365/325851</f>
        <v>28.00359674</v>
      </c>
      <c r="F160" s="71" t="s">
        <v>7</v>
      </c>
      <c r="G160" s="71" t="s">
        <v>7</v>
      </c>
      <c r="H160" s="71" t="s">
        <v>7</v>
      </c>
      <c r="I160" s="71" t="s">
        <v>7</v>
      </c>
      <c r="J160" s="71" t="s">
        <v>7</v>
      </c>
      <c r="K160" s="71" t="s">
        <v>7</v>
      </c>
      <c r="L160" s="71" t="s">
        <v>7</v>
      </c>
      <c r="M160" s="71" t="s">
        <v>7</v>
      </c>
      <c r="N160" s="71" t="s">
        <v>7</v>
      </c>
      <c r="O160" s="71" t="s">
        <v>7</v>
      </c>
      <c r="P160" s="50">
        <f>45900000/325851</f>
        <v>140.8619277</v>
      </c>
      <c r="Q160" s="71" t="s">
        <v>7</v>
      </c>
      <c r="R160" s="71" t="s">
        <v>7</v>
      </c>
      <c r="S160" s="271" t="s">
        <v>7</v>
      </c>
      <c r="T160" s="71" t="s">
        <v>7</v>
      </c>
      <c r="U160" s="71" t="s">
        <v>7</v>
      </c>
      <c r="V160" s="84"/>
      <c r="W160" s="84"/>
      <c r="X160" s="84"/>
      <c r="Y160" s="84"/>
      <c r="Z160" s="84"/>
      <c r="AA160" s="84"/>
      <c r="AB160" s="84"/>
      <c r="AC160" s="84"/>
      <c r="AD160" s="84"/>
      <c r="AE160" s="84"/>
      <c r="AF160" s="84"/>
      <c r="AG160" s="88"/>
      <c r="AH160" s="24"/>
    </row>
    <row r="161" ht="12.75" customHeight="1">
      <c r="A161" s="46"/>
      <c r="B161" s="51" t="s">
        <v>147</v>
      </c>
      <c r="C161" s="71" t="s">
        <v>7</v>
      </c>
      <c r="D161" s="71" t="s">
        <v>7</v>
      </c>
      <c r="E161" s="50">
        <v>0.0</v>
      </c>
      <c r="F161" s="71" t="s">
        <v>7</v>
      </c>
      <c r="G161" s="71" t="s">
        <v>7</v>
      </c>
      <c r="H161" s="71" t="s">
        <v>7</v>
      </c>
      <c r="I161" s="71" t="s">
        <v>7</v>
      </c>
      <c r="J161" s="71" t="s">
        <v>7</v>
      </c>
      <c r="K161" s="71" t="s">
        <v>7</v>
      </c>
      <c r="L161" s="71" t="s">
        <v>7</v>
      </c>
      <c r="M161" s="71" t="s">
        <v>7</v>
      </c>
      <c r="N161" s="71" t="s">
        <v>7</v>
      </c>
      <c r="O161" s="71" t="s">
        <v>7</v>
      </c>
      <c r="P161" s="50">
        <v>0.0</v>
      </c>
      <c r="Q161" s="71" t="s">
        <v>7</v>
      </c>
      <c r="R161" s="71" t="s">
        <v>7</v>
      </c>
      <c r="S161" s="271" t="s">
        <v>7</v>
      </c>
      <c r="T161" s="71" t="s">
        <v>7</v>
      </c>
      <c r="U161" s="71" t="s">
        <v>7</v>
      </c>
      <c r="V161" s="84"/>
      <c r="W161" s="84"/>
      <c r="X161" s="84"/>
      <c r="Y161" s="84"/>
      <c r="Z161" s="84"/>
      <c r="AA161" s="84"/>
      <c r="AB161" s="84"/>
      <c r="AC161" s="84"/>
      <c r="AD161" s="84"/>
      <c r="AE161" s="84"/>
      <c r="AF161" s="84"/>
      <c r="AG161" s="88"/>
      <c r="AH161" s="24"/>
    </row>
    <row r="162" ht="12.75" customHeight="1">
      <c r="A162" s="46"/>
      <c r="B162" s="51" t="s">
        <v>148</v>
      </c>
      <c r="C162" s="71" t="s">
        <v>7</v>
      </c>
      <c r="D162" s="71" t="s">
        <v>7</v>
      </c>
      <c r="E162" s="50">
        <f>E160-E161</f>
        <v>28.00359674</v>
      </c>
      <c r="F162" s="71" t="s">
        <v>7</v>
      </c>
      <c r="G162" s="71" t="s">
        <v>7</v>
      </c>
      <c r="H162" s="71" t="s">
        <v>7</v>
      </c>
      <c r="I162" s="71" t="s">
        <v>7</v>
      </c>
      <c r="J162" s="71" t="s">
        <v>7</v>
      </c>
      <c r="K162" s="71" t="s">
        <v>7</v>
      </c>
      <c r="L162" s="71" t="s">
        <v>7</v>
      </c>
      <c r="M162" s="71" t="s">
        <v>7</v>
      </c>
      <c r="N162" s="71" t="s">
        <v>7</v>
      </c>
      <c r="O162" s="71" t="s">
        <v>7</v>
      </c>
      <c r="P162" s="50">
        <f>P160-P161</f>
        <v>140.8619277</v>
      </c>
      <c r="Q162" s="71" t="s">
        <v>7</v>
      </c>
      <c r="R162" s="71" t="s">
        <v>7</v>
      </c>
      <c r="S162" s="271" t="s">
        <v>7</v>
      </c>
      <c r="T162" s="71" t="s">
        <v>7</v>
      </c>
      <c r="U162" s="71" t="s">
        <v>7</v>
      </c>
      <c r="V162" s="84"/>
      <c r="W162" s="84"/>
      <c r="X162" s="84"/>
      <c r="Y162" s="84"/>
      <c r="Z162" s="84"/>
      <c r="AA162" s="84"/>
      <c r="AB162" s="84"/>
      <c r="AC162" s="84"/>
      <c r="AD162" s="84"/>
      <c r="AE162" s="84"/>
      <c r="AF162" s="84"/>
      <c r="AG162" s="88"/>
      <c r="AH162" s="24"/>
    </row>
    <row r="163" ht="12.75" customHeight="1">
      <c r="A163" s="46" t="s">
        <v>158</v>
      </c>
      <c r="B163" s="51" t="s">
        <v>51</v>
      </c>
      <c r="C163" s="71" t="s">
        <v>7</v>
      </c>
      <c r="D163" s="71" t="s">
        <v>7</v>
      </c>
      <c r="E163" s="50">
        <f>295800*365/325851</f>
        <v>331.3385566</v>
      </c>
      <c r="F163" s="71" t="s">
        <v>7</v>
      </c>
      <c r="G163" s="71" t="s">
        <v>7</v>
      </c>
      <c r="H163" s="71" t="s">
        <v>7</v>
      </c>
      <c r="I163" s="71" t="s">
        <v>7</v>
      </c>
      <c r="J163" s="71" t="s">
        <v>7</v>
      </c>
      <c r="K163" s="71" t="s">
        <v>7</v>
      </c>
      <c r="L163" s="71" t="s">
        <v>7</v>
      </c>
      <c r="M163" s="71" t="s">
        <v>7</v>
      </c>
      <c r="N163" s="71" t="s">
        <v>7</v>
      </c>
      <c r="O163" s="71" t="s">
        <v>7</v>
      </c>
      <c r="P163" s="50">
        <f>83420000/325851</f>
        <v>256.0065797</v>
      </c>
      <c r="Q163" s="71" t="s">
        <v>7</v>
      </c>
      <c r="R163" s="71" t="s">
        <v>7</v>
      </c>
      <c r="S163" s="271" t="s">
        <v>7</v>
      </c>
      <c r="T163" s="71" t="s">
        <v>7</v>
      </c>
      <c r="U163" s="71" t="s">
        <v>7</v>
      </c>
      <c r="V163" s="84"/>
      <c r="W163" s="84"/>
      <c r="X163" s="84"/>
      <c r="Y163" s="84"/>
      <c r="Z163" s="84"/>
      <c r="AA163" s="84"/>
      <c r="AB163" s="84"/>
      <c r="AC163" s="84"/>
      <c r="AD163" s="84"/>
      <c r="AE163" s="84"/>
      <c r="AF163" s="84"/>
      <c r="AG163" s="88"/>
      <c r="AH163" s="24"/>
    </row>
    <row r="164" ht="12.75" customHeight="1">
      <c r="A164" s="46"/>
      <c r="B164" s="51" t="s">
        <v>147</v>
      </c>
      <c r="C164" s="71" t="s">
        <v>7</v>
      </c>
      <c r="D164" s="71" t="s">
        <v>7</v>
      </c>
      <c r="E164" s="50">
        <v>0.0</v>
      </c>
      <c r="F164" s="71" t="s">
        <v>7</v>
      </c>
      <c r="G164" s="71" t="s">
        <v>7</v>
      </c>
      <c r="H164" s="71" t="s">
        <v>7</v>
      </c>
      <c r="I164" s="71" t="s">
        <v>7</v>
      </c>
      <c r="J164" s="71" t="s">
        <v>7</v>
      </c>
      <c r="K164" s="71" t="s">
        <v>7</v>
      </c>
      <c r="L164" s="71" t="s">
        <v>7</v>
      </c>
      <c r="M164" s="71" t="s">
        <v>7</v>
      </c>
      <c r="N164" s="71" t="s">
        <v>7</v>
      </c>
      <c r="O164" s="71" t="s">
        <v>7</v>
      </c>
      <c r="P164" s="50">
        <v>0.0</v>
      </c>
      <c r="Q164" s="71" t="s">
        <v>7</v>
      </c>
      <c r="R164" s="71" t="s">
        <v>7</v>
      </c>
      <c r="S164" s="271" t="s">
        <v>7</v>
      </c>
      <c r="T164" s="71" t="s">
        <v>7</v>
      </c>
      <c r="U164" s="71" t="s">
        <v>7</v>
      </c>
      <c r="V164" s="84"/>
      <c r="W164" s="84"/>
      <c r="X164" s="84"/>
      <c r="Y164" s="84"/>
      <c r="Z164" s="84"/>
      <c r="AA164" s="84"/>
      <c r="AB164" s="84"/>
      <c r="AC164" s="84"/>
      <c r="AD164" s="84"/>
      <c r="AE164" s="84"/>
      <c r="AF164" s="84"/>
      <c r="AG164" s="88"/>
      <c r="AH164" s="24"/>
    </row>
    <row r="165" ht="12.75" customHeight="1">
      <c r="A165" s="46"/>
      <c r="B165" s="51" t="s">
        <v>148</v>
      </c>
      <c r="C165" s="71" t="s">
        <v>7</v>
      </c>
      <c r="D165" s="71" t="s">
        <v>7</v>
      </c>
      <c r="E165" s="50">
        <f>E163-E164</f>
        <v>331.3385566</v>
      </c>
      <c r="F165" s="71" t="s">
        <v>7</v>
      </c>
      <c r="G165" s="71" t="s">
        <v>7</v>
      </c>
      <c r="H165" s="71" t="s">
        <v>7</v>
      </c>
      <c r="I165" s="71" t="s">
        <v>7</v>
      </c>
      <c r="J165" s="71" t="s">
        <v>7</v>
      </c>
      <c r="K165" s="71" t="s">
        <v>7</v>
      </c>
      <c r="L165" s="71" t="s">
        <v>7</v>
      </c>
      <c r="M165" s="71" t="s">
        <v>7</v>
      </c>
      <c r="N165" s="71" t="s">
        <v>7</v>
      </c>
      <c r="O165" s="71" t="s">
        <v>7</v>
      </c>
      <c r="P165" s="50">
        <f>P163-P164</f>
        <v>256.0065797</v>
      </c>
      <c r="Q165" s="71" t="s">
        <v>7</v>
      </c>
      <c r="R165" s="71" t="s">
        <v>7</v>
      </c>
      <c r="S165" s="271" t="s">
        <v>7</v>
      </c>
      <c r="T165" s="71" t="s">
        <v>7</v>
      </c>
      <c r="U165" s="71" t="s">
        <v>7</v>
      </c>
      <c r="V165" s="84"/>
      <c r="W165" s="84"/>
      <c r="X165" s="84"/>
      <c r="Y165" s="84"/>
      <c r="Z165" s="84"/>
      <c r="AA165" s="84"/>
      <c r="AB165" s="84"/>
      <c r="AC165" s="84"/>
      <c r="AD165" s="84"/>
      <c r="AE165" s="84"/>
      <c r="AF165" s="84"/>
      <c r="AG165" s="88"/>
      <c r="AH165" s="24"/>
    </row>
    <row r="166" ht="12.75" customHeight="1">
      <c r="A166" s="46" t="s">
        <v>159</v>
      </c>
      <c r="B166" s="51" t="s">
        <v>51</v>
      </c>
      <c r="C166" s="71" t="s">
        <v>7</v>
      </c>
      <c r="D166" s="71" t="s">
        <v>7</v>
      </c>
      <c r="E166" s="50">
        <f>91600*365/325851</f>
        <v>102.6051784</v>
      </c>
      <c r="F166" s="71" t="s">
        <v>7</v>
      </c>
      <c r="G166" s="71" t="s">
        <v>7</v>
      </c>
      <c r="H166" s="71" t="s">
        <v>7</v>
      </c>
      <c r="I166" s="71" t="s">
        <v>7</v>
      </c>
      <c r="J166" s="71" t="s">
        <v>7</v>
      </c>
      <c r="K166" s="71" t="s">
        <v>7</v>
      </c>
      <c r="L166" s="71" t="s">
        <v>7</v>
      </c>
      <c r="M166" s="71" t="s">
        <v>7</v>
      </c>
      <c r="N166" s="71" t="s">
        <v>7</v>
      </c>
      <c r="O166" s="71" t="s">
        <v>7</v>
      </c>
      <c r="P166" s="50">
        <f>43000000/325851</f>
        <v>131.9621545</v>
      </c>
      <c r="Q166" s="71" t="s">
        <v>7</v>
      </c>
      <c r="R166" s="71" t="s">
        <v>7</v>
      </c>
      <c r="S166" s="271" t="s">
        <v>7</v>
      </c>
      <c r="T166" s="71" t="s">
        <v>7</v>
      </c>
      <c r="U166" s="71" t="s">
        <v>7</v>
      </c>
      <c r="V166" s="24"/>
      <c r="W166" s="24"/>
      <c r="X166" s="24"/>
      <c r="Y166" s="24"/>
      <c r="Z166" s="24"/>
      <c r="AA166" s="84"/>
      <c r="AB166" s="84"/>
      <c r="AC166" s="84"/>
      <c r="AD166" s="84"/>
      <c r="AE166" s="84"/>
      <c r="AF166" s="84"/>
      <c r="AG166" s="88"/>
      <c r="AH166" s="24"/>
    </row>
    <row r="167" ht="12.75" customHeight="1">
      <c r="A167" s="46"/>
      <c r="B167" s="51" t="s">
        <v>147</v>
      </c>
      <c r="C167" s="71" t="s">
        <v>7</v>
      </c>
      <c r="D167" s="71" t="s">
        <v>7</v>
      </c>
      <c r="E167" s="50">
        <v>0.0</v>
      </c>
      <c r="F167" s="71" t="s">
        <v>7</v>
      </c>
      <c r="G167" s="71" t="s">
        <v>7</v>
      </c>
      <c r="H167" s="71" t="s">
        <v>7</v>
      </c>
      <c r="I167" s="71" t="s">
        <v>7</v>
      </c>
      <c r="J167" s="71" t="s">
        <v>7</v>
      </c>
      <c r="K167" s="71" t="s">
        <v>7</v>
      </c>
      <c r="L167" s="71" t="s">
        <v>7</v>
      </c>
      <c r="M167" s="71" t="s">
        <v>7</v>
      </c>
      <c r="N167" s="71" t="s">
        <v>7</v>
      </c>
      <c r="O167" s="71" t="s">
        <v>7</v>
      </c>
      <c r="P167" s="50">
        <v>0.0</v>
      </c>
      <c r="Q167" s="71" t="s">
        <v>7</v>
      </c>
      <c r="R167" s="71" t="s">
        <v>7</v>
      </c>
      <c r="S167" s="271" t="s">
        <v>7</v>
      </c>
      <c r="T167" s="71" t="s">
        <v>7</v>
      </c>
      <c r="U167" s="71" t="s">
        <v>7</v>
      </c>
      <c r="V167" s="24"/>
      <c r="W167" s="24"/>
      <c r="X167" s="24"/>
      <c r="Y167" s="24"/>
      <c r="Z167" s="24"/>
      <c r="AA167" s="84"/>
      <c r="AB167" s="84"/>
      <c r="AC167" s="84"/>
      <c r="AD167" s="84"/>
      <c r="AE167" s="84"/>
      <c r="AF167" s="84"/>
      <c r="AG167" s="88"/>
      <c r="AH167" s="24"/>
    </row>
    <row r="168" ht="12.75" customHeight="1">
      <c r="A168" s="46"/>
      <c r="B168" s="51" t="s">
        <v>148</v>
      </c>
      <c r="C168" s="71" t="s">
        <v>7</v>
      </c>
      <c r="D168" s="71" t="s">
        <v>7</v>
      </c>
      <c r="E168" s="50">
        <f>E166-E167</f>
        <v>102.6051784</v>
      </c>
      <c r="F168" s="71" t="s">
        <v>7</v>
      </c>
      <c r="G168" s="71" t="s">
        <v>7</v>
      </c>
      <c r="H168" s="71" t="s">
        <v>7</v>
      </c>
      <c r="I168" s="71" t="s">
        <v>7</v>
      </c>
      <c r="J168" s="71" t="s">
        <v>7</v>
      </c>
      <c r="K168" s="71" t="s">
        <v>7</v>
      </c>
      <c r="L168" s="71" t="s">
        <v>7</v>
      </c>
      <c r="M168" s="71" t="s">
        <v>7</v>
      </c>
      <c r="N168" s="71" t="s">
        <v>7</v>
      </c>
      <c r="O168" s="71" t="s">
        <v>7</v>
      </c>
      <c r="P168" s="50">
        <f>P166-P167</f>
        <v>131.9621545</v>
      </c>
      <c r="Q168" s="71" t="s">
        <v>7</v>
      </c>
      <c r="R168" s="71" t="s">
        <v>7</v>
      </c>
      <c r="S168" s="271" t="s">
        <v>7</v>
      </c>
      <c r="T168" s="71" t="s">
        <v>7</v>
      </c>
      <c r="U168" s="71" t="s">
        <v>7</v>
      </c>
      <c r="V168" s="24"/>
      <c r="W168" s="24"/>
      <c r="X168" s="24"/>
      <c r="Y168" s="24"/>
      <c r="Z168" s="24"/>
      <c r="AA168" s="84"/>
      <c r="AB168" s="84"/>
      <c r="AC168" s="84"/>
      <c r="AD168" s="84"/>
      <c r="AE168" s="84"/>
      <c r="AF168" s="84"/>
      <c r="AG168" s="88"/>
      <c r="AH168" s="24"/>
    </row>
    <row r="169" ht="12.75" customHeight="1">
      <c r="A169" s="46" t="s">
        <v>160</v>
      </c>
      <c r="B169" s="51" t="s">
        <v>51</v>
      </c>
      <c r="C169" s="71" t="s">
        <v>7</v>
      </c>
      <c r="D169" s="71" t="s">
        <v>7</v>
      </c>
      <c r="E169" s="50">
        <f>288250*365/325851</f>
        <v>322.8814704</v>
      </c>
      <c r="F169" s="71" t="s">
        <v>7</v>
      </c>
      <c r="G169" s="71" t="s">
        <v>7</v>
      </c>
      <c r="H169" s="71" t="s">
        <v>7</v>
      </c>
      <c r="I169" s="71" t="s">
        <v>7</v>
      </c>
      <c r="J169" s="71" t="s">
        <v>7</v>
      </c>
      <c r="K169" s="71" t="s">
        <v>7</v>
      </c>
      <c r="L169" s="71" t="s">
        <v>7</v>
      </c>
      <c r="M169" s="71" t="s">
        <v>7</v>
      </c>
      <c r="N169" s="71" t="s">
        <v>7</v>
      </c>
      <c r="O169" s="71" t="s">
        <v>7</v>
      </c>
      <c r="P169" s="50">
        <f>98830000/325851</f>
        <v>303.2981332</v>
      </c>
      <c r="Q169" s="71" t="s">
        <v>7</v>
      </c>
      <c r="R169" s="71" t="s">
        <v>7</v>
      </c>
      <c r="S169" s="271" t="s">
        <v>7</v>
      </c>
      <c r="T169" s="71" t="s">
        <v>7</v>
      </c>
      <c r="U169" s="71" t="s">
        <v>7</v>
      </c>
      <c r="V169" s="84"/>
      <c r="W169" s="84"/>
      <c r="X169" s="84"/>
      <c r="Y169" s="84"/>
      <c r="Z169" s="84"/>
      <c r="AA169" s="84"/>
      <c r="AB169" s="84"/>
      <c r="AC169" s="84"/>
      <c r="AD169" s="84"/>
      <c r="AE169" s="84"/>
      <c r="AF169" s="84"/>
      <c r="AG169" s="88"/>
      <c r="AH169" s="24"/>
    </row>
    <row r="170" ht="12.75" customHeight="1">
      <c r="A170" s="46"/>
      <c r="B170" s="51" t="s">
        <v>147</v>
      </c>
      <c r="C170" s="71" t="s">
        <v>7</v>
      </c>
      <c r="D170" s="71" t="s">
        <v>7</v>
      </c>
      <c r="E170" s="50">
        <v>0.0</v>
      </c>
      <c r="F170" s="71" t="s">
        <v>7</v>
      </c>
      <c r="G170" s="71" t="s">
        <v>7</v>
      </c>
      <c r="H170" s="71" t="s">
        <v>7</v>
      </c>
      <c r="I170" s="71" t="s">
        <v>7</v>
      </c>
      <c r="J170" s="71" t="s">
        <v>7</v>
      </c>
      <c r="K170" s="71" t="s">
        <v>7</v>
      </c>
      <c r="L170" s="71" t="s">
        <v>7</v>
      </c>
      <c r="M170" s="71" t="s">
        <v>7</v>
      </c>
      <c r="N170" s="71" t="s">
        <v>7</v>
      </c>
      <c r="O170" s="71" t="s">
        <v>7</v>
      </c>
      <c r="P170" s="50">
        <v>0.0</v>
      </c>
      <c r="Q170" s="71" t="s">
        <v>7</v>
      </c>
      <c r="R170" s="71" t="s">
        <v>7</v>
      </c>
      <c r="S170" s="271" t="s">
        <v>7</v>
      </c>
      <c r="T170" s="71" t="s">
        <v>7</v>
      </c>
      <c r="U170" s="71" t="s">
        <v>7</v>
      </c>
      <c r="V170" s="84"/>
      <c r="W170" s="84"/>
      <c r="X170" s="84"/>
      <c r="Y170" s="84"/>
      <c r="Z170" s="84"/>
      <c r="AA170" s="84"/>
      <c r="AB170" s="84"/>
      <c r="AC170" s="84"/>
      <c r="AD170" s="84"/>
      <c r="AE170" s="84"/>
      <c r="AF170" s="84"/>
      <c r="AG170" s="88"/>
      <c r="AH170" s="24"/>
    </row>
    <row r="171" ht="12.75" customHeight="1">
      <c r="A171" s="46"/>
      <c r="B171" s="51" t="s">
        <v>148</v>
      </c>
      <c r="C171" s="71" t="s">
        <v>7</v>
      </c>
      <c r="D171" s="71" t="s">
        <v>7</v>
      </c>
      <c r="E171" s="50">
        <f>E169-E170</f>
        <v>322.8814704</v>
      </c>
      <c r="F171" s="71" t="s">
        <v>7</v>
      </c>
      <c r="G171" s="71" t="s">
        <v>7</v>
      </c>
      <c r="H171" s="71" t="s">
        <v>7</v>
      </c>
      <c r="I171" s="71" t="s">
        <v>7</v>
      </c>
      <c r="J171" s="71" t="s">
        <v>7</v>
      </c>
      <c r="K171" s="71" t="s">
        <v>7</v>
      </c>
      <c r="L171" s="71" t="s">
        <v>7</v>
      </c>
      <c r="M171" s="71" t="s">
        <v>7</v>
      </c>
      <c r="N171" s="71" t="s">
        <v>7</v>
      </c>
      <c r="O171" s="71" t="s">
        <v>7</v>
      </c>
      <c r="P171" s="50">
        <f>P169-P170</f>
        <v>303.2981332</v>
      </c>
      <c r="Q171" s="71" t="s">
        <v>7</v>
      </c>
      <c r="R171" s="71" t="s">
        <v>7</v>
      </c>
      <c r="S171" s="271" t="s">
        <v>7</v>
      </c>
      <c r="T171" s="71" t="s">
        <v>7</v>
      </c>
      <c r="U171" s="71" t="s">
        <v>7</v>
      </c>
      <c r="V171" s="84"/>
      <c r="W171" s="84"/>
      <c r="X171" s="84"/>
      <c r="Y171" s="84"/>
      <c r="Z171" s="84"/>
      <c r="AA171" s="84"/>
      <c r="AB171" s="84"/>
      <c r="AC171" s="84"/>
      <c r="AD171" s="84"/>
      <c r="AE171" s="84"/>
      <c r="AF171" s="84"/>
      <c r="AG171" s="88"/>
      <c r="AH171" s="24"/>
    </row>
    <row r="172" ht="12.75" customHeight="1">
      <c r="A172" s="46" t="s">
        <v>161</v>
      </c>
      <c r="B172" s="51" t="s">
        <v>51</v>
      </c>
      <c r="C172" s="71" t="s">
        <v>7</v>
      </c>
      <c r="D172" s="71" t="s">
        <v>7</v>
      </c>
      <c r="E172" s="50">
        <f>70349*365/325851</f>
        <v>78.80100107</v>
      </c>
      <c r="F172" s="71" t="s">
        <v>7</v>
      </c>
      <c r="G172" s="71" t="s">
        <v>7</v>
      </c>
      <c r="H172" s="71" t="s">
        <v>7</v>
      </c>
      <c r="I172" s="71" t="s">
        <v>7</v>
      </c>
      <c r="J172" s="71" t="s">
        <v>7</v>
      </c>
      <c r="K172" s="71" t="s">
        <v>7</v>
      </c>
      <c r="L172" s="71" t="s">
        <v>7</v>
      </c>
      <c r="M172" s="71" t="s">
        <v>7</v>
      </c>
      <c r="N172" s="71" t="s">
        <v>7</v>
      </c>
      <c r="O172" s="71" t="s">
        <v>7</v>
      </c>
      <c r="P172" s="50">
        <v>0.0</v>
      </c>
      <c r="Q172" s="71" t="s">
        <v>7</v>
      </c>
      <c r="R172" s="71" t="s">
        <v>7</v>
      </c>
      <c r="S172" s="271" t="s">
        <v>7</v>
      </c>
      <c r="T172" s="71" t="s">
        <v>7</v>
      </c>
      <c r="U172" s="71" t="s">
        <v>7</v>
      </c>
      <c r="V172" s="84"/>
      <c r="W172" s="84"/>
      <c r="X172" s="84"/>
      <c r="Y172" s="84"/>
      <c r="Z172" s="84"/>
      <c r="AA172" s="84"/>
      <c r="AB172" s="84"/>
      <c r="AC172" s="84"/>
      <c r="AD172" s="84"/>
      <c r="AE172" s="84"/>
      <c r="AF172" s="84"/>
      <c r="AG172" s="88"/>
      <c r="AH172" s="24"/>
    </row>
    <row r="173" ht="12.75" customHeight="1">
      <c r="A173" s="46"/>
      <c r="B173" s="51" t="s">
        <v>147</v>
      </c>
      <c r="C173" s="71" t="s">
        <v>7</v>
      </c>
      <c r="D173" s="71" t="s">
        <v>7</v>
      </c>
      <c r="E173" s="50">
        <v>0.0</v>
      </c>
      <c r="F173" s="71" t="s">
        <v>7</v>
      </c>
      <c r="G173" s="71" t="s">
        <v>7</v>
      </c>
      <c r="H173" s="71" t="s">
        <v>7</v>
      </c>
      <c r="I173" s="71" t="s">
        <v>7</v>
      </c>
      <c r="J173" s="71" t="s">
        <v>7</v>
      </c>
      <c r="K173" s="71" t="s">
        <v>7</v>
      </c>
      <c r="L173" s="71" t="s">
        <v>7</v>
      </c>
      <c r="M173" s="71" t="s">
        <v>7</v>
      </c>
      <c r="N173" s="71" t="s">
        <v>7</v>
      </c>
      <c r="O173" s="71" t="s">
        <v>7</v>
      </c>
      <c r="P173" s="50">
        <v>0.0</v>
      </c>
      <c r="Q173" s="71" t="s">
        <v>7</v>
      </c>
      <c r="R173" s="71" t="s">
        <v>7</v>
      </c>
      <c r="S173" s="271" t="s">
        <v>7</v>
      </c>
      <c r="T173" s="71" t="s">
        <v>7</v>
      </c>
      <c r="U173" s="71" t="s">
        <v>7</v>
      </c>
      <c r="V173" s="84"/>
      <c r="W173" s="84"/>
      <c r="X173" s="84"/>
      <c r="Y173" s="84"/>
      <c r="Z173" s="84"/>
      <c r="AA173" s="84"/>
      <c r="AB173" s="84"/>
      <c r="AC173" s="84"/>
      <c r="AD173" s="84"/>
      <c r="AE173" s="84"/>
      <c r="AF173" s="84"/>
      <c r="AG173" s="88"/>
      <c r="AH173" s="24"/>
    </row>
    <row r="174" ht="12.75" customHeight="1">
      <c r="A174" s="46"/>
      <c r="B174" s="51" t="s">
        <v>148</v>
      </c>
      <c r="C174" s="71" t="s">
        <v>7</v>
      </c>
      <c r="D174" s="71" t="s">
        <v>7</v>
      </c>
      <c r="E174" s="50">
        <f>E172-E173</f>
        <v>78.80100107</v>
      </c>
      <c r="F174" s="71" t="s">
        <v>7</v>
      </c>
      <c r="G174" s="71" t="s">
        <v>7</v>
      </c>
      <c r="H174" s="71" t="s">
        <v>7</v>
      </c>
      <c r="I174" s="71" t="s">
        <v>7</v>
      </c>
      <c r="J174" s="71" t="s">
        <v>7</v>
      </c>
      <c r="K174" s="71" t="s">
        <v>7</v>
      </c>
      <c r="L174" s="71" t="s">
        <v>7</v>
      </c>
      <c r="M174" s="71" t="s">
        <v>7</v>
      </c>
      <c r="N174" s="71" t="s">
        <v>7</v>
      </c>
      <c r="O174" s="71" t="s">
        <v>7</v>
      </c>
      <c r="P174" s="50">
        <f>P172-P173</f>
        <v>0</v>
      </c>
      <c r="Q174" s="71" t="s">
        <v>7</v>
      </c>
      <c r="R174" s="71" t="s">
        <v>7</v>
      </c>
      <c r="S174" s="271" t="s">
        <v>7</v>
      </c>
      <c r="T174" s="71" t="s">
        <v>7</v>
      </c>
      <c r="U174" s="71" t="s">
        <v>7</v>
      </c>
      <c r="V174" s="84"/>
      <c r="W174" s="84"/>
      <c r="X174" s="84"/>
      <c r="Y174" s="84"/>
      <c r="Z174" s="84"/>
      <c r="AA174" s="84"/>
      <c r="AB174" s="84"/>
      <c r="AC174" s="84"/>
      <c r="AD174" s="84"/>
      <c r="AE174" s="84"/>
      <c r="AF174" s="84"/>
      <c r="AG174" s="88"/>
      <c r="AH174" s="24"/>
    </row>
    <row r="175" ht="12.75" customHeight="1">
      <c r="A175" s="46" t="s">
        <v>162</v>
      </c>
      <c r="B175" s="51" t="s">
        <v>51</v>
      </c>
      <c r="C175" s="71" t="s">
        <v>7</v>
      </c>
      <c r="D175" s="71" t="s">
        <v>7</v>
      </c>
      <c r="E175" s="50">
        <f>29254*365/325851</f>
        <v>32.76868876</v>
      </c>
      <c r="F175" s="71" t="s">
        <v>7</v>
      </c>
      <c r="G175" s="71" t="s">
        <v>7</v>
      </c>
      <c r="H175" s="71" t="s">
        <v>7</v>
      </c>
      <c r="I175" s="71" t="s">
        <v>7</v>
      </c>
      <c r="J175" s="71" t="s">
        <v>7</v>
      </c>
      <c r="K175" s="71" t="s">
        <v>7</v>
      </c>
      <c r="L175" s="71" t="s">
        <v>7</v>
      </c>
      <c r="M175" s="71" t="s">
        <v>7</v>
      </c>
      <c r="N175" s="71" t="s">
        <v>7</v>
      </c>
      <c r="O175" s="71" t="s">
        <v>7</v>
      </c>
      <c r="P175" s="50">
        <f>8740000/325851</f>
        <v>26.82207512</v>
      </c>
      <c r="Q175" s="71" t="s">
        <v>7</v>
      </c>
      <c r="R175" s="71" t="s">
        <v>7</v>
      </c>
      <c r="S175" s="271" t="s">
        <v>7</v>
      </c>
      <c r="T175" s="71" t="s">
        <v>7</v>
      </c>
      <c r="U175" s="71" t="s">
        <v>7</v>
      </c>
      <c r="V175" s="84"/>
      <c r="W175" s="84"/>
      <c r="X175" s="84"/>
      <c r="Y175" s="84"/>
      <c r="Z175" s="84"/>
      <c r="AA175" s="84"/>
      <c r="AB175" s="84"/>
      <c r="AC175" s="84"/>
      <c r="AD175" s="84"/>
      <c r="AE175" s="84"/>
      <c r="AF175" s="84"/>
      <c r="AG175" s="88"/>
      <c r="AH175" s="24"/>
    </row>
    <row r="176" ht="12.75" customHeight="1">
      <c r="A176" s="46"/>
      <c r="B176" s="51" t="s">
        <v>147</v>
      </c>
      <c r="C176" s="71" t="s">
        <v>7</v>
      </c>
      <c r="D176" s="71" t="s">
        <v>7</v>
      </c>
      <c r="E176" s="50">
        <v>0.0</v>
      </c>
      <c r="F176" s="71" t="s">
        <v>7</v>
      </c>
      <c r="G176" s="71" t="s">
        <v>7</v>
      </c>
      <c r="H176" s="71" t="s">
        <v>7</v>
      </c>
      <c r="I176" s="71" t="s">
        <v>7</v>
      </c>
      <c r="J176" s="71" t="s">
        <v>7</v>
      </c>
      <c r="K176" s="71" t="s">
        <v>7</v>
      </c>
      <c r="L176" s="71" t="s">
        <v>7</v>
      </c>
      <c r="M176" s="71" t="s">
        <v>7</v>
      </c>
      <c r="N176" s="71" t="s">
        <v>7</v>
      </c>
      <c r="O176" s="71" t="s">
        <v>7</v>
      </c>
      <c r="P176" s="50">
        <f>660000/325851</f>
        <v>2.025465627</v>
      </c>
      <c r="Q176" s="71" t="s">
        <v>7</v>
      </c>
      <c r="R176" s="71" t="s">
        <v>7</v>
      </c>
      <c r="S176" s="271" t="s">
        <v>7</v>
      </c>
      <c r="T176" s="71" t="s">
        <v>7</v>
      </c>
      <c r="U176" s="71" t="s">
        <v>7</v>
      </c>
      <c r="V176" s="84"/>
      <c r="W176" s="84"/>
      <c r="X176" s="84"/>
      <c r="Y176" s="84"/>
      <c r="Z176" s="84"/>
      <c r="AA176" s="84"/>
      <c r="AB176" s="84"/>
      <c r="AC176" s="84"/>
      <c r="AD176" s="84"/>
      <c r="AE176" s="84"/>
      <c r="AF176" s="84"/>
      <c r="AG176" s="88"/>
      <c r="AH176" s="24"/>
    </row>
    <row r="177" ht="12.75" customHeight="1">
      <c r="A177" s="46"/>
      <c r="B177" s="51" t="s">
        <v>148</v>
      </c>
      <c r="C177" s="71" t="s">
        <v>7</v>
      </c>
      <c r="D177" s="71" t="s">
        <v>7</v>
      </c>
      <c r="E177" s="50">
        <f>E175-E176</f>
        <v>32.76868876</v>
      </c>
      <c r="F177" s="71" t="s">
        <v>7</v>
      </c>
      <c r="G177" s="71" t="s">
        <v>7</v>
      </c>
      <c r="H177" s="71" t="s">
        <v>7</v>
      </c>
      <c r="I177" s="71" t="s">
        <v>7</v>
      </c>
      <c r="J177" s="71" t="s">
        <v>7</v>
      </c>
      <c r="K177" s="71" t="s">
        <v>7</v>
      </c>
      <c r="L177" s="71" t="s">
        <v>7</v>
      </c>
      <c r="M177" s="71" t="s">
        <v>7</v>
      </c>
      <c r="N177" s="71" t="s">
        <v>7</v>
      </c>
      <c r="O177" s="71" t="s">
        <v>7</v>
      </c>
      <c r="P177" s="50">
        <f>P175-P176</f>
        <v>24.79660949</v>
      </c>
      <c r="Q177" s="71" t="s">
        <v>7</v>
      </c>
      <c r="R177" s="71" t="s">
        <v>7</v>
      </c>
      <c r="S177" s="271" t="s">
        <v>7</v>
      </c>
      <c r="T177" s="71" t="s">
        <v>7</v>
      </c>
      <c r="U177" s="71" t="s">
        <v>7</v>
      </c>
      <c r="V177" s="84"/>
      <c r="W177" s="84"/>
      <c r="X177" s="84"/>
      <c r="Y177" s="84"/>
      <c r="Z177" s="84"/>
      <c r="AA177" s="84"/>
      <c r="AB177" s="84"/>
      <c r="AC177" s="84"/>
      <c r="AD177" s="84"/>
      <c r="AE177" s="84"/>
      <c r="AF177" s="84"/>
      <c r="AG177" s="88"/>
      <c r="AH177" s="24"/>
    </row>
    <row r="178" ht="12.75" customHeight="1">
      <c r="A178" s="46" t="s">
        <v>163</v>
      </c>
      <c r="B178" s="51" t="s">
        <v>51</v>
      </c>
      <c r="C178" s="71" t="s">
        <v>7</v>
      </c>
      <c r="D178" s="71" t="s">
        <v>7</v>
      </c>
      <c r="E178" s="50">
        <f>2360000*365/325851</f>
        <v>2643.539532</v>
      </c>
      <c r="F178" s="71" t="s">
        <v>7</v>
      </c>
      <c r="G178" s="71" t="s">
        <v>7</v>
      </c>
      <c r="H178" s="71" t="s">
        <v>7</v>
      </c>
      <c r="I178" s="71" t="s">
        <v>7</v>
      </c>
      <c r="J178" s="71" t="s">
        <v>7</v>
      </c>
      <c r="K178" s="71" t="s">
        <v>7</v>
      </c>
      <c r="L178" s="71" t="s">
        <v>7</v>
      </c>
      <c r="M178" s="71" t="s">
        <v>7</v>
      </c>
      <c r="N178" s="71" t="s">
        <v>7</v>
      </c>
      <c r="O178" s="71" t="s">
        <v>7</v>
      </c>
      <c r="P178" s="50">
        <f>583020000/325851</f>
        <v>1789.222682</v>
      </c>
      <c r="Q178" s="71" t="s">
        <v>7</v>
      </c>
      <c r="R178" s="71" t="s">
        <v>7</v>
      </c>
      <c r="S178" s="271" t="s">
        <v>7</v>
      </c>
      <c r="T178" s="71" t="s">
        <v>7</v>
      </c>
      <c r="U178" s="71" t="s">
        <v>7</v>
      </c>
      <c r="V178" s="84"/>
      <c r="W178" s="84"/>
      <c r="X178" s="84"/>
      <c r="Y178" s="84"/>
      <c r="Z178" s="84"/>
      <c r="AA178" s="84"/>
      <c r="AB178" s="84"/>
      <c r="AC178" s="84"/>
      <c r="AD178" s="84"/>
      <c r="AE178" s="84"/>
      <c r="AF178" s="84"/>
      <c r="AG178" s="88"/>
      <c r="AH178" s="24"/>
    </row>
    <row r="179" ht="12.75" customHeight="1">
      <c r="A179" s="46"/>
      <c r="B179" s="51" t="s">
        <v>147</v>
      </c>
      <c r="C179" s="71" t="s">
        <v>7</v>
      </c>
      <c r="D179" s="71" t="s">
        <v>7</v>
      </c>
      <c r="E179" s="50"/>
      <c r="F179" s="71" t="s">
        <v>7</v>
      </c>
      <c r="G179" s="71" t="s">
        <v>7</v>
      </c>
      <c r="H179" s="71" t="s">
        <v>7</v>
      </c>
      <c r="I179" s="71" t="s">
        <v>7</v>
      </c>
      <c r="J179" s="71" t="s">
        <v>7</v>
      </c>
      <c r="K179" s="71" t="s">
        <v>7</v>
      </c>
      <c r="L179" s="71" t="s">
        <v>7</v>
      </c>
      <c r="M179" s="71" t="s">
        <v>7</v>
      </c>
      <c r="N179" s="71" t="s">
        <v>7</v>
      </c>
      <c r="O179" s="71" t="s">
        <v>7</v>
      </c>
      <c r="P179" s="50">
        <f>231190000/325851</f>
        <v>709.496058</v>
      </c>
      <c r="Q179" s="71" t="s">
        <v>7</v>
      </c>
      <c r="R179" s="71" t="s">
        <v>7</v>
      </c>
      <c r="S179" s="271" t="s">
        <v>7</v>
      </c>
      <c r="T179" s="71" t="s">
        <v>7</v>
      </c>
      <c r="U179" s="71" t="s">
        <v>7</v>
      </c>
      <c r="V179" s="84"/>
      <c r="W179" s="84"/>
      <c r="X179" s="84"/>
      <c r="Y179" s="84"/>
      <c r="Z179" s="84"/>
      <c r="AA179" s="84"/>
      <c r="AB179" s="84"/>
      <c r="AC179" s="84"/>
      <c r="AD179" s="84"/>
      <c r="AE179" s="84"/>
      <c r="AF179" s="84"/>
      <c r="AG179" s="88"/>
      <c r="AH179" s="24"/>
    </row>
    <row r="180" ht="12.75" customHeight="1">
      <c r="A180" s="46"/>
      <c r="B180" s="51" t="s">
        <v>148</v>
      </c>
      <c r="C180" s="71" t="s">
        <v>7</v>
      </c>
      <c r="D180" s="71" t="s">
        <v>7</v>
      </c>
      <c r="E180" s="50">
        <f>E178-E179</f>
        <v>2643.539532</v>
      </c>
      <c r="F180" s="71" t="s">
        <v>7</v>
      </c>
      <c r="G180" s="71" t="s">
        <v>7</v>
      </c>
      <c r="H180" s="71" t="s">
        <v>7</v>
      </c>
      <c r="I180" s="71" t="s">
        <v>7</v>
      </c>
      <c r="J180" s="71" t="s">
        <v>7</v>
      </c>
      <c r="K180" s="71" t="s">
        <v>7</v>
      </c>
      <c r="L180" s="71" t="s">
        <v>7</v>
      </c>
      <c r="M180" s="71" t="s">
        <v>7</v>
      </c>
      <c r="N180" s="71" t="s">
        <v>7</v>
      </c>
      <c r="O180" s="71" t="s">
        <v>7</v>
      </c>
      <c r="P180" s="50">
        <f>P178-P179</f>
        <v>1079.726624</v>
      </c>
      <c r="Q180" s="71" t="s">
        <v>7</v>
      </c>
      <c r="R180" s="71" t="s">
        <v>7</v>
      </c>
      <c r="S180" s="271" t="s">
        <v>7</v>
      </c>
      <c r="T180" s="71" t="s">
        <v>7</v>
      </c>
      <c r="U180" s="71" t="s">
        <v>7</v>
      </c>
      <c r="V180" s="84"/>
      <c r="W180" s="84"/>
      <c r="X180" s="84"/>
      <c r="Y180" s="84"/>
      <c r="Z180" s="84"/>
      <c r="AA180" s="84"/>
      <c r="AB180" s="84"/>
      <c r="AC180" s="84"/>
      <c r="AD180" s="84"/>
      <c r="AE180" s="84"/>
      <c r="AF180" s="84"/>
      <c r="AG180" s="88"/>
      <c r="AH180" s="24"/>
    </row>
    <row r="181" ht="12.75" customHeight="1">
      <c r="A181" s="46" t="s">
        <v>164</v>
      </c>
      <c r="B181" s="51" t="s">
        <v>51</v>
      </c>
      <c r="C181" s="71" t="s">
        <v>7</v>
      </c>
      <c r="D181" s="71" t="s">
        <v>7</v>
      </c>
      <c r="E181" s="50">
        <f>169599*365/325851</f>
        <v>189.9752801</v>
      </c>
      <c r="F181" s="71" t="s">
        <v>7</v>
      </c>
      <c r="G181" s="71" t="s">
        <v>7</v>
      </c>
      <c r="H181" s="71" t="s">
        <v>7</v>
      </c>
      <c r="I181" s="71" t="s">
        <v>7</v>
      </c>
      <c r="J181" s="71" t="s">
        <v>7</v>
      </c>
      <c r="K181" s="71" t="s">
        <v>7</v>
      </c>
      <c r="L181" s="71" t="s">
        <v>7</v>
      </c>
      <c r="M181" s="71" t="s">
        <v>7</v>
      </c>
      <c r="N181" s="71" t="s">
        <v>7</v>
      </c>
      <c r="O181" s="71" t="s">
        <v>7</v>
      </c>
      <c r="P181" s="50">
        <f>(405100000+28000000)/325851</f>
        <v>1329.135095</v>
      </c>
      <c r="Q181" s="71" t="s">
        <v>7</v>
      </c>
      <c r="R181" s="71" t="s">
        <v>7</v>
      </c>
      <c r="S181" s="271" t="s">
        <v>7</v>
      </c>
      <c r="T181" s="71" t="s">
        <v>7</v>
      </c>
      <c r="U181" s="71" t="s">
        <v>7</v>
      </c>
      <c r="V181" s="84"/>
      <c r="W181" s="84"/>
      <c r="X181" s="84"/>
      <c r="Y181" s="84"/>
      <c r="Z181" s="84"/>
      <c r="AA181" s="84"/>
      <c r="AB181" s="84"/>
      <c r="AC181" s="84"/>
      <c r="AD181" s="84"/>
      <c r="AE181" s="84"/>
      <c r="AF181" s="84"/>
      <c r="AG181" s="88"/>
      <c r="AH181" s="24"/>
    </row>
    <row r="182" ht="12.75" customHeight="1">
      <c r="A182" s="46"/>
      <c r="B182" s="51" t="s">
        <v>147</v>
      </c>
      <c r="C182" s="71" t="s">
        <v>7</v>
      </c>
      <c r="D182" s="71" t="s">
        <v>7</v>
      </c>
      <c r="E182" s="50">
        <v>0.0</v>
      </c>
      <c r="F182" s="71" t="s">
        <v>7</v>
      </c>
      <c r="G182" s="71" t="s">
        <v>7</v>
      </c>
      <c r="H182" s="71" t="s">
        <v>7</v>
      </c>
      <c r="I182" s="71" t="s">
        <v>7</v>
      </c>
      <c r="J182" s="71" t="s">
        <v>7</v>
      </c>
      <c r="K182" s="71" t="s">
        <v>7</v>
      </c>
      <c r="L182" s="71" t="s">
        <v>7</v>
      </c>
      <c r="M182" s="71" t="s">
        <v>7</v>
      </c>
      <c r="N182" s="71" t="s">
        <v>7</v>
      </c>
      <c r="O182" s="71" t="s">
        <v>7</v>
      </c>
      <c r="P182" s="50">
        <f>57120000/325851</f>
        <v>175.2948433</v>
      </c>
      <c r="Q182" s="71" t="s">
        <v>7</v>
      </c>
      <c r="R182" s="71" t="s">
        <v>7</v>
      </c>
      <c r="S182" s="271" t="s">
        <v>7</v>
      </c>
      <c r="T182" s="71" t="s">
        <v>7</v>
      </c>
      <c r="U182" s="71" t="s">
        <v>7</v>
      </c>
      <c r="V182" s="84"/>
      <c r="W182" s="84"/>
      <c r="X182" s="84"/>
      <c r="Y182" s="84"/>
      <c r="Z182" s="84"/>
      <c r="AA182" s="84"/>
      <c r="AB182" s="84"/>
      <c r="AC182" s="84"/>
      <c r="AD182" s="84"/>
      <c r="AE182" s="84"/>
      <c r="AF182" s="84"/>
      <c r="AG182" s="88"/>
      <c r="AH182" s="24"/>
    </row>
    <row r="183" ht="12.75" customHeight="1">
      <c r="A183" s="46"/>
      <c r="B183" s="51" t="s">
        <v>148</v>
      </c>
      <c r="C183" s="71" t="s">
        <v>7</v>
      </c>
      <c r="D183" s="71" t="s">
        <v>7</v>
      </c>
      <c r="E183" s="50">
        <f>E181-E182</f>
        <v>189.9752801</v>
      </c>
      <c r="F183" s="71" t="s">
        <v>7</v>
      </c>
      <c r="G183" s="71" t="s">
        <v>7</v>
      </c>
      <c r="H183" s="71" t="s">
        <v>7</v>
      </c>
      <c r="I183" s="71" t="s">
        <v>7</v>
      </c>
      <c r="J183" s="71" t="s">
        <v>7</v>
      </c>
      <c r="K183" s="71" t="s">
        <v>7</v>
      </c>
      <c r="L183" s="71" t="s">
        <v>7</v>
      </c>
      <c r="M183" s="71" t="s">
        <v>7</v>
      </c>
      <c r="N183" s="71" t="s">
        <v>7</v>
      </c>
      <c r="O183" s="71" t="s">
        <v>7</v>
      </c>
      <c r="P183" s="50">
        <f>P181-P182</f>
        <v>1153.840252</v>
      </c>
      <c r="Q183" s="71" t="s">
        <v>7</v>
      </c>
      <c r="R183" s="71" t="s">
        <v>7</v>
      </c>
      <c r="S183" s="271" t="s">
        <v>7</v>
      </c>
      <c r="T183" s="71" t="s">
        <v>7</v>
      </c>
      <c r="U183" s="71" t="s">
        <v>7</v>
      </c>
      <c r="V183" s="84"/>
      <c r="W183" s="84"/>
      <c r="X183" s="84"/>
      <c r="Y183" s="84"/>
      <c r="Z183" s="84"/>
      <c r="AA183" s="84"/>
      <c r="AB183" s="84"/>
      <c r="AC183" s="84"/>
      <c r="AD183" s="84"/>
      <c r="AE183" s="84"/>
      <c r="AF183" s="84"/>
      <c r="AG183" s="88"/>
      <c r="AH183" s="24"/>
    </row>
    <row r="184" ht="12.75" customHeight="1">
      <c r="A184" s="46" t="s">
        <v>165</v>
      </c>
      <c r="B184" s="51" t="s">
        <v>52</v>
      </c>
      <c r="C184" s="71" t="s">
        <v>7</v>
      </c>
      <c r="D184" s="71" t="s">
        <v>7</v>
      </c>
      <c r="E184" s="50">
        <f>141279*365/325851</f>
        <v>158.2528057</v>
      </c>
      <c r="F184" s="71" t="s">
        <v>7</v>
      </c>
      <c r="G184" s="71" t="s">
        <v>7</v>
      </c>
      <c r="H184" s="71" t="s">
        <v>7</v>
      </c>
      <c r="I184" s="71" t="s">
        <v>7</v>
      </c>
      <c r="J184" s="71" t="s">
        <v>7</v>
      </c>
      <c r="K184" s="71" t="s">
        <v>7</v>
      </c>
      <c r="L184" s="71" t="s">
        <v>7</v>
      </c>
      <c r="M184" s="71" t="s">
        <v>7</v>
      </c>
      <c r="N184" s="71" t="s">
        <v>7</v>
      </c>
      <c r="O184" s="71" t="s">
        <v>7</v>
      </c>
      <c r="P184" s="50">
        <f>27500000/325851</f>
        <v>84.39440112</v>
      </c>
      <c r="Q184" s="71" t="s">
        <v>7</v>
      </c>
      <c r="R184" s="71" t="s">
        <v>7</v>
      </c>
      <c r="S184" s="271" t="s">
        <v>7</v>
      </c>
      <c r="T184" s="71" t="s">
        <v>7</v>
      </c>
      <c r="U184" s="71" t="s">
        <v>7</v>
      </c>
      <c r="V184" s="84"/>
      <c r="W184" s="84"/>
      <c r="X184" s="84"/>
      <c r="Y184" s="84"/>
      <c r="Z184" s="84"/>
      <c r="AA184" s="84"/>
      <c r="AB184" s="84"/>
      <c r="AC184" s="84"/>
      <c r="AD184" s="84"/>
      <c r="AE184" s="84"/>
      <c r="AF184" s="84"/>
      <c r="AG184" s="88"/>
      <c r="AH184" s="24"/>
    </row>
    <row r="185" ht="12.75" customHeight="1">
      <c r="A185" s="46"/>
      <c r="B185" s="51" t="s">
        <v>147</v>
      </c>
      <c r="C185" s="71" t="s">
        <v>7</v>
      </c>
      <c r="D185" s="71" t="s">
        <v>7</v>
      </c>
      <c r="E185" s="50">
        <v>0.0</v>
      </c>
      <c r="F185" s="71" t="s">
        <v>7</v>
      </c>
      <c r="G185" s="71" t="s">
        <v>7</v>
      </c>
      <c r="H185" s="71" t="s">
        <v>7</v>
      </c>
      <c r="I185" s="71" t="s">
        <v>7</v>
      </c>
      <c r="J185" s="71" t="s">
        <v>7</v>
      </c>
      <c r="K185" s="71" t="s">
        <v>7</v>
      </c>
      <c r="L185" s="71" t="s">
        <v>7</v>
      </c>
      <c r="M185" s="71" t="s">
        <v>7</v>
      </c>
      <c r="N185" s="71" t="s">
        <v>7</v>
      </c>
      <c r="O185" s="71" t="s">
        <v>7</v>
      </c>
      <c r="P185" s="50">
        <v>0.0</v>
      </c>
      <c r="Q185" s="71" t="s">
        <v>7</v>
      </c>
      <c r="R185" s="71" t="s">
        <v>7</v>
      </c>
      <c r="S185" s="271" t="s">
        <v>7</v>
      </c>
      <c r="T185" s="71" t="s">
        <v>7</v>
      </c>
      <c r="U185" s="71" t="s">
        <v>7</v>
      </c>
      <c r="V185" s="84"/>
      <c r="W185" s="84"/>
      <c r="X185" s="84"/>
      <c r="Y185" s="84"/>
      <c r="Z185" s="84"/>
      <c r="AA185" s="84"/>
      <c r="AB185" s="84"/>
      <c r="AC185" s="84"/>
      <c r="AD185" s="84"/>
      <c r="AE185" s="84"/>
      <c r="AF185" s="84"/>
      <c r="AG185" s="88"/>
      <c r="AH185" s="24"/>
    </row>
    <row r="186" ht="12.75" customHeight="1">
      <c r="A186" s="46"/>
      <c r="B186" s="51" t="s">
        <v>166</v>
      </c>
      <c r="C186" s="71" t="s">
        <v>7</v>
      </c>
      <c r="D186" s="71" t="s">
        <v>7</v>
      </c>
      <c r="E186" s="50">
        <f>E184-E185</f>
        <v>158.2528057</v>
      </c>
      <c r="F186" s="71" t="s">
        <v>7</v>
      </c>
      <c r="G186" s="71" t="s">
        <v>7</v>
      </c>
      <c r="H186" s="71" t="s">
        <v>7</v>
      </c>
      <c r="I186" s="71" t="s">
        <v>7</v>
      </c>
      <c r="J186" s="71" t="s">
        <v>7</v>
      </c>
      <c r="K186" s="71" t="s">
        <v>7</v>
      </c>
      <c r="L186" s="71" t="s">
        <v>7</v>
      </c>
      <c r="M186" s="71" t="s">
        <v>7</v>
      </c>
      <c r="N186" s="71" t="s">
        <v>7</v>
      </c>
      <c r="O186" s="71" t="s">
        <v>7</v>
      </c>
      <c r="P186" s="50">
        <f>P184-P185</f>
        <v>84.39440112</v>
      </c>
      <c r="Q186" s="71" t="s">
        <v>7</v>
      </c>
      <c r="R186" s="71" t="s">
        <v>7</v>
      </c>
      <c r="S186" s="271" t="s">
        <v>7</v>
      </c>
      <c r="T186" s="71" t="s">
        <v>7</v>
      </c>
      <c r="U186" s="71" t="s">
        <v>7</v>
      </c>
      <c r="V186" s="84"/>
      <c r="W186" s="84"/>
      <c r="X186" s="84"/>
      <c r="Y186" s="84"/>
      <c r="Z186" s="84"/>
      <c r="AA186" s="84"/>
      <c r="AB186" s="84"/>
      <c r="AC186" s="84"/>
      <c r="AD186" s="84"/>
      <c r="AE186" s="84"/>
      <c r="AF186" s="84"/>
      <c r="AG186" s="88"/>
      <c r="AH186" s="24"/>
    </row>
    <row r="187" ht="12.75" customHeight="1">
      <c r="A187" s="46" t="s">
        <v>167</v>
      </c>
      <c r="B187" s="51" t="s">
        <v>52</v>
      </c>
      <c r="C187" s="71" t="s">
        <v>7</v>
      </c>
      <c r="D187" s="71" t="s">
        <v>7</v>
      </c>
      <c r="E187" s="50">
        <f>350000*365/325851</f>
        <v>392.0503543</v>
      </c>
      <c r="F187" s="71" t="s">
        <v>7</v>
      </c>
      <c r="G187" s="71" t="s">
        <v>7</v>
      </c>
      <c r="H187" s="71" t="s">
        <v>7</v>
      </c>
      <c r="I187" s="71" t="s">
        <v>7</v>
      </c>
      <c r="J187" s="71" t="s">
        <v>7</v>
      </c>
      <c r="K187" s="71" t="s">
        <v>7</v>
      </c>
      <c r="L187" s="71" t="s">
        <v>7</v>
      </c>
      <c r="M187" s="71" t="s">
        <v>7</v>
      </c>
      <c r="N187" s="71" t="s">
        <v>7</v>
      </c>
      <c r="O187" s="71" t="s">
        <v>7</v>
      </c>
      <c r="P187" s="50">
        <f>261810000/325851</f>
        <v>803.4653876</v>
      </c>
      <c r="Q187" s="71" t="s">
        <v>7</v>
      </c>
      <c r="R187" s="71" t="s">
        <v>7</v>
      </c>
      <c r="S187" s="271" t="s">
        <v>7</v>
      </c>
      <c r="T187" s="71" t="s">
        <v>7</v>
      </c>
      <c r="U187" s="71" t="s">
        <v>7</v>
      </c>
      <c r="V187" s="84"/>
      <c r="W187" s="84"/>
      <c r="X187" s="84"/>
      <c r="Y187" s="84"/>
      <c r="Z187" s="84"/>
      <c r="AA187" s="84"/>
      <c r="AB187" s="84"/>
      <c r="AC187" s="84"/>
      <c r="AD187" s="84"/>
      <c r="AE187" s="84"/>
      <c r="AF187" s="84"/>
      <c r="AG187" s="88"/>
      <c r="AH187" s="24"/>
    </row>
    <row r="188" ht="12.75" customHeight="1">
      <c r="A188" s="46"/>
      <c r="B188" s="51" t="s">
        <v>147</v>
      </c>
      <c r="C188" s="71" t="s">
        <v>7</v>
      </c>
      <c r="D188" s="71" t="s">
        <v>7</v>
      </c>
      <c r="E188" s="50">
        <v>0.0</v>
      </c>
      <c r="F188" s="71" t="s">
        <v>7</v>
      </c>
      <c r="G188" s="71" t="s">
        <v>7</v>
      </c>
      <c r="H188" s="71" t="s">
        <v>7</v>
      </c>
      <c r="I188" s="71" t="s">
        <v>7</v>
      </c>
      <c r="J188" s="71" t="s">
        <v>7</v>
      </c>
      <c r="K188" s="71" t="s">
        <v>7</v>
      </c>
      <c r="L188" s="71" t="s">
        <v>7</v>
      </c>
      <c r="M188" s="71" t="s">
        <v>7</v>
      </c>
      <c r="N188" s="71" t="s">
        <v>7</v>
      </c>
      <c r="O188" s="71" t="s">
        <v>7</v>
      </c>
      <c r="P188" s="50">
        <v>0.0</v>
      </c>
      <c r="Q188" s="71" t="s">
        <v>7</v>
      </c>
      <c r="R188" s="71" t="s">
        <v>7</v>
      </c>
      <c r="S188" s="271" t="s">
        <v>7</v>
      </c>
      <c r="T188" s="71" t="s">
        <v>7</v>
      </c>
      <c r="U188" s="71" t="s">
        <v>7</v>
      </c>
      <c r="V188" s="84"/>
      <c r="W188" s="84"/>
      <c r="X188" s="84"/>
      <c r="Y188" s="84"/>
      <c r="Z188" s="84"/>
      <c r="AA188" s="84"/>
      <c r="AB188" s="84"/>
      <c r="AC188" s="84"/>
      <c r="AD188" s="84"/>
      <c r="AE188" s="84"/>
      <c r="AF188" s="84"/>
      <c r="AG188" s="88"/>
      <c r="AH188" s="24"/>
    </row>
    <row r="189" ht="12.75" customHeight="1">
      <c r="A189" s="273"/>
      <c r="B189" s="51" t="s">
        <v>166</v>
      </c>
      <c r="C189" s="71" t="s">
        <v>7</v>
      </c>
      <c r="D189" s="71" t="s">
        <v>7</v>
      </c>
      <c r="E189" s="50">
        <f>E187-E188</f>
        <v>392.0503543</v>
      </c>
      <c r="F189" s="71" t="s">
        <v>7</v>
      </c>
      <c r="G189" s="71" t="s">
        <v>7</v>
      </c>
      <c r="H189" s="71" t="s">
        <v>7</v>
      </c>
      <c r="I189" s="71" t="s">
        <v>7</v>
      </c>
      <c r="J189" s="71" t="s">
        <v>7</v>
      </c>
      <c r="K189" s="71" t="s">
        <v>7</v>
      </c>
      <c r="L189" s="71" t="s">
        <v>7</v>
      </c>
      <c r="M189" s="71" t="s">
        <v>7</v>
      </c>
      <c r="N189" s="71" t="s">
        <v>7</v>
      </c>
      <c r="O189" s="71" t="s">
        <v>7</v>
      </c>
      <c r="P189" s="50">
        <f>P187-P188</f>
        <v>803.4653876</v>
      </c>
      <c r="Q189" s="71" t="s">
        <v>7</v>
      </c>
      <c r="R189" s="71" t="s">
        <v>7</v>
      </c>
      <c r="S189" s="271" t="s">
        <v>7</v>
      </c>
      <c r="T189" s="71" t="s">
        <v>7</v>
      </c>
      <c r="U189" s="71" t="s">
        <v>7</v>
      </c>
      <c r="V189" s="84"/>
      <c r="W189" s="84"/>
      <c r="X189" s="84"/>
      <c r="Y189" s="84"/>
      <c r="Z189" s="84"/>
      <c r="AA189" s="84"/>
      <c r="AB189" s="84"/>
      <c r="AC189" s="84"/>
      <c r="AD189" s="84"/>
      <c r="AE189" s="84"/>
      <c r="AF189" s="84"/>
      <c r="AG189" s="88"/>
      <c r="AH189" s="24"/>
    </row>
    <row r="190" ht="12.75" customHeight="1">
      <c r="A190" s="46" t="s">
        <v>168</v>
      </c>
      <c r="B190" s="51" t="s">
        <v>52</v>
      </c>
      <c r="C190" s="71" t="s">
        <v>7</v>
      </c>
      <c r="D190" s="71" t="s">
        <v>7</v>
      </c>
      <c r="E190" s="50">
        <f>60000*365/325851</f>
        <v>67.20863217</v>
      </c>
      <c r="F190" s="71" t="s">
        <v>7</v>
      </c>
      <c r="G190" s="71" t="s">
        <v>7</v>
      </c>
      <c r="H190" s="71" t="s">
        <v>7</v>
      </c>
      <c r="I190" s="71" t="s">
        <v>7</v>
      </c>
      <c r="J190" s="71" t="s">
        <v>7</v>
      </c>
      <c r="K190" s="71" t="s">
        <v>7</v>
      </c>
      <c r="L190" s="71" t="s">
        <v>7</v>
      </c>
      <c r="M190" s="71" t="s">
        <v>7</v>
      </c>
      <c r="N190" s="71" t="s">
        <v>7</v>
      </c>
      <c r="O190" s="71" t="s">
        <v>7</v>
      </c>
      <c r="P190" s="50">
        <f>(74000000+16000000)/325851</f>
        <v>276.1998582</v>
      </c>
      <c r="Q190" s="71" t="s">
        <v>7</v>
      </c>
      <c r="R190" s="71" t="s">
        <v>7</v>
      </c>
      <c r="S190" s="271" t="s">
        <v>7</v>
      </c>
      <c r="T190" s="71" t="s">
        <v>7</v>
      </c>
      <c r="U190" s="71" t="s">
        <v>7</v>
      </c>
      <c r="V190" s="84"/>
      <c r="W190" s="84"/>
      <c r="X190" s="84"/>
      <c r="Y190" s="84"/>
      <c r="Z190" s="84"/>
      <c r="AA190" s="84"/>
      <c r="AB190" s="84"/>
      <c r="AC190" s="84"/>
      <c r="AD190" s="84"/>
      <c r="AE190" s="84"/>
      <c r="AF190" s="84"/>
      <c r="AG190" s="88"/>
      <c r="AH190" s="24"/>
    </row>
    <row r="191" ht="12.75" customHeight="1">
      <c r="A191" s="46"/>
      <c r="B191" s="51" t="s">
        <v>147</v>
      </c>
      <c r="C191" s="71" t="s">
        <v>7</v>
      </c>
      <c r="D191" s="71" t="s">
        <v>7</v>
      </c>
      <c r="E191" s="50">
        <v>0.0</v>
      </c>
      <c r="F191" s="71" t="s">
        <v>7</v>
      </c>
      <c r="G191" s="71" t="s">
        <v>7</v>
      </c>
      <c r="H191" s="71" t="s">
        <v>7</v>
      </c>
      <c r="I191" s="71" t="s">
        <v>7</v>
      </c>
      <c r="J191" s="71" t="s">
        <v>7</v>
      </c>
      <c r="K191" s="71" t="s">
        <v>7</v>
      </c>
      <c r="L191" s="71" t="s">
        <v>7</v>
      </c>
      <c r="M191" s="71" t="s">
        <v>7</v>
      </c>
      <c r="N191" s="71" t="s">
        <v>7</v>
      </c>
      <c r="O191" s="71" t="s">
        <v>7</v>
      </c>
      <c r="P191" s="50">
        <v>0.0</v>
      </c>
      <c r="Q191" s="71" t="s">
        <v>7</v>
      </c>
      <c r="R191" s="71" t="s">
        <v>7</v>
      </c>
      <c r="S191" s="271" t="s">
        <v>7</v>
      </c>
      <c r="T191" s="71" t="s">
        <v>7</v>
      </c>
      <c r="U191" s="71" t="s">
        <v>7</v>
      </c>
      <c r="V191" s="84"/>
      <c r="W191" s="84"/>
      <c r="X191" s="84"/>
      <c r="Y191" s="84"/>
      <c r="Z191" s="84"/>
      <c r="AA191" s="84"/>
      <c r="AB191" s="84"/>
      <c r="AC191" s="84"/>
      <c r="AD191" s="84"/>
      <c r="AE191" s="84"/>
      <c r="AF191" s="84"/>
      <c r="AG191" s="88"/>
      <c r="AH191" s="24"/>
    </row>
    <row r="192" ht="12.75" customHeight="1">
      <c r="A192" s="46"/>
      <c r="B192" s="51" t="s">
        <v>166</v>
      </c>
      <c r="C192" s="71" t="s">
        <v>7</v>
      </c>
      <c r="D192" s="71" t="s">
        <v>7</v>
      </c>
      <c r="E192" s="50">
        <f>E190-E191</f>
        <v>67.20863217</v>
      </c>
      <c r="F192" s="71" t="s">
        <v>7</v>
      </c>
      <c r="G192" s="71" t="s">
        <v>7</v>
      </c>
      <c r="H192" s="71" t="s">
        <v>7</v>
      </c>
      <c r="I192" s="71" t="s">
        <v>7</v>
      </c>
      <c r="J192" s="71" t="s">
        <v>7</v>
      </c>
      <c r="K192" s="71" t="s">
        <v>7</v>
      </c>
      <c r="L192" s="71" t="s">
        <v>7</v>
      </c>
      <c r="M192" s="71" t="s">
        <v>7</v>
      </c>
      <c r="N192" s="71" t="s">
        <v>7</v>
      </c>
      <c r="O192" s="71" t="s">
        <v>7</v>
      </c>
      <c r="P192" s="50">
        <f>P190-P191</f>
        <v>276.1998582</v>
      </c>
      <c r="Q192" s="71" t="s">
        <v>7</v>
      </c>
      <c r="R192" s="71" t="s">
        <v>7</v>
      </c>
      <c r="S192" s="271" t="s">
        <v>7</v>
      </c>
      <c r="T192" s="71" t="s">
        <v>7</v>
      </c>
      <c r="U192" s="71" t="s">
        <v>7</v>
      </c>
      <c r="V192" s="84"/>
      <c r="W192" s="84"/>
      <c r="X192" s="84"/>
      <c r="Y192" s="84"/>
      <c r="Z192" s="84"/>
      <c r="AA192" s="84"/>
      <c r="AB192" s="84"/>
      <c r="AC192" s="84"/>
      <c r="AD192" s="84"/>
      <c r="AE192" s="84"/>
      <c r="AF192" s="84"/>
      <c r="AG192" s="88"/>
      <c r="AH192" s="24"/>
    </row>
    <row r="193" ht="12.75" customHeight="1">
      <c r="A193" s="46" t="s">
        <v>169</v>
      </c>
      <c r="B193" s="51" t="s">
        <v>52</v>
      </c>
      <c r="C193" s="71" t="s">
        <v>7</v>
      </c>
      <c r="D193" s="71" t="s">
        <v>7</v>
      </c>
      <c r="E193" s="50">
        <f>18000*365/325851</f>
        <v>20.16258965</v>
      </c>
      <c r="F193" s="71" t="s">
        <v>7</v>
      </c>
      <c r="G193" s="71" t="s">
        <v>7</v>
      </c>
      <c r="H193" s="71" t="s">
        <v>7</v>
      </c>
      <c r="I193" s="71" t="s">
        <v>7</v>
      </c>
      <c r="J193" s="71" t="s">
        <v>7</v>
      </c>
      <c r="K193" s="71" t="s">
        <v>7</v>
      </c>
      <c r="L193" s="71" t="s">
        <v>7</v>
      </c>
      <c r="M193" s="71" t="s">
        <v>7</v>
      </c>
      <c r="N193" s="71" t="s">
        <v>7</v>
      </c>
      <c r="O193" s="71" t="s">
        <v>7</v>
      </c>
      <c r="P193" s="50">
        <f>21500000/325851</f>
        <v>65.98107724</v>
      </c>
      <c r="Q193" s="71" t="s">
        <v>7</v>
      </c>
      <c r="R193" s="71" t="s">
        <v>7</v>
      </c>
      <c r="S193" s="271" t="s">
        <v>7</v>
      </c>
      <c r="T193" s="71" t="s">
        <v>7</v>
      </c>
      <c r="U193" s="71" t="s">
        <v>7</v>
      </c>
      <c r="V193" s="84"/>
      <c r="W193" s="84"/>
      <c r="X193" s="84"/>
      <c r="Y193" s="84"/>
      <c r="Z193" s="84"/>
      <c r="AA193" s="84"/>
      <c r="AB193" s="84"/>
      <c r="AC193" s="84"/>
      <c r="AD193" s="84"/>
      <c r="AE193" s="84"/>
      <c r="AF193" s="84"/>
      <c r="AG193" s="88"/>
      <c r="AH193" s="24"/>
    </row>
    <row r="194" ht="12.75" customHeight="1">
      <c r="A194" s="46"/>
      <c r="B194" s="51" t="s">
        <v>147</v>
      </c>
      <c r="C194" s="71" t="s">
        <v>7</v>
      </c>
      <c r="D194" s="71" t="s">
        <v>7</v>
      </c>
      <c r="E194" s="50">
        <v>0.0</v>
      </c>
      <c r="F194" s="71" t="s">
        <v>7</v>
      </c>
      <c r="G194" s="71" t="s">
        <v>7</v>
      </c>
      <c r="H194" s="71" t="s">
        <v>7</v>
      </c>
      <c r="I194" s="71" t="s">
        <v>7</v>
      </c>
      <c r="J194" s="71" t="s">
        <v>7</v>
      </c>
      <c r="K194" s="71" t="s">
        <v>7</v>
      </c>
      <c r="L194" s="71" t="s">
        <v>7</v>
      </c>
      <c r="M194" s="71" t="s">
        <v>7</v>
      </c>
      <c r="N194" s="71" t="s">
        <v>7</v>
      </c>
      <c r="O194" s="71" t="s">
        <v>7</v>
      </c>
      <c r="P194" s="50">
        <v>0.0</v>
      </c>
      <c r="Q194" s="71" t="s">
        <v>7</v>
      </c>
      <c r="R194" s="71" t="s">
        <v>7</v>
      </c>
      <c r="S194" s="271" t="s">
        <v>7</v>
      </c>
      <c r="T194" s="71" t="s">
        <v>7</v>
      </c>
      <c r="U194" s="71" t="s">
        <v>7</v>
      </c>
      <c r="V194" s="84"/>
      <c r="W194" s="84"/>
      <c r="X194" s="84"/>
      <c r="Y194" s="84"/>
      <c r="Z194" s="84"/>
      <c r="AA194" s="84"/>
      <c r="AB194" s="84"/>
      <c r="AC194" s="84"/>
      <c r="AD194" s="84"/>
      <c r="AE194" s="84"/>
      <c r="AF194" s="84"/>
      <c r="AG194" s="88"/>
      <c r="AH194" s="24"/>
    </row>
    <row r="195" ht="12.75" customHeight="1">
      <c r="A195" s="46"/>
      <c r="B195" s="51" t="s">
        <v>166</v>
      </c>
      <c r="C195" s="71" t="s">
        <v>7</v>
      </c>
      <c r="D195" s="71" t="s">
        <v>7</v>
      </c>
      <c r="E195" s="50">
        <f>E193-E194</f>
        <v>20.16258965</v>
      </c>
      <c r="F195" s="71" t="s">
        <v>7</v>
      </c>
      <c r="G195" s="71" t="s">
        <v>7</v>
      </c>
      <c r="H195" s="71" t="s">
        <v>7</v>
      </c>
      <c r="I195" s="71" t="s">
        <v>7</v>
      </c>
      <c r="J195" s="71" t="s">
        <v>7</v>
      </c>
      <c r="K195" s="71" t="s">
        <v>7</v>
      </c>
      <c r="L195" s="71" t="s">
        <v>7</v>
      </c>
      <c r="M195" s="71" t="s">
        <v>7</v>
      </c>
      <c r="N195" s="71" t="s">
        <v>7</v>
      </c>
      <c r="O195" s="71" t="s">
        <v>7</v>
      </c>
      <c r="P195" s="50">
        <f>P193-P194</f>
        <v>65.98107724</v>
      </c>
      <c r="Q195" s="71" t="s">
        <v>7</v>
      </c>
      <c r="R195" s="71" t="s">
        <v>7</v>
      </c>
      <c r="S195" s="271" t="s">
        <v>7</v>
      </c>
      <c r="T195" s="71" t="s">
        <v>7</v>
      </c>
      <c r="U195" s="71" t="s">
        <v>7</v>
      </c>
      <c r="V195" s="84"/>
      <c r="W195" s="84"/>
      <c r="X195" s="84"/>
      <c r="Y195" s="84"/>
      <c r="Z195" s="84"/>
      <c r="AA195" s="84"/>
      <c r="AB195" s="84"/>
      <c r="AC195" s="84"/>
      <c r="AD195" s="84"/>
      <c r="AE195" s="84"/>
      <c r="AF195" s="84"/>
      <c r="AG195" s="88"/>
      <c r="AH195" s="24"/>
    </row>
    <row r="196" ht="12.75" customHeight="1">
      <c r="A196" s="46" t="s">
        <v>170</v>
      </c>
      <c r="B196" s="51" t="s">
        <v>52</v>
      </c>
      <c r="C196" s="71" t="s">
        <v>7</v>
      </c>
      <c r="D196" s="71" t="s">
        <v>7</v>
      </c>
      <c r="E196" s="50">
        <f>500000/325851</f>
        <v>1.534443657</v>
      </c>
      <c r="F196" s="71" t="s">
        <v>7</v>
      </c>
      <c r="G196" s="71" t="s">
        <v>7</v>
      </c>
      <c r="H196" s="71" t="s">
        <v>7</v>
      </c>
      <c r="I196" s="71" t="s">
        <v>7</v>
      </c>
      <c r="J196" s="71" t="s">
        <v>7</v>
      </c>
      <c r="K196" s="71" t="s">
        <v>7</v>
      </c>
      <c r="L196" s="71" t="s">
        <v>7</v>
      </c>
      <c r="M196" s="71" t="s">
        <v>7</v>
      </c>
      <c r="N196" s="71" t="s">
        <v>7</v>
      </c>
      <c r="O196" s="71" t="s">
        <v>7</v>
      </c>
      <c r="P196" s="50">
        <f>180200000/325851</f>
        <v>553.0134939</v>
      </c>
      <c r="Q196" s="71" t="s">
        <v>7</v>
      </c>
      <c r="R196" s="71" t="s">
        <v>7</v>
      </c>
      <c r="S196" s="271" t="s">
        <v>7</v>
      </c>
      <c r="T196" s="71" t="s">
        <v>7</v>
      </c>
      <c r="U196" s="71" t="s">
        <v>7</v>
      </c>
      <c r="V196" s="84"/>
      <c r="W196" s="84"/>
      <c r="X196" s="84"/>
      <c r="Y196" s="84"/>
      <c r="Z196" s="84"/>
      <c r="AA196" s="84"/>
      <c r="AB196" s="84"/>
      <c r="AC196" s="84"/>
      <c r="AD196" s="84"/>
      <c r="AE196" s="84"/>
      <c r="AF196" s="84"/>
      <c r="AG196" s="88"/>
      <c r="AH196" s="24"/>
    </row>
    <row r="197" ht="12.75" customHeight="1">
      <c r="A197" s="46"/>
      <c r="B197" s="51" t="s">
        <v>147</v>
      </c>
      <c r="C197" s="71" t="s">
        <v>7</v>
      </c>
      <c r="D197" s="71" t="s">
        <v>7</v>
      </c>
      <c r="E197" s="50">
        <v>0.0</v>
      </c>
      <c r="F197" s="71" t="s">
        <v>7</v>
      </c>
      <c r="G197" s="71" t="s">
        <v>7</v>
      </c>
      <c r="H197" s="71" t="s">
        <v>7</v>
      </c>
      <c r="I197" s="71" t="s">
        <v>7</v>
      </c>
      <c r="J197" s="71" t="s">
        <v>7</v>
      </c>
      <c r="K197" s="71" t="s">
        <v>7</v>
      </c>
      <c r="L197" s="71" t="s">
        <v>7</v>
      </c>
      <c r="M197" s="71" t="s">
        <v>7</v>
      </c>
      <c r="N197" s="71" t="s">
        <v>7</v>
      </c>
      <c r="O197" s="71" t="s">
        <v>7</v>
      </c>
      <c r="P197" s="50">
        <f>96200000/325851</f>
        <v>295.2269596</v>
      </c>
      <c r="Q197" s="71" t="s">
        <v>7</v>
      </c>
      <c r="R197" s="71" t="s">
        <v>7</v>
      </c>
      <c r="S197" s="271" t="s">
        <v>7</v>
      </c>
      <c r="T197" s="71" t="s">
        <v>7</v>
      </c>
      <c r="U197" s="71" t="s">
        <v>7</v>
      </c>
      <c r="V197" s="84"/>
      <c r="W197" s="84"/>
      <c r="X197" s="84"/>
      <c r="Y197" s="84"/>
      <c r="Z197" s="84"/>
      <c r="AA197" s="84"/>
      <c r="AB197" s="84"/>
      <c r="AC197" s="84"/>
      <c r="AD197" s="84"/>
      <c r="AE197" s="84"/>
      <c r="AF197" s="84"/>
      <c r="AG197" s="88"/>
      <c r="AH197" s="24"/>
    </row>
    <row r="198" ht="12.75" customHeight="1">
      <c r="A198" s="46"/>
      <c r="B198" s="51" t="s">
        <v>166</v>
      </c>
      <c r="C198" s="71" t="s">
        <v>7</v>
      </c>
      <c r="D198" s="71" t="s">
        <v>7</v>
      </c>
      <c r="E198" s="50">
        <f>E196-E197</f>
        <v>1.534443657</v>
      </c>
      <c r="F198" s="71" t="s">
        <v>7</v>
      </c>
      <c r="G198" s="71" t="s">
        <v>7</v>
      </c>
      <c r="H198" s="71" t="s">
        <v>7</v>
      </c>
      <c r="I198" s="71" t="s">
        <v>7</v>
      </c>
      <c r="J198" s="71" t="s">
        <v>7</v>
      </c>
      <c r="K198" s="71" t="s">
        <v>7</v>
      </c>
      <c r="L198" s="71" t="s">
        <v>7</v>
      </c>
      <c r="M198" s="71" t="s">
        <v>7</v>
      </c>
      <c r="N198" s="71" t="s">
        <v>7</v>
      </c>
      <c r="O198" s="71" t="s">
        <v>7</v>
      </c>
      <c r="P198" s="50">
        <f>P196-P197</f>
        <v>257.7865343</v>
      </c>
      <c r="Q198" s="71" t="s">
        <v>7</v>
      </c>
      <c r="R198" s="71" t="s">
        <v>7</v>
      </c>
      <c r="S198" s="271" t="s">
        <v>7</v>
      </c>
      <c r="T198" s="71" t="s">
        <v>7</v>
      </c>
      <c r="U198" s="71" t="s">
        <v>7</v>
      </c>
      <c r="V198" s="84"/>
      <c r="W198" s="84"/>
      <c r="X198" s="84"/>
      <c r="Y198" s="84"/>
      <c r="Z198" s="84"/>
      <c r="AA198" s="84"/>
      <c r="AB198" s="84"/>
      <c r="AC198" s="84"/>
      <c r="AD198" s="84"/>
      <c r="AE198" s="84"/>
      <c r="AF198" s="84"/>
      <c r="AG198" s="88"/>
      <c r="AH198" s="24"/>
    </row>
    <row r="199" ht="12.75" customHeight="1">
      <c r="A199" s="46" t="s">
        <v>171</v>
      </c>
      <c r="B199" s="51" t="s">
        <v>52</v>
      </c>
      <c r="C199" s="71" t="s">
        <v>7</v>
      </c>
      <c r="D199" s="71" t="s">
        <v>7</v>
      </c>
      <c r="E199" s="50" t="s">
        <v>7</v>
      </c>
      <c r="F199" s="71" t="s">
        <v>7</v>
      </c>
      <c r="G199" s="71" t="s">
        <v>7</v>
      </c>
      <c r="H199" s="71" t="s">
        <v>7</v>
      </c>
      <c r="I199" s="71" t="s">
        <v>7</v>
      </c>
      <c r="J199" s="71" t="s">
        <v>7</v>
      </c>
      <c r="K199" s="71" t="s">
        <v>7</v>
      </c>
      <c r="L199" s="71" t="s">
        <v>7</v>
      </c>
      <c r="M199" s="71" t="s">
        <v>7</v>
      </c>
      <c r="N199" s="71" t="s">
        <v>7</v>
      </c>
      <c r="O199" s="71" t="s">
        <v>7</v>
      </c>
      <c r="P199" s="50">
        <v>0.0</v>
      </c>
      <c r="Q199" s="71" t="s">
        <v>7</v>
      </c>
      <c r="R199" s="71" t="s">
        <v>7</v>
      </c>
      <c r="S199" s="271" t="s">
        <v>7</v>
      </c>
      <c r="T199" s="71" t="s">
        <v>7</v>
      </c>
      <c r="U199" s="71" t="s">
        <v>7</v>
      </c>
      <c r="V199" s="84"/>
      <c r="W199" s="84"/>
      <c r="X199" s="84"/>
      <c r="Y199" s="84"/>
      <c r="Z199" s="84"/>
      <c r="AA199" s="84"/>
      <c r="AB199" s="84"/>
      <c r="AC199" s="84"/>
      <c r="AD199" s="84"/>
      <c r="AE199" s="84"/>
      <c r="AF199" s="84"/>
      <c r="AG199" s="88"/>
      <c r="AH199" s="24"/>
    </row>
    <row r="200" ht="12.75" customHeight="1">
      <c r="A200" s="46"/>
      <c r="B200" s="51" t="s">
        <v>147</v>
      </c>
      <c r="C200" s="71" t="s">
        <v>7</v>
      </c>
      <c r="D200" s="71" t="s">
        <v>7</v>
      </c>
      <c r="E200" s="50" t="s">
        <v>7</v>
      </c>
      <c r="F200" s="71" t="s">
        <v>7</v>
      </c>
      <c r="G200" s="71" t="s">
        <v>7</v>
      </c>
      <c r="H200" s="71" t="s">
        <v>7</v>
      </c>
      <c r="I200" s="71" t="s">
        <v>7</v>
      </c>
      <c r="J200" s="71" t="s">
        <v>7</v>
      </c>
      <c r="K200" s="71" t="s">
        <v>7</v>
      </c>
      <c r="L200" s="71" t="s">
        <v>7</v>
      </c>
      <c r="M200" s="71" t="s">
        <v>7</v>
      </c>
      <c r="N200" s="71" t="s">
        <v>7</v>
      </c>
      <c r="O200" s="71" t="s">
        <v>7</v>
      </c>
      <c r="P200" s="50">
        <v>0.0</v>
      </c>
      <c r="Q200" s="71" t="s">
        <v>7</v>
      </c>
      <c r="R200" s="71" t="s">
        <v>7</v>
      </c>
      <c r="S200" s="271" t="s">
        <v>7</v>
      </c>
      <c r="T200" s="71" t="s">
        <v>7</v>
      </c>
      <c r="U200" s="71" t="s">
        <v>7</v>
      </c>
      <c r="V200" s="84"/>
      <c r="W200" s="84"/>
      <c r="X200" s="84"/>
      <c r="Y200" s="84"/>
      <c r="Z200" s="84"/>
      <c r="AA200" s="84"/>
      <c r="AB200" s="84"/>
      <c r="AC200" s="84"/>
      <c r="AD200" s="84"/>
      <c r="AE200" s="84"/>
      <c r="AF200" s="84"/>
      <c r="AG200" s="88"/>
      <c r="AH200" s="24"/>
    </row>
    <row r="201" ht="12.75" customHeight="1">
      <c r="A201" s="46"/>
      <c r="B201" s="51" t="s">
        <v>166</v>
      </c>
      <c r="C201" s="71" t="s">
        <v>7</v>
      </c>
      <c r="D201" s="71" t="s">
        <v>7</v>
      </c>
      <c r="E201" s="50" t="s">
        <v>7</v>
      </c>
      <c r="F201" s="71" t="s">
        <v>7</v>
      </c>
      <c r="G201" s="71" t="s">
        <v>7</v>
      </c>
      <c r="H201" s="71" t="s">
        <v>7</v>
      </c>
      <c r="I201" s="71" t="s">
        <v>7</v>
      </c>
      <c r="J201" s="71" t="s">
        <v>7</v>
      </c>
      <c r="K201" s="71" t="s">
        <v>7</v>
      </c>
      <c r="L201" s="71" t="s">
        <v>7</v>
      </c>
      <c r="M201" s="71" t="s">
        <v>7</v>
      </c>
      <c r="N201" s="71" t="s">
        <v>7</v>
      </c>
      <c r="O201" s="71" t="s">
        <v>7</v>
      </c>
      <c r="P201" s="50">
        <v>0.0</v>
      </c>
      <c r="Q201" s="71" t="s">
        <v>7</v>
      </c>
      <c r="R201" s="71" t="s">
        <v>7</v>
      </c>
      <c r="S201" s="271" t="s">
        <v>7</v>
      </c>
      <c r="T201" s="71" t="s">
        <v>7</v>
      </c>
      <c r="U201" s="71" t="s">
        <v>7</v>
      </c>
      <c r="V201" s="84"/>
      <c r="W201" s="84"/>
      <c r="X201" s="84"/>
      <c r="Y201" s="84"/>
      <c r="Z201" s="84"/>
      <c r="AA201" s="84"/>
      <c r="AB201" s="84"/>
      <c r="AC201" s="84"/>
      <c r="AD201" s="84"/>
      <c r="AE201" s="84"/>
      <c r="AF201" s="84"/>
      <c r="AG201" s="88"/>
      <c r="AH201" s="24"/>
    </row>
    <row r="202" ht="12.75" customHeight="1">
      <c r="A202" s="46" t="s">
        <v>172</v>
      </c>
      <c r="B202" s="51" t="s">
        <v>173</v>
      </c>
      <c r="C202" s="71" t="s">
        <v>7</v>
      </c>
      <c r="D202" s="71" t="s">
        <v>7</v>
      </c>
      <c r="E202" s="50">
        <f>10300000*365/325851</f>
        <v>11537.48186</v>
      </c>
      <c r="F202" s="71" t="s">
        <v>7</v>
      </c>
      <c r="G202" s="71" t="s">
        <v>7</v>
      </c>
      <c r="H202" s="71" t="s">
        <v>7</v>
      </c>
      <c r="I202" s="71" t="s">
        <v>7</v>
      </c>
      <c r="J202" s="71" t="s">
        <v>7</v>
      </c>
      <c r="K202" s="71" t="s">
        <v>7</v>
      </c>
      <c r="L202" s="71" t="s">
        <v>7</v>
      </c>
      <c r="M202" s="71" t="s">
        <v>7</v>
      </c>
      <c r="N202" s="71" t="s">
        <v>7</v>
      </c>
      <c r="O202" s="71" t="s">
        <v>7</v>
      </c>
      <c r="P202" s="50">
        <f>SUM(P203:P204)</f>
        <v>15823.55126</v>
      </c>
      <c r="Q202" s="71" t="s">
        <v>7</v>
      </c>
      <c r="R202" s="71" t="s">
        <v>7</v>
      </c>
      <c r="S202" s="271" t="s">
        <v>7</v>
      </c>
      <c r="T202" s="71" t="s">
        <v>7</v>
      </c>
      <c r="U202" s="71" t="s">
        <v>7</v>
      </c>
      <c r="V202" s="84"/>
      <c r="W202" s="84"/>
      <c r="X202" s="84"/>
      <c r="Y202" s="84"/>
      <c r="Z202" s="84"/>
      <c r="AA202" s="84"/>
      <c r="AB202" s="84"/>
      <c r="AC202" s="84"/>
      <c r="AD202" s="84"/>
      <c r="AE202" s="84"/>
      <c r="AF202" s="84"/>
      <c r="AG202" s="88"/>
      <c r="AH202" s="24"/>
    </row>
    <row r="203" ht="12.75" customHeight="1">
      <c r="A203" s="46"/>
      <c r="B203" s="51" t="s">
        <v>51</v>
      </c>
      <c r="C203" s="71" t="s">
        <v>7</v>
      </c>
      <c r="D203" s="71" t="s">
        <v>7</v>
      </c>
      <c r="E203" s="50">
        <f>0.71*E202</f>
        <v>8191.612117</v>
      </c>
      <c r="F203" s="71" t="s">
        <v>7</v>
      </c>
      <c r="G203" s="71" t="s">
        <v>7</v>
      </c>
      <c r="H203" s="71" t="s">
        <v>7</v>
      </c>
      <c r="I203" s="71" t="s">
        <v>7</v>
      </c>
      <c r="J203" s="71" t="s">
        <v>7</v>
      </c>
      <c r="K203" s="71" t="s">
        <v>7</v>
      </c>
      <c r="L203" s="71" t="s">
        <v>7</v>
      </c>
      <c r="M203" s="71" t="s">
        <v>7</v>
      </c>
      <c r="N203" s="71" t="s">
        <v>7</v>
      </c>
      <c r="O203" s="71" t="s">
        <v>7</v>
      </c>
      <c r="P203" s="50">
        <f>1768200000/325851</f>
        <v>5426.406548</v>
      </c>
      <c r="Q203" s="71" t="s">
        <v>7</v>
      </c>
      <c r="R203" s="71" t="s">
        <v>7</v>
      </c>
      <c r="S203" s="271" t="s">
        <v>7</v>
      </c>
      <c r="T203" s="71" t="s">
        <v>7</v>
      </c>
      <c r="U203" s="71" t="s">
        <v>7</v>
      </c>
      <c r="V203" s="84"/>
      <c r="W203" s="84"/>
      <c r="X203" s="84"/>
      <c r="Y203" s="84"/>
      <c r="Z203" s="84"/>
      <c r="AA203" s="84"/>
      <c r="AB203" s="84"/>
      <c r="AC203" s="84"/>
      <c r="AD203" s="84"/>
      <c r="AE203" s="84"/>
      <c r="AF203" s="84"/>
      <c r="AG203" s="88"/>
      <c r="AH203" s="24"/>
    </row>
    <row r="204" ht="12.75" customHeight="1">
      <c r="A204" s="46"/>
      <c r="B204" s="51" t="s">
        <v>52</v>
      </c>
      <c r="C204" s="71" t="s">
        <v>7</v>
      </c>
      <c r="D204" s="71" t="s">
        <v>7</v>
      </c>
      <c r="E204" s="50">
        <f>0.29*E202</f>
        <v>3345.869738</v>
      </c>
      <c r="F204" s="71" t="s">
        <v>7</v>
      </c>
      <c r="G204" s="71" t="s">
        <v>7</v>
      </c>
      <c r="H204" s="71" t="s">
        <v>7</v>
      </c>
      <c r="I204" s="71" t="s">
        <v>7</v>
      </c>
      <c r="J204" s="71" t="s">
        <v>7</v>
      </c>
      <c r="K204" s="71" t="s">
        <v>7</v>
      </c>
      <c r="L204" s="71" t="s">
        <v>7</v>
      </c>
      <c r="M204" s="71" t="s">
        <v>7</v>
      </c>
      <c r="N204" s="71" t="s">
        <v>7</v>
      </c>
      <c r="O204" s="71" t="s">
        <v>7</v>
      </c>
      <c r="P204" s="50">
        <f>3387920000/325851</f>
        <v>10397.14471</v>
      </c>
      <c r="Q204" s="71" t="s">
        <v>7</v>
      </c>
      <c r="R204" s="71" t="s">
        <v>7</v>
      </c>
      <c r="S204" s="271" t="s">
        <v>7</v>
      </c>
      <c r="T204" s="71" t="s">
        <v>7</v>
      </c>
      <c r="U204" s="71" t="s">
        <v>7</v>
      </c>
      <c r="V204" s="84"/>
      <c r="W204" s="84"/>
      <c r="X204" s="84"/>
      <c r="Y204" s="84"/>
      <c r="Z204" s="84"/>
      <c r="AA204" s="84"/>
      <c r="AB204" s="84"/>
      <c r="AC204" s="84"/>
      <c r="AD204" s="84"/>
      <c r="AE204" s="84"/>
      <c r="AF204" s="84"/>
      <c r="AG204" s="88"/>
      <c r="AH204" s="24"/>
    </row>
    <row r="205" ht="12.75" customHeight="1">
      <c r="A205" s="46"/>
      <c r="B205" s="274" t="s">
        <v>147</v>
      </c>
      <c r="C205" s="71" t="s">
        <v>7</v>
      </c>
      <c r="D205" s="71" t="s">
        <v>7</v>
      </c>
      <c r="E205" s="50">
        <f>1250000*365/325851</f>
        <v>1400.179837</v>
      </c>
      <c r="F205" s="71" t="s">
        <v>7</v>
      </c>
      <c r="G205" s="71" t="s">
        <v>7</v>
      </c>
      <c r="H205" s="71" t="s">
        <v>7</v>
      </c>
      <c r="I205" s="71" t="s">
        <v>7</v>
      </c>
      <c r="J205" s="71" t="s">
        <v>7</v>
      </c>
      <c r="K205" s="71" t="s">
        <v>7</v>
      </c>
      <c r="L205" s="71" t="s">
        <v>7</v>
      </c>
      <c r="M205" s="71" t="s">
        <v>7</v>
      </c>
      <c r="N205" s="71" t="s">
        <v>7</v>
      </c>
      <c r="O205" s="71" t="s">
        <v>7</v>
      </c>
      <c r="P205" s="50">
        <f>2359270000/325851</f>
        <v>7240.333772</v>
      </c>
      <c r="Q205" s="71" t="s">
        <v>7</v>
      </c>
      <c r="R205" s="71" t="s">
        <v>7</v>
      </c>
      <c r="S205" s="271" t="s">
        <v>7</v>
      </c>
      <c r="T205" s="71" t="s">
        <v>7</v>
      </c>
      <c r="U205" s="71" t="s">
        <v>7</v>
      </c>
      <c r="V205" s="84"/>
      <c r="W205" s="84"/>
      <c r="X205" s="84"/>
      <c r="Y205" s="84"/>
      <c r="Z205" s="84"/>
      <c r="AA205" s="84"/>
      <c r="AB205" s="84"/>
      <c r="AC205" s="84"/>
      <c r="AD205" s="84"/>
      <c r="AE205" s="84"/>
      <c r="AF205" s="84"/>
      <c r="AG205" s="88"/>
      <c r="AH205" s="24"/>
    </row>
    <row r="206" ht="12.75" customHeight="1">
      <c r="A206" s="46"/>
      <c r="B206" s="274" t="s">
        <v>148</v>
      </c>
      <c r="C206" s="71" t="s">
        <v>7</v>
      </c>
      <c r="D206" s="71" t="s">
        <v>7</v>
      </c>
      <c r="E206" s="50">
        <f>(E202-E205)*0.71</f>
        <v>7197.484433</v>
      </c>
      <c r="F206" s="71" t="s">
        <v>7</v>
      </c>
      <c r="G206" s="71" t="s">
        <v>7</v>
      </c>
      <c r="H206" s="71" t="s">
        <v>7</v>
      </c>
      <c r="I206" s="71" t="s">
        <v>7</v>
      </c>
      <c r="J206" s="71" t="s">
        <v>7</v>
      </c>
      <c r="K206" s="71" t="s">
        <v>7</v>
      </c>
      <c r="L206" s="71" t="s">
        <v>7</v>
      </c>
      <c r="M206" s="71" t="s">
        <v>7</v>
      </c>
      <c r="N206" s="71" t="s">
        <v>7</v>
      </c>
      <c r="O206" s="71" t="s">
        <v>7</v>
      </c>
      <c r="P206" s="50">
        <f>(P202-P205)*P203/P202</f>
        <v>2943.462362</v>
      </c>
      <c r="Q206" s="71" t="s">
        <v>7</v>
      </c>
      <c r="R206" s="71" t="s">
        <v>7</v>
      </c>
      <c r="S206" s="271" t="s">
        <v>7</v>
      </c>
      <c r="T206" s="71" t="s">
        <v>7</v>
      </c>
      <c r="U206" s="71" t="s">
        <v>7</v>
      </c>
      <c r="V206" s="84"/>
      <c r="W206" s="84"/>
      <c r="X206" s="84"/>
      <c r="Y206" s="84"/>
      <c r="Z206" s="84"/>
      <c r="AA206" s="84"/>
      <c r="AB206" s="84"/>
      <c r="AC206" s="84"/>
      <c r="AD206" s="84"/>
      <c r="AE206" s="84"/>
      <c r="AF206" s="84"/>
      <c r="AG206" s="88"/>
      <c r="AH206" s="24"/>
    </row>
    <row r="207" ht="12.75" customHeight="1">
      <c r="A207" s="46"/>
      <c r="B207" s="274" t="s">
        <v>166</v>
      </c>
      <c r="C207" s="71" t="s">
        <v>7</v>
      </c>
      <c r="D207" s="71" t="s">
        <v>7</v>
      </c>
      <c r="E207" s="50">
        <f>(E202-E205)*0.29</f>
        <v>2939.817585</v>
      </c>
      <c r="F207" s="71" t="s">
        <v>7</v>
      </c>
      <c r="G207" s="71" t="s">
        <v>7</v>
      </c>
      <c r="H207" s="71" t="s">
        <v>7</v>
      </c>
      <c r="I207" s="71" t="s">
        <v>7</v>
      </c>
      <c r="J207" s="71" t="s">
        <v>7</v>
      </c>
      <c r="K207" s="71" t="s">
        <v>7</v>
      </c>
      <c r="L207" s="71" t="s">
        <v>7</v>
      </c>
      <c r="M207" s="71" t="s">
        <v>7</v>
      </c>
      <c r="N207" s="71" t="s">
        <v>7</v>
      </c>
      <c r="O207" s="71" t="s">
        <v>7</v>
      </c>
      <c r="P207" s="50">
        <f>(P202-P205)*P204/P202</f>
        <v>5639.755121</v>
      </c>
      <c r="Q207" s="71" t="s">
        <v>7</v>
      </c>
      <c r="R207" s="71" t="s">
        <v>7</v>
      </c>
      <c r="S207" s="271" t="s">
        <v>7</v>
      </c>
      <c r="T207" s="71" t="s">
        <v>7</v>
      </c>
      <c r="U207" s="71" t="s">
        <v>7</v>
      </c>
      <c r="V207" s="84"/>
      <c r="W207" s="84"/>
      <c r="X207" s="84"/>
      <c r="Y207" s="84"/>
      <c r="Z207" s="84"/>
      <c r="AA207" s="84"/>
      <c r="AB207" s="84"/>
      <c r="AC207" s="84"/>
      <c r="AD207" s="84"/>
      <c r="AE207" s="84"/>
      <c r="AF207" s="84"/>
      <c r="AG207" s="88"/>
      <c r="AH207" s="24"/>
    </row>
    <row r="208" ht="12.75" customHeight="1">
      <c r="A208" s="46" t="s">
        <v>81</v>
      </c>
      <c r="B208" s="51" t="s">
        <v>173</v>
      </c>
      <c r="C208" s="71" t="s">
        <v>7</v>
      </c>
      <c r="D208" s="71" t="s">
        <v>7</v>
      </c>
      <c r="E208" s="50">
        <f>13100000*365/325851</f>
        <v>14673.88469</v>
      </c>
      <c r="F208" s="71" t="s">
        <v>7</v>
      </c>
      <c r="G208" s="71" t="s">
        <v>7</v>
      </c>
      <c r="H208" s="71" t="s">
        <v>7</v>
      </c>
      <c r="I208" s="71" t="s">
        <v>7</v>
      </c>
      <c r="J208" s="71" t="s">
        <v>7</v>
      </c>
      <c r="K208" s="71" t="s">
        <v>7</v>
      </c>
      <c r="L208" s="71" t="s">
        <v>7</v>
      </c>
      <c r="M208" s="71" t="s">
        <v>7</v>
      </c>
      <c r="N208" s="71" t="s">
        <v>7</v>
      </c>
      <c r="O208" s="71" t="s">
        <v>7</v>
      </c>
      <c r="P208" s="50">
        <f>SUM(P209:P210)</f>
        <v>14005.17414</v>
      </c>
      <c r="Q208" s="71" t="s">
        <v>7</v>
      </c>
      <c r="R208" s="71" t="s">
        <v>7</v>
      </c>
      <c r="S208" s="271" t="s">
        <v>7</v>
      </c>
      <c r="T208" s="71" t="s">
        <v>7</v>
      </c>
      <c r="U208" s="71" t="s">
        <v>7</v>
      </c>
      <c r="V208" s="84"/>
      <c r="W208" s="84"/>
      <c r="X208" s="84"/>
      <c r="Y208" s="84"/>
      <c r="Z208" s="84"/>
      <c r="AA208" s="84"/>
      <c r="AB208" s="84"/>
      <c r="AC208" s="84"/>
      <c r="AD208" s="84"/>
      <c r="AE208" s="84"/>
      <c r="AF208" s="84"/>
      <c r="AG208" s="88"/>
      <c r="AH208" s="24"/>
    </row>
    <row r="209" ht="12.75" customHeight="1">
      <c r="A209" s="46"/>
      <c r="B209" s="51" t="s">
        <v>51</v>
      </c>
      <c r="C209" s="71" t="s">
        <v>7</v>
      </c>
      <c r="D209" s="71" t="s">
        <v>7</v>
      </c>
      <c r="E209" s="50">
        <f>E208*0.41</f>
        <v>6016.292723</v>
      </c>
      <c r="F209" s="71" t="s">
        <v>7</v>
      </c>
      <c r="G209" s="71" t="s">
        <v>7</v>
      </c>
      <c r="H209" s="71" t="s">
        <v>7</v>
      </c>
      <c r="I209" s="71" t="s">
        <v>7</v>
      </c>
      <c r="J209" s="71" t="s">
        <v>7</v>
      </c>
      <c r="K209" s="71" t="s">
        <v>7</v>
      </c>
      <c r="L209" s="71" t="s">
        <v>7</v>
      </c>
      <c r="M209" s="71" t="s">
        <v>7</v>
      </c>
      <c r="N209" s="71" t="s">
        <v>7</v>
      </c>
      <c r="O209" s="71" t="s">
        <v>7</v>
      </c>
      <c r="P209" s="50">
        <f>1384810000/325851</f>
        <v>4249.825841</v>
      </c>
      <c r="Q209" s="71" t="s">
        <v>7</v>
      </c>
      <c r="R209" s="71" t="s">
        <v>7</v>
      </c>
      <c r="S209" s="271" t="s">
        <v>7</v>
      </c>
      <c r="T209" s="71" t="s">
        <v>7</v>
      </c>
      <c r="U209" s="71" t="s">
        <v>7</v>
      </c>
      <c r="V209" s="84"/>
      <c r="W209" s="84"/>
      <c r="X209" s="84"/>
      <c r="Y209" s="84"/>
      <c r="Z209" s="84"/>
      <c r="AA209" s="84"/>
      <c r="AB209" s="84"/>
      <c r="AC209" s="84"/>
      <c r="AD209" s="84"/>
      <c r="AE209" s="84"/>
      <c r="AF209" s="84"/>
      <c r="AG209" s="88"/>
      <c r="AH209" s="24"/>
    </row>
    <row r="210" ht="12.75" customHeight="1">
      <c r="A210" s="46"/>
      <c r="B210" s="51" t="s">
        <v>52</v>
      </c>
      <c r="C210" s="71" t="s">
        <v>7</v>
      </c>
      <c r="D210" s="71" t="s">
        <v>7</v>
      </c>
      <c r="E210" s="50">
        <f>E208*0.59</f>
        <v>8657.591967</v>
      </c>
      <c r="F210" s="71" t="s">
        <v>7</v>
      </c>
      <c r="G210" s="71" t="s">
        <v>7</v>
      </c>
      <c r="H210" s="71" t="s">
        <v>7</v>
      </c>
      <c r="I210" s="71" t="s">
        <v>7</v>
      </c>
      <c r="J210" s="71" t="s">
        <v>7</v>
      </c>
      <c r="K210" s="71" t="s">
        <v>7</v>
      </c>
      <c r="L210" s="71" t="s">
        <v>7</v>
      </c>
      <c r="M210" s="71" t="s">
        <v>7</v>
      </c>
      <c r="N210" s="71" t="s">
        <v>7</v>
      </c>
      <c r="O210" s="71" t="s">
        <v>7</v>
      </c>
      <c r="P210" s="50">
        <f>3178790000/325851</f>
        <v>9755.348303</v>
      </c>
      <c r="Q210" s="71" t="s">
        <v>7</v>
      </c>
      <c r="R210" s="71" t="s">
        <v>7</v>
      </c>
      <c r="S210" s="271" t="s">
        <v>7</v>
      </c>
      <c r="T210" s="71" t="s">
        <v>7</v>
      </c>
      <c r="U210" s="71" t="s">
        <v>7</v>
      </c>
      <c r="V210" s="84"/>
      <c r="W210" s="84"/>
      <c r="X210" s="84"/>
      <c r="Y210" s="84"/>
      <c r="Z210" s="84"/>
      <c r="AA210" s="84"/>
      <c r="AB210" s="84"/>
      <c r="AC210" s="84"/>
      <c r="AD210" s="84"/>
      <c r="AE210" s="84"/>
      <c r="AF210" s="84"/>
      <c r="AG210" s="88"/>
      <c r="AH210" s="24"/>
    </row>
    <row r="211" ht="12.75" customHeight="1">
      <c r="A211" s="46"/>
      <c r="B211" s="274" t="s">
        <v>147</v>
      </c>
      <c r="C211" s="71" t="s">
        <v>7</v>
      </c>
      <c r="D211" s="71" t="s">
        <v>7</v>
      </c>
      <c r="E211" s="50">
        <f>0.35*E208</f>
        <v>5135.859641</v>
      </c>
      <c r="F211" s="71" t="s">
        <v>7</v>
      </c>
      <c r="G211" s="71" t="s">
        <v>7</v>
      </c>
      <c r="H211" s="71" t="s">
        <v>7</v>
      </c>
      <c r="I211" s="71" t="s">
        <v>7</v>
      </c>
      <c r="J211" s="71" t="s">
        <v>7</v>
      </c>
      <c r="K211" s="71" t="s">
        <v>7</v>
      </c>
      <c r="L211" s="71" t="s">
        <v>7</v>
      </c>
      <c r="M211" s="71" t="s">
        <v>7</v>
      </c>
      <c r="N211" s="71" t="s">
        <v>7</v>
      </c>
      <c r="O211" s="71" t="s">
        <v>7</v>
      </c>
      <c r="P211" s="50">
        <f>3328200000/325851</f>
        <v>10213.87076</v>
      </c>
      <c r="Q211" s="71" t="s">
        <v>7</v>
      </c>
      <c r="R211" s="71" t="s">
        <v>7</v>
      </c>
      <c r="S211" s="271" t="s">
        <v>7</v>
      </c>
      <c r="T211" s="71" t="s">
        <v>7</v>
      </c>
      <c r="U211" s="71" t="s">
        <v>7</v>
      </c>
      <c r="V211" s="84"/>
      <c r="W211" s="84"/>
      <c r="X211" s="84"/>
      <c r="Y211" s="84"/>
      <c r="Z211" s="84"/>
      <c r="AA211" s="84"/>
      <c r="AB211" s="84"/>
      <c r="AC211" s="84"/>
      <c r="AD211" s="84"/>
      <c r="AE211" s="84"/>
      <c r="AF211" s="84"/>
      <c r="AG211" s="88"/>
      <c r="AH211" s="24"/>
    </row>
    <row r="212" ht="12.75" customHeight="1">
      <c r="A212" s="46"/>
      <c r="B212" s="274" t="s">
        <v>148</v>
      </c>
      <c r="C212" s="71" t="s">
        <v>7</v>
      </c>
      <c r="D212" s="71" t="s">
        <v>7</v>
      </c>
      <c r="E212" s="50">
        <f>(E208-E211)*0.41</f>
        <v>3910.59027</v>
      </c>
      <c r="F212" s="71" t="s">
        <v>7</v>
      </c>
      <c r="G212" s="71" t="s">
        <v>7</v>
      </c>
      <c r="H212" s="71" t="s">
        <v>7</v>
      </c>
      <c r="I212" s="71" t="s">
        <v>7</v>
      </c>
      <c r="J212" s="71" t="s">
        <v>7</v>
      </c>
      <c r="K212" s="71" t="s">
        <v>7</v>
      </c>
      <c r="L212" s="71" t="s">
        <v>7</v>
      </c>
      <c r="M212" s="71" t="s">
        <v>7</v>
      </c>
      <c r="N212" s="71" t="s">
        <v>7</v>
      </c>
      <c r="O212" s="71" t="s">
        <v>7</v>
      </c>
      <c r="P212" s="50">
        <f>(P208-P211)*P209/P208</f>
        <v>1150.459033</v>
      </c>
      <c r="Q212" s="71" t="s">
        <v>7</v>
      </c>
      <c r="R212" s="71" t="s">
        <v>7</v>
      </c>
      <c r="S212" s="271" t="s">
        <v>7</v>
      </c>
      <c r="T212" s="71" t="s">
        <v>7</v>
      </c>
      <c r="U212" s="71" t="s">
        <v>7</v>
      </c>
      <c r="V212" s="84"/>
      <c r="W212" s="84"/>
      <c r="X212" s="84"/>
      <c r="Y212" s="84"/>
      <c r="Z212" s="84"/>
      <c r="AA212" s="84"/>
      <c r="AB212" s="84"/>
      <c r="AC212" s="84"/>
      <c r="AD212" s="84"/>
      <c r="AE212" s="84"/>
      <c r="AF212" s="84"/>
      <c r="AG212" s="88"/>
      <c r="AH212" s="24"/>
    </row>
    <row r="213" ht="12.75" customHeight="1">
      <c r="A213" s="46"/>
      <c r="B213" s="274" t="s">
        <v>166</v>
      </c>
      <c r="C213" s="71" t="s">
        <v>7</v>
      </c>
      <c r="D213" s="71" t="s">
        <v>7</v>
      </c>
      <c r="E213" s="50">
        <f>(E208-E211)*0.59</f>
        <v>5627.434778</v>
      </c>
      <c r="F213" s="71" t="s">
        <v>7</v>
      </c>
      <c r="G213" s="71" t="s">
        <v>7</v>
      </c>
      <c r="H213" s="71" t="s">
        <v>7</v>
      </c>
      <c r="I213" s="71" t="s">
        <v>7</v>
      </c>
      <c r="J213" s="71" t="s">
        <v>7</v>
      </c>
      <c r="K213" s="71" t="s">
        <v>7</v>
      </c>
      <c r="L213" s="71" t="s">
        <v>7</v>
      </c>
      <c r="M213" s="71" t="s">
        <v>7</v>
      </c>
      <c r="N213" s="71" t="s">
        <v>7</v>
      </c>
      <c r="O213" s="71" t="s">
        <v>7</v>
      </c>
      <c r="P213" s="50">
        <f>(P208-P211)*P210/P208</f>
        <v>2640.844354</v>
      </c>
      <c r="Q213" s="71" t="s">
        <v>7</v>
      </c>
      <c r="R213" s="71" t="s">
        <v>7</v>
      </c>
      <c r="S213" s="271" t="s">
        <v>7</v>
      </c>
      <c r="T213" s="71" t="s">
        <v>7</v>
      </c>
      <c r="U213" s="71" t="s">
        <v>7</v>
      </c>
      <c r="V213" s="84"/>
      <c r="W213" s="84"/>
      <c r="X213" s="84"/>
      <c r="Y213" s="84"/>
      <c r="Z213" s="84"/>
      <c r="AA213" s="84"/>
      <c r="AB213" s="84"/>
      <c r="AC213" s="84"/>
      <c r="AD213" s="84"/>
      <c r="AE213" s="84"/>
      <c r="AF213" s="84"/>
      <c r="AG213" s="88"/>
      <c r="AH213" s="24"/>
    </row>
    <row r="214" ht="12.75" customHeight="1">
      <c r="A214" s="46" t="s">
        <v>175</v>
      </c>
      <c r="B214" s="51" t="s">
        <v>173</v>
      </c>
      <c r="C214" s="71" t="s">
        <v>7</v>
      </c>
      <c r="D214" s="71" t="s">
        <v>7</v>
      </c>
      <c r="E214" s="50">
        <f>1489085*365/325851</f>
        <v>1667.989434</v>
      </c>
      <c r="F214" s="71" t="s">
        <v>7</v>
      </c>
      <c r="G214" s="71" t="s">
        <v>7</v>
      </c>
      <c r="H214" s="71" t="s">
        <v>7</v>
      </c>
      <c r="I214" s="71" t="s">
        <v>7</v>
      </c>
      <c r="J214" s="71" t="s">
        <v>7</v>
      </c>
      <c r="K214" s="71" t="s">
        <v>7</v>
      </c>
      <c r="L214" s="71" t="s">
        <v>7</v>
      </c>
      <c r="M214" s="71" t="s">
        <v>7</v>
      </c>
      <c r="N214" s="71" t="s">
        <v>7</v>
      </c>
      <c r="O214" s="71" t="s">
        <v>7</v>
      </c>
      <c r="P214" s="50">
        <f>SUM(P215:P216)</f>
        <v>1814.019291</v>
      </c>
      <c r="Q214" s="71" t="s">
        <v>7</v>
      </c>
      <c r="R214" s="71" t="s">
        <v>7</v>
      </c>
      <c r="S214" s="271" t="s">
        <v>7</v>
      </c>
      <c r="T214" s="71" t="s">
        <v>7</v>
      </c>
      <c r="U214" s="71" t="s">
        <v>7</v>
      </c>
      <c r="V214" s="84"/>
      <c r="W214" s="84"/>
      <c r="X214" s="84"/>
      <c r="Y214" s="84"/>
      <c r="Z214" s="84"/>
      <c r="AA214" s="84"/>
      <c r="AB214" s="84"/>
      <c r="AC214" s="84"/>
      <c r="AD214" s="84"/>
      <c r="AE214" s="84"/>
      <c r="AF214" s="84"/>
      <c r="AG214" s="88"/>
      <c r="AH214" s="24"/>
    </row>
    <row r="215" ht="12.75" customHeight="1">
      <c r="A215" s="46"/>
      <c r="B215" s="51" t="s">
        <v>51</v>
      </c>
      <c r="C215" s="71" t="s">
        <v>7</v>
      </c>
      <c r="D215" s="71" t="s">
        <v>7</v>
      </c>
      <c r="E215" s="50">
        <f>0.8*E214</f>
        <v>1334.391547</v>
      </c>
      <c r="F215" s="71" t="s">
        <v>7</v>
      </c>
      <c r="G215" s="71" t="s">
        <v>7</v>
      </c>
      <c r="H215" s="71" t="s">
        <v>7</v>
      </c>
      <c r="I215" s="71" t="s">
        <v>7</v>
      </c>
      <c r="J215" s="71" t="s">
        <v>7</v>
      </c>
      <c r="K215" s="71" t="s">
        <v>7</v>
      </c>
      <c r="L215" s="71" t="s">
        <v>7</v>
      </c>
      <c r="M215" s="71" t="s">
        <v>7</v>
      </c>
      <c r="N215" s="71" t="s">
        <v>7</v>
      </c>
      <c r="O215" s="71" t="s">
        <v>7</v>
      </c>
      <c r="P215" s="50">
        <f>551900000/325851</f>
        <v>1693.718908</v>
      </c>
      <c r="Q215" s="71" t="s">
        <v>7</v>
      </c>
      <c r="R215" s="71" t="s">
        <v>7</v>
      </c>
      <c r="S215" s="271" t="s">
        <v>7</v>
      </c>
      <c r="T215" s="71" t="s">
        <v>7</v>
      </c>
      <c r="U215" s="71" t="s">
        <v>7</v>
      </c>
      <c r="V215" s="84"/>
      <c r="W215" s="84"/>
      <c r="X215" s="84"/>
      <c r="Y215" s="84"/>
      <c r="Z215" s="84"/>
      <c r="AA215" s="84"/>
      <c r="AB215" s="84"/>
      <c r="AC215" s="84"/>
      <c r="AD215" s="84"/>
      <c r="AE215" s="84"/>
      <c r="AF215" s="84"/>
      <c r="AG215" s="88"/>
      <c r="AH215" s="24"/>
    </row>
    <row r="216" ht="12.75" customHeight="1">
      <c r="A216" s="273"/>
      <c r="B216" s="51" t="s">
        <v>52</v>
      </c>
      <c r="C216" s="71" t="s">
        <v>7</v>
      </c>
      <c r="D216" s="71" t="s">
        <v>7</v>
      </c>
      <c r="E216" s="50">
        <f>0.2*E214</f>
        <v>333.5978868</v>
      </c>
      <c r="F216" s="71" t="s">
        <v>7</v>
      </c>
      <c r="G216" s="71" t="s">
        <v>7</v>
      </c>
      <c r="H216" s="71" t="s">
        <v>7</v>
      </c>
      <c r="I216" s="71" t="s">
        <v>7</v>
      </c>
      <c r="J216" s="71" t="s">
        <v>7</v>
      </c>
      <c r="K216" s="71" t="s">
        <v>7</v>
      </c>
      <c r="L216" s="71" t="s">
        <v>7</v>
      </c>
      <c r="M216" s="71" t="s">
        <v>7</v>
      </c>
      <c r="N216" s="71" t="s">
        <v>7</v>
      </c>
      <c r="O216" s="71" t="s">
        <v>7</v>
      </c>
      <c r="P216" s="50">
        <f>39200000/325851</f>
        <v>120.3003827</v>
      </c>
      <c r="Q216" s="71" t="s">
        <v>7</v>
      </c>
      <c r="R216" s="71" t="s">
        <v>7</v>
      </c>
      <c r="S216" s="271" t="s">
        <v>7</v>
      </c>
      <c r="T216" s="71" t="s">
        <v>7</v>
      </c>
      <c r="U216" s="71" t="s">
        <v>7</v>
      </c>
      <c r="V216" s="84"/>
      <c r="W216" s="84"/>
      <c r="X216" s="84"/>
      <c r="Y216" s="84"/>
      <c r="Z216" s="84"/>
      <c r="AA216" s="84"/>
      <c r="AB216" s="84"/>
      <c r="AC216" s="84"/>
      <c r="AD216" s="84"/>
      <c r="AE216" s="84"/>
      <c r="AF216" s="84"/>
      <c r="AG216" s="88"/>
      <c r="AH216" s="24"/>
    </row>
    <row r="217" ht="12.75" customHeight="1">
      <c r="A217" s="273"/>
      <c r="B217" s="274" t="s">
        <v>147</v>
      </c>
      <c r="C217" s="71" t="s">
        <v>7</v>
      </c>
      <c r="D217" s="71" t="s">
        <v>7</v>
      </c>
      <c r="E217" s="50">
        <f>800000*365/325851</f>
        <v>896.1150955</v>
      </c>
      <c r="F217" s="71" t="s">
        <v>7</v>
      </c>
      <c r="G217" s="71" t="s">
        <v>7</v>
      </c>
      <c r="H217" s="71" t="s">
        <v>7</v>
      </c>
      <c r="I217" s="71" t="s">
        <v>7</v>
      </c>
      <c r="J217" s="71" t="s">
        <v>7</v>
      </c>
      <c r="K217" s="71" t="s">
        <v>7</v>
      </c>
      <c r="L217" s="71" t="s">
        <v>7</v>
      </c>
      <c r="M217" s="71" t="s">
        <v>7</v>
      </c>
      <c r="N217" s="71" t="s">
        <v>7</v>
      </c>
      <c r="O217" s="71" t="s">
        <v>7</v>
      </c>
      <c r="P217" s="50">
        <f>278900000/325851</f>
        <v>855.9126717</v>
      </c>
      <c r="Q217" s="71" t="s">
        <v>7</v>
      </c>
      <c r="R217" s="71" t="s">
        <v>7</v>
      </c>
      <c r="S217" s="271" t="s">
        <v>7</v>
      </c>
      <c r="T217" s="71" t="s">
        <v>7</v>
      </c>
      <c r="U217" s="71" t="s">
        <v>7</v>
      </c>
      <c r="V217" s="84"/>
      <c r="W217" s="84"/>
      <c r="X217" s="84"/>
      <c r="Y217" s="84"/>
      <c r="Z217" s="84"/>
      <c r="AA217" s="84"/>
      <c r="AB217" s="84"/>
      <c r="AC217" s="84"/>
      <c r="AD217" s="84"/>
      <c r="AE217" s="84"/>
      <c r="AF217" s="84"/>
      <c r="AG217" s="88"/>
      <c r="AH217" s="24"/>
    </row>
    <row r="218" ht="12.75" customHeight="1">
      <c r="A218" s="273"/>
      <c r="B218" s="274" t="s">
        <v>148</v>
      </c>
      <c r="C218" s="71" t="s">
        <v>7</v>
      </c>
      <c r="D218" s="71" t="s">
        <v>7</v>
      </c>
      <c r="E218" s="50">
        <f>(E214-E217)*0.8</f>
        <v>617.4994706</v>
      </c>
      <c r="F218" s="71" t="s">
        <v>7</v>
      </c>
      <c r="G218" s="71" t="s">
        <v>7</v>
      </c>
      <c r="H218" s="71" t="s">
        <v>7</v>
      </c>
      <c r="I218" s="71" t="s">
        <v>7</v>
      </c>
      <c r="J218" s="71" t="s">
        <v>7</v>
      </c>
      <c r="K218" s="71" t="s">
        <v>7</v>
      </c>
      <c r="L218" s="71" t="s">
        <v>7</v>
      </c>
      <c r="M218" s="71" t="s">
        <v>7</v>
      </c>
      <c r="N218" s="71" t="s">
        <v>7</v>
      </c>
      <c r="O218" s="71" t="s">
        <v>7</v>
      </c>
      <c r="P218" s="50">
        <f>(P214-P217)*P215/P214</f>
        <v>894.5678281</v>
      </c>
      <c r="Q218" s="71" t="s">
        <v>7</v>
      </c>
      <c r="R218" s="71" t="s">
        <v>7</v>
      </c>
      <c r="S218" s="271" t="s">
        <v>7</v>
      </c>
      <c r="T218" s="71" t="s">
        <v>7</v>
      </c>
      <c r="U218" s="71" t="s">
        <v>7</v>
      </c>
      <c r="V218" s="84"/>
      <c r="W218" s="84"/>
      <c r="X218" s="84"/>
      <c r="Y218" s="84"/>
      <c r="Z218" s="84"/>
      <c r="AA218" s="84"/>
      <c r="AB218" s="84"/>
      <c r="AC218" s="84"/>
      <c r="AD218" s="84"/>
      <c r="AE218" s="84"/>
      <c r="AF218" s="84"/>
      <c r="AG218" s="88"/>
      <c r="AH218" s="24"/>
    </row>
    <row r="219" ht="12.75" customHeight="1">
      <c r="A219" s="273"/>
      <c r="B219" s="274" t="s">
        <v>166</v>
      </c>
      <c r="C219" s="71" t="s">
        <v>7</v>
      </c>
      <c r="D219" s="71" t="s">
        <v>7</v>
      </c>
      <c r="E219" s="50">
        <f>(E214-E217)*0.2</f>
        <v>154.3748677</v>
      </c>
      <c r="F219" s="71" t="s">
        <v>7</v>
      </c>
      <c r="G219" s="71" t="s">
        <v>7</v>
      </c>
      <c r="H219" s="71" t="s">
        <v>7</v>
      </c>
      <c r="I219" s="71" t="s">
        <v>7</v>
      </c>
      <c r="J219" s="71" t="s">
        <v>7</v>
      </c>
      <c r="K219" s="71" t="s">
        <v>7</v>
      </c>
      <c r="L219" s="71" t="s">
        <v>7</v>
      </c>
      <c r="M219" s="71" t="s">
        <v>7</v>
      </c>
      <c r="N219" s="71" t="s">
        <v>7</v>
      </c>
      <c r="O219" s="71" t="s">
        <v>7</v>
      </c>
      <c r="P219" s="50">
        <f>(P214-P217)*P216/P214</f>
        <v>63.5387912</v>
      </c>
      <c r="Q219" s="71" t="s">
        <v>7</v>
      </c>
      <c r="R219" s="71" t="s">
        <v>7</v>
      </c>
      <c r="S219" s="271" t="s">
        <v>7</v>
      </c>
      <c r="T219" s="71" t="s">
        <v>7</v>
      </c>
      <c r="U219" s="71" t="s">
        <v>7</v>
      </c>
      <c r="V219" s="84"/>
      <c r="W219" s="84"/>
      <c r="X219" s="84"/>
      <c r="Y219" s="84"/>
      <c r="Z219" s="84"/>
      <c r="AA219" s="84"/>
      <c r="AB219" s="84"/>
      <c r="AC219" s="84"/>
      <c r="AD219" s="84"/>
      <c r="AE219" s="84"/>
      <c r="AF219" s="84"/>
      <c r="AG219" s="88"/>
      <c r="AH219" s="24"/>
    </row>
    <row r="220" ht="12.75" customHeight="1">
      <c r="A220" s="46" t="s">
        <v>176</v>
      </c>
      <c r="B220" s="51" t="s">
        <v>173</v>
      </c>
      <c r="C220" s="71" t="s">
        <v>7</v>
      </c>
      <c r="D220" s="71" t="s">
        <v>7</v>
      </c>
      <c r="E220" s="50">
        <f>6000000*365/325851</f>
        <v>6720.863217</v>
      </c>
      <c r="F220" s="71" t="s">
        <v>7</v>
      </c>
      <c r="G220" s="71" t="s">
        <v>7</v>
      </c>
      <c r="H220" s="71" t="s">
        <v>7</v>
      </c>
      <c r="I220" s="71" t="s">
        <v>7</v>
      </c>
      <c r="J220" s="71" t="s">
        <v>7</v>
      </c>
      <c r="K220" s="71" t="s">
        <v>7</v>
      </c>
      <c r="L220" s="71" t="s">
        <v>7</v>
      </c>
      <c r="M220" s="71" t="s">
        <v>7</v>
      </c>
      <c r="N220" s="71" t="s">
        <v>7</v>
      </c>
      <c r="O220" s="71" t="s">
        <v>7</v>
      </c>
      <c r="P220" s="50">
        <f>SUM(P221:P222)</f>
        <v>6441.011383</v>
      </c>
      <c r="Q220" s="71" t="s">
        <v>7</v>
      </c>
      <c r="R220" s="71" t="s">
        <v>7</v>
      </c>
      <c r="S220" s="271" t="s">
        <v>7</v>
      </c>
      <c r="T220" s="71" t="s">
        <v>7</v>
      </c>
      <c r="U220" s="71" t="s">
        <v>7</v>
      </c>
      <c r="V220" s="84"/>
      <c r="W220" s="84"/>
      <c r="X220" s="84"/>
      <c r="Y220" s="84"/>
      <c r="Z220" s="84"/>
      <c r="AA220" s="84"/>
      <c r="AB220" s="84"/>
      <c r="AC220" s="84"/>
      <c r="AD220" s="84"/>
      <c r="AE220" s="84"/>
      <c r="AF220" s="84"/>
      <c r="AG220" s="88"/>
      <c r="AH220" s="24"/>
    </row>
    <row r="221" ht="12.75" customHeight="1">
      <c r="A221" s="46"/>
      <c r="B221" s="51" t="s">
        <v>51</v>
      </c>
      <c r="C221" s="71" t="s">
        <v>7</v>
      </c>
      <c r="D221" s="71" t="s">
        <v>7</v>
      </c>
      <c r="E221" s="50">
        <f>E220*0.58</f>
        <v>3898.100666</v>
      </c>
      <c r="F221" s="71" t="s">
        <v>7</v>
      </c>
      <c r="G221" s="71" t="s">
        <v>7</v>
      </c>
      <c r="H221" s="71" t="s">
        <v>7</v>
      </c>
      <c r="I221" s="71" t="s">
        <v>7</v>
      </c>
      <c r="J221" s="71" t="s">
        <v>7</v>
      </c>
      <c r="K221" s="71" t="s">
        <v>7</v>
      </c>
      <c r="L221" s="71" t="s">
        <v>7</v>
      </c>
      <c r="M221" s="71" t="s">
        <v>7</v>
      </c>
      <c r="N221" s="71" t="s">
        <v>7</v>
      </c>
      <c r="O221" s="71" t="s">
        <v>7</v>
      </c>
      <c r="P221" s="50">
        <f>1068290000/325851</f>
        <v>3278.461628</v>
      </c>
      <c r="Q221" s="71" t="s">
        <v>7</v>
      </c>
      <c r="R221" s="71" t="s">
        <v>7</v>
      </c>
      <c r="S221" s="271" t="s">
        <v>7</v>
      </c>
      <c r="T221" s="71" t="s">
        <v>7</v>
      </c>
      <c r="U221" s="71" t="s">
        <v>7</v>
      </c>
      <c r="V221" s="84"/>
      <c r="W221" s="84"/>
      <c r="X221" s="84"/>
      <c r="Y221" s="84"/>
      <c r="Z221" s="84"/>
      <c r="AA221" s="84"/>
      <c r="AB221" s="84"/>
      <c r="AC221" s="84"/>
      <c r="AD221" s="84"/>
      <c r="AE221" s="84"/>
      <c r="AF221" s="84"/>
      <c r="AG221" s="88"/>
      <c r="AH221" s="24"/>
    </row>
    <row r="222" ht="12.75" customHeight="1">
      <c r="A222" s="46"/>
      <c r="B222" s="51" t="s">
        <v>52</v>
      </c>
      <c r="C222" s="71" t="s">
        <v>7</v>
      </c>
      <c r="D222" s="71" t="s">
        <v>7</v>
      </c>
      <c r="E222" s="50">
        <f>E220*0.42</f>
        <v>2822.762551</v>
      </c>
      <c r="F222" s="71" t="s">
        <v>7</v>
      </c>
      <c r="G222" s="71" t="s">
        <v>7</v>
      </c>
      <c r="H222" s="71" t="s">
        <v>7</v>
      </c>
      <c r="I222" s="71" t="s">
        <v>7</v>
      </c>
      <c r="J222" s="71" t="s">
        <v>7</v>
      </c>
      <c r="K222" s="71" t="s">
        <v>7</v>
      </c>
      <c r="L222" s="71" t="s">
        <v>7</v>
      </c>
      <c r="M222" s="71" t="s">
        <v>7</v>
      </c>
      <c r="N222" s="71" t="s">
        <v>7</v>
      </c>
      <c r="O222" s="71" t="s">
        <v>7</v>
      </c>
      <c r="P222" s="50">
        <f>1030520000/325851</f>
        <v>3162.549754</v>
      </c>
      <c r="Q222" s="71" t="s">
        <v>7</v>
      </c>
      <c r="R222" s="71" t="s">
        <v>7</v>
      </c>
      <c r="S222" s="271" t="s">
        <v>7</v>
      </c>
      <c r="T222" s="71" t="s">
        <v>7</v>
      </c>
      <c r="U222" s="71" t="s">
        <v>7</v>
      </c>
      <c r="V222" s="84"/>
      <c r="W222" s="84"/>
      <c r="X222" s="84"/>
      <c r="Y222" s="84"/>
      <c r="Z222" s="84"/>
      <c r="AA222" s="84"/>
      <c r="AB222" s="84"/>
      <c r="AC222" s="84"/>
      <c r="AD222" s="84"/>
      <c r="AE222" s="84"/>
      <c r="AF222" s="84"/>
      <c r="AG222" s="88"/>
      <c r="AH222" s="24"/>
    </row>
    <row r="223" ht="12.75" customHeight="1">
      <c r="A223" s="46"/>
      <c r="B223" s="274" t="s">
        <v>147</v>
      </c>
      <c r="C223" s="71" t="s">
        <v>7</v>
      </c>
      <c r="D223" s="71" t="s">
        <v>7</v>
      </c>
      <c r="E223" s="50">
        <f>4500000*365/325851</f>
        <v>5040.647412</v>
      </c>
      <c r="F223" s="71" t="s">
        <v>7</v>
      </c>
      <c r="G223" s="71" t="s">
        <v>7</v>
      </c>
      <c r="H223" s="71" t="s">
        <v>7</v>
      </c>
      <c r="I223" s="71" t="s">
        <v>7</v>
      </c>
      <c r="J223" s="71" t="s">
        <v>7</v>
      </c>
      <c r="K223" s="71" t="s">
        <v>7</v>
      </c>
      <c r="L223" s="71" t="s">
        <v>7</v>
      </c>
      <c r="M223" s="71" t="s">
        <v>7</v>
      </c>
      <c r="N223" s="71" t="s">
        <v>7</v>
      </c>
      <c r="O223" s="71" t="s">
        <v>7</v>
      </c>
      <c r="P223" s="50">
        <f>1134390000/325851</f>
        <v>3481.31508</v>
      </c>
      <c r="Q223" s="71" t="s">
        <v>7</v>
      </c>
      <c r="R223" s="71" t="s">
        <v>7</v>
      </c>
      <c r="S223" s="271" t="s">
        <v>7</v>
      </c>
      <c r="T223" s="71" t="s">
        <v>7</v>
      </c>
      <c r="U223" s="71" t="s">
        <v>7</v>
      </c>
      <c r="V223" s="84"/>
      <c r="W223" s="84"/>
      <c r="X223" s="84"/>
      <c r="Y223" s="84"/>
      <c r="Z223" s="84"/>
      <c r="AA223" s="84"/>
      <c r="AB223" s="84"/>
      <c r="AC223" s="84"/>
      <c r="AD223" s="84"/>
      <c r="AE223" s="84"/>
      <c r="AF223" s="84"/>
      <c r="AG223" s="88"/>
      <c r="AH223" s="24"/>
    </row>
    <row r="224" ht="12.75" customHeight="1">
      <c r="A224" s="46"/>
      <c r="B224" s="274" t="s">
        <v>148</v>
      </c>
      <c r="C224" s="71" t="s">
        <v>7</v>
      </c>
      <c r="D224" s="71" t="s">
        <v>7</v>
      </c>
      <c r="E224" s="50">
        <f>(E220-E223)*0.58</f>
        <v>974.5251664</v>
      </c>
      <c r="F224" s="71" t="s">
        <v>7</v>
      </c>
      <c r="G224" s="71" t="s">
        <v>7</v>
      </c>
      <c r="H224" s="71" t="s">
        <v>7</v>
      </c>
      <c r="I224" s="71" t="s">
        <v>7</v>
      </c>
      <c r="J224" s="71" t="s">
        <v>7</v>
      </c>
      <c r="K224" s="71" t="s">
        <v>7</v>
      </c>
      <c r="L224" s="71" t="s">
        <v>7</v>
      </c>
      <c r="M224" s="71" t="s">
        <v>7</v>
      </c>
      <c r="N224" s="71" t="s">
        <v>7</v>
      </c>
      <c r="O224" s="71" t="s">
        <v>7</v>
      </c>
      <c r="P224" s="50">
        <f>(P220-P223)*P221/P220</f>
        <v>1506.479369</v>
      </c>
      <c r="Q224" s="71" t="s">
        <v>7</v>
      </c>
      <c r="R224" s="71" t="s">
        <v>7</v>
      </c>
      <c r="S224" s="271" t="s">
        <v>7</v>
      </c>
      <c r="T224" s="71" t="s">
        <v>7</v>
      </c>
      <c r="U224" s="71" t="s">
        <v>7</v>
      </c>
      <c r="V224" s="84"/>
      <c r="W224" s="84"/>
      <c r="X224" s="84"/>
      <c r="Y224" s="84"/>
      <c r="Z224" s="84"/>
      <c r="AA224" s="84"/>
      <c r="AB224" s="84"/>
      <c r="AC224" s="84"/>
      <c r="AD224" s="84"/>
      <c r="AE224" s="84"/>
      <c r="AF224" s="84"/>
      <c r="AG224" s="88"/>
      <c r="AH224" s="24"/>
    </row>
    <row r="225" ht="12.75" customHeight="1">
      <c r="A225" s="46"/>
      <c r="B225" s="274" t="s">
        <v>166</v>
      </c>
      <c r="C225" s="71" t="s">
        <v>7</v>
      </c>
      <c r="D225" s="71" t="s">
        <v>7</v>
      </c>
      <c r="E225" s="50">
        <f>(E220-E223)*0.42</f>
        <v>705.6906377</v>
      </c>
      <c r="F225" s="71" t="s">
        <v>7</v>
      </c>
      <c r="G225" s="71" t="s">
        <v>7</v>
      </c>
      <c r="H225" s="71" t="s">
        <v>7</v>
      </c>
      <c r="I225" s="71" t="s">
        <v>7</v>
      </c>
      <c r="J225" s="71" t="s">
        <v>7</v>
      </c>
      <c r="K225" s="71" t="s">
        <v>7</v>
      </c>
      <c r="L225" s="71" t="s">
        <v>7</v>
      </c>
      <c r="M225" s="71" t="s">
        <v>7</v>
      </c>
      <c r="N225" s="71" t="s">
        <v>7</v>
      </c>
      <c r="O225" s="71" t="s">
        <v>7</v>
      </c>
      <c r="P225" s="50">
        <f>(P220-P223)*P222/P220</f>
        <v>1453.216934</v>
      </c>
      <c r="Q225" s="71" t="s">
        <v>7</v>
      </c>
      <c r="R225" s="71" t="s">
        <v>7</v>
      </c>
      <c r="S225" s="271" t="s">
        <v>7</v>
      </c>
      <c r="T225" s="71" t="s">
        <v>7</v>
      </c>
      <c r="U225" s="71" t="s">
        <v>7</v>
      </c>
      <c r="V225" s="84"/>
      <c r="W225" s="84"/>
      <c r="X225" s="84"/>
      <c r="Y225" s="84"/>
      <c r="Z225" s="84"/>
      <c r="AA225" s="84"/>
      <c r="AB225" s="84"/>
      <c r="AC225" s="84"/>
      <c r="AD225" s="84"/>
      <c r="AE225" s="84"/>
      <c r="AF225" s="84"/>
      <c r="AG225" s="88"/>
      <c r="AH225" s="24"/>
    </row>
    <row r="226" ht="12.75" customHeight="1">
      <c r="A226" s="46" t="s">
        <v>177</v>
      </c>
      <c r="B226" s="51" t="s">
        <v>173</v>
      </c>
      <c r="C226" s="71" t="s">
        <v>7</v>
      </c>
      <c r="D226" s="71" t="s">
        <v>7</v>
      </c>
      <c r="E226" s="50">
        <f>861750*365/325851</f>
        <v>965.2839795</v>
      </c>
      <c r="F226" s="71" t="s">
        <v>7</v>
      </c>
      <c r="G226" s="71" t="s">
        <v>7</v>
      </c>
      <c r="H226" s="71" t="s">
        <v>7</v>
      </c>
      <c r="I226" s="71" t="s">
        <v>7</v>
      </c>
      <c r="J226" s="71" t="s">
        <v>7</v>
      </c>
      <c r="K226" s="71" t="s">
        <v>7</v>
      </c>
      <c r="L226" s="71" t="s">
        <v>7</v>
      </c>
      <c r="M226" s="71" t="s">
        <v>7</v>
      </c>
      <c r="N226" s="71" t="s">
        <v>7</v>
      </c>
      <c r="O226" s="71" t="s">
        <v>7</v>
      </c>
      <c r="P226" s="50">
        <f>SUM(P227:P228)</f>
        <v>1196.866052</v>
      </c>
      <c r="Q226" s="71" t="s">
        <v>7</v>
      </c>
      <c r="R226" s="71" t="s">
        <v>7</v>
      </c>
      <c r="S226" s="271" t="s">
        <v>7</v>
      </c>
      <c r="T226" s="71" t="s">
        <v>7</v>
      </c>
      <c r="U226" s="71" t="s">
        <v>7</v>
      </c>
      <c r="V226" s="84"/>
      <c r="W226" s="84"/>
      <c r="X226" s="84"/>
      <c r="Y226" s="84"/>
      <c r="Z226" s="84"/>
      <c r="AA226" s="84"/>
      <c r="AB226" s="84"/>
      <c r="AC226" s="84"/>
      <c r="AD226" s="84"/>
      <c r="AE226" s="84"/>
      <c r="AF226" s="84"/>
      <c r="AG226" s="88"/>
      <c r="AH226" s="24"/>
    </row>
    <row r="227" ht="12.75" customHeight="1">
      <c r="A227" s="46"/>
      <c r="B227" s="51" t="s">
        <v>51</v>
      </c>
      <c r="C227" s="71" t="s">
        <v>7</v>
      </c>
      <c r="D227" s="71" t="s">
        <v>7</v>
      </c>
      <c r="E227" s="50">
        <f>0.56*E226</f>
        <v>540.5590285</v>
      </c>
      <c r="F227" s="71" t="s">
        <v>7</v>
      </c>
      <c r="G227" s="71" t="s">
        <v>7</v>
      </c>
      <c r="H227" s="71" t="s">
        <v>7</v>
      </c>
      <c r="I227" s="71" t="s">
        <v>7</v>
      </c>
      <c r="J227" s="71" t="s">
        <v>7</v>
      </c>
      <c r="K227" s="71" t="s">
        <v>7</v>
      </c>
      <c r="L227" s="71" t="s">
        <v>7</v>
      </c>
      <c r="M227" s="71" t="s">
        <v>7</v>
      </c>
      <c r="N227" s="71" t="s">
        <v>7</v>
      </c>
      <c r="O227" s="71" t="s">
        <v>7</v>
      </c>
      <c r="P227" s="50">
        <f>250000000/325851</f>
        <v>767.2218284</v>
      </c>
      <c r="Q227" s="71" t="s">
        <v>7</v>
      </c>
      <c r="R227" s="71" t="s">
        <v>7</v>
      </c>
      <c r="S227" s="271" t="s">
        <v>7</v>
      </c>
      <c r="T227" s="71" t="s">
        <v>7</v>
      </c>
      <c r="U227" s="71" t="s">
        <v>7</v>
      </c>
      <c r="V227" s="84"/>
      <c r="W227" s="84"/>
      <c r="X227" s="84"/>
      <c r="Y227" s="84"/>
      <c r="Z227" s="84"/>
      <c r="AA227" s="84"/>
      <c r="AB227" s="84"/>
      <c r="AC227" s="84"/>
      <c r="AD227" s="84"/>
      <c r="AE227" s="84"/>
      <c r="AF227" s="84"/>
      <c r="AG227" s="88"/>
      <c r="AH227" s="24"/>
    </row>
    <row r="228" ht="12.75" customHeight="1">
      <c r="A228" s="46"/>
      <c r="B228" s="51" t="s">
        <v>52</v>
      </c>
      <c r="C228" s="71" t="s">
        <v>7</v>
      </c>
      <c r="D228" s="71" t="s">
        <v>7</v>
      </c>
      <c r="E228" s="50">
        <f>0.44*E226</f>
        <v>424.724951</v>
      </c>
      <c r="F228" s="71" t="s">
        <v>7</v>
      </c>
      <c r="G228" s="71" t="s">
        <v>7</v>
      </c>
      <c r="H228" s="71" t="s">
        <v>7</v>
      </c>
      <c r="I228" s="71" t="s">
        <v>7</v>
      </c>
      <c r="J228" s="71" t="s">
        <v>7</v>
      </c>
      <c r="K228" s="71" t="s">
        <v>7</v>
      </c>
      <c r="L228" s="71" t="s">
        <v>7</v>
      </c>
      <c r="M228" s="71" t="s">
        <v>7</v>
      </c>
      <c r="N228" s="71" t="s">
        <v>7</v>
      </c>
      <c r="O228" s="71" t="s">
        <v>7</v>
      </c>
      <c r="P228" s="50">
        <f>P227*0.56</f>
        <v>429.6442239</v>
      </c>
      <c r="Q228" s="71" t="s">
        <v>7</v>
      </c>
      <c r="R228" s="71" t="s">
        <v>7</v>
      </c>
      <c r="S228" s="271" t="s">
        <v>7</v>
      </c>
      <c r="T228" s="71" t="s">
        <v>7</v>
      </c>
      <c r="U228" s="71" t="s">
        <v>7</v>
      </c>
      <c r="V228" s="84"/>
      <c r="W228" s="84"/>
      <c r="X228" s="84"/>
      <c r="Y228" s="84"/>
      <c r="Z228" s="84"/>
      <c r="AA228" s="84"/>
      <c r="AB228" s="84"/>
      <c r="AC228" s="84"/>
      <c r="AD228" s="84"/>
      <c r="AE228" s="84"/>
      <c r="AF228" s="84"/>
      <c r="AG228" s="88"/>
      <c r="AH228" s="24"/>
    </row>
    <row r="229" ht="12.75" customHeight="1">
      <c r="A229" s="46"/>
      <c r="B229" s="274" t="s">
        <v>147</v>
      </c>
      <c r="C229" s="71" t="s">
        <v>7</v>
      </c>
      <c r="D229" s="71" t="s">
        <v>7</v>
      </c>
      <c r="E229" s="50">
        <f>407000*365/325851</f>
        <v>455.8985549</v>
      </c>
      <c r="F229" s="71" t="s">
        <v>7</v>
      </c>
      <c r="G229" s="71" t="s">
        <v>7</v>
      </c>
      <c r="H229" s="71" t="s">
        <v>7</v>
      </c>
      <c r="I229" s="71" t="s">
        <v>7</v>
      </c>
      <c r="J229" s="71" t="s">
        <v>7</v>
      </c>
      <c r="K229" s="71" t="s">
        <v>7</v>
      </c>
      <c r="L229" s="71" t="s">
        <v>7</v>
      </c>
      <c r="M229" s="71" t="s">
        <v>7</v>
      </c>
      <c r="N229" s="71" t="s">
        <v>7</v>
      </c>
      <c r="O229" s="71" t="s">
        <v>7</v>
      </c>
      <c r="P229" s="50">
        <f>P227*0.44</f>
        <v>337.5776045</v>
      </c>
      <c r="Q229" s="71" t="s">
        <v>7</v>
      </c>
      <c r="R229" s="71" t="s">
        <v>7</v>
      </c>
      <c r="S229" s="271" t="s">
        <v>7</v>
      </c>
      <c r="T229" s="71" t="s">
        <v>7</v>
      </c>
      <c r="U229" s="71" t="s">
        <v>7</v>
      </c>
      <c r="V229" s="84"/>
      <c r="W229" s="84"/>
      <c r="X229" s="84"/>
      <c r="Y229" s="84"/>
      <c r="Z229" s="84"/>
      <c r="AA229" s="84"/>
      <c r="AB229" s="84"/>
      <c r="AC229" s="84"/>
      <c r="AD229" s="84"/>
      <c r="AE229" s="84"/>
      <c r="AF229" s="84"/>
      <c r="AG229" s="88"/>
      <c r="AH229" s="24"/>
    </row>
    <row r="230" ht="12.75" customHeight="1">
      <c r="A230" s="46"/>
      <c r="B230" s="274" t="s">
        <v>148</v>
      </c>
      <c r="C230" s="71" t="s">
        <v>7</v>
      </c>
      <c r="D230" s="71" t="s">
        <v>7</v>
      </c>
      <c r="E230" s="50">
        <f>(E226-E229)*0.56</f>
        <v>285.2558378</v>
      </c>
      <c r="F230" s="71" t="s">
        <v>7</v>
      </c>
      <c r="G230" s="71" t="s">
        <v>7</v>
      </c>
      <c r="H230" s="71" t="s">
        <v>7</v>
      </c>
      <c r="I230" s="71" t="s">
        <v>7</v>
      </c>
      <c r="J230" s="71" t="s">
        <v>7</v>
      </c>
      <c r="K230" s="71" t="s">
        <v>7</v>
      </c>
      <c r="L230" s="71" t="s">
        <v>7</v>
      </c>
      <c r="M230" s="71" t="s">
        <v>7</v>
      </c>
      <c r="N230" s="71" t="s">
        <v>7</v>
      </c>
      <c r="O230" s="71" t="s">
        <v>7</v>
      </c>
      <c r="P230" s="50">
        <f>(P226-P229)*P227/P226</f>
        <v>550.8259281</v>
      </c>
      <c r="Q230" s="71" t="s">
        <v>7</v>
      </c>
      <c r="R230" s="71" t="s">
        <v>7</v>
      </c>
      <c r="S230" s="271" t="s">
        <v>7</v>
      </c>
      <c r="T230" s="71" t="s">
        <v>7</v>
      </c>
      <c r="U230" s="71" t="s">
        <v>7</v>
      </c>
      <c r="V230" s="84"/>
      <c r="W230" s="84"/>
      <c r="X230" s="84"/>
      <c r="Y230" s="84"/>
      <c r="Z230" s="84"/>
      <c r="AA230" s="84"/>
      <c r="AB230" s="84"/>
      <c r="AC230" s="84"/>
      <c r="AD230" s="84"/>
      <c r="AE230" s="84"/>
      <c r="AF230" s="84"/>
      <c r="AG230" s="88"/>
      <c r="AH230" s="24"/>
    </row>
    <row r="231" ht="12.75" customHeight="1">
      <c r="A231" s="46"/>
      <c r="B231" s="274" t="s">
        <v>166</v>
      </c>
      <c r="C231" s="71" t="s">
        <v>7</v>
      </c>
      <c r="D231" s="71" t="s">
        <v>7</v>
      </c>
      <c r="E231" s="50">
        <f>(E226-E229)*0.44</f>
        <v>224.1295868</v>
      </c>
      <c r="F231" s="71" t="s">
        <v>7</v>
      </c>
      <c r="G231" s="71" t="s">
        <v>7</v>
      </c>
      <c r="H231" s="71" t="s">
        <v>7</v>
      </c>
      <c r="I231" s="71" t="s">
        <v>7</v>
      </c>
      <c r="J231" s="71" t="s">
        <v>7</v>
      </c>
      <c r="K231" s="71" t="s">
        <v>7</v>
      </c>
      <c r="L231" s="71" t="s">
        <v>7</v>
      </c>
      <c r="M231" s="71" t="s">
        <v>7</v>
      </c>
      <c r="N231" s="71" t="s">
        <v>7</v>
      </c>
      <c r="O231" s="71" t="s">
        <v>7</v>
      </c>
      <c r="P231" s="50">
        <f>(P226-P229)*P228/P226</f>
        <v>308.4625197</v>
      </c>
      <c r="Q231" s="71" t="s">
        <v>7</v>
      </c>
      <c r="R231" s="71" t="s">
        <v>7</v>
      </c>
      <c r="S231" s="271" t="s">
        <v>7</v>
      </c>
      <c r="T231" s="71" t="s">
        <v>7</v>
      </c>
      <c r="U231" s="71" t="s">
        <v>7</v>
      </c>
      <c r="V231" s="84"/>
      <c r="W231" s="84"/>
      <c r="X231" s="84"/>
      <c r="Y231" s="84"/>
      <c r="Z231" s="84"/>
      <c r="AA231" s="84"/>
      <c r="AB231" s="84"/>
      <c r="AC231" s="84"/>
      <c r="AD231" s="84"/>
      <c r="AE231" s="84"/>
      <c r="AF231" s="84"/>
      <c r="AG231" s="88"/>
      <c r="AH231" s="24"/>
    </row>
    <row r="232" ht="12.75" customHeight="1">
      <c r="A232" s="46" t="s">
        <v>178</v>
      </c>
      <c r="B232" s="51" t="s">
        <v>173</v>
      </c>
      <c r="C232" s="71" t="s">
        <v>7</v>
      </c>
      <c r="D232" s="71" t="s">
        <v>7</v>
      </c>
      <c r="E232" s="50">
        <f>2251000*365/325851</f>
        <v>2521.44385</v>
      </c>
      <c r="F232" s="71" t="s">
        <v>7</v>
      </c>
      <c r="G232" s="71" t="s">
        <v>7</v>
      </c>
      <c r="H232" s="71" t="s">
        <v>7</v>
      </c>
      <c r="I232" s="71" t="s">
        <v>7</v>
      </c>
      <c r="J232" s="71" t="s">
        <v>7</v>
      </c>
      <c r="K232" s="71" t="s">
        <v>7</v>
      </c>
      <c r="L232" s="71" t="s">
        <v>7</v>
      </c>
      <c r="M232" s="71" t="s">
        <v>7</v>
      </c>
      <c r="N232" s="71" t="s">
        <v>7</v>
      </c>
      <c r="O232" s="71" t="s">
        <v>7</v>
      </c>
      <c r="P232" s="50">
        <f>SUM(P233:P234)</f>
        <v>2747.666878</v>
      </c>
      <c r="Q232" s="71" t="s">
        <v>7</v>
      </c>
      <c r="R232" s="71" t="s">
        <v>7</v>
      </c>
      <c r="S232" s="271" t="s">
        <v>7</v>
      </c>
      <c r="T232" s="71" t="s">
        <v>7</v>
      </c>
      <c r="U232" s="71" t="s">
        <v>7</v>
      </c>
      <c r="V232" s="84"/>
      <c r="W232" s="84"/>
      <c r="X232" s="84"/>
      <c r="Y232" s="84"/>
      <c r="Z232" s="84"/>
      <c r="AA232" s="84"/>
      <c r="AB232" s="84"/>
      <c r="AC232" s="84"/>
      <c r="AD232" s="84"/>
      <c r="AE232" s="84"/>
      <c r="AF232" s="84"/>
      <c r="AG232" s="88"/>
      <c r="AH232" s="24"/>
    </row>
    <row r="233" ht="12.75" customHeight="1">
      <c r="A233" s="46"/>
      <c r="B233" s="51" t="s">
        <v>51</v>
      </c>
      <c r="C233" s="71" t="s">
        <v>7</v>
      </c>
      <c r="D233" s="71" t="s">
        <v>7</v>
      </c>
      <c r="E233" s="50">
        <f>E232*0.79</f>
        <v>1991.940642</v>
      </c>
      <c r="F233" s="71" t="s">
        <v>7</v>
      </c>
      <c r="G233" s="71" t="s">
        <v>7</v>
      </c>
      <c r="H233" s="71" t="s">
        <v>7</v>
      </c>
      <c r="I233" s="71" t="s">
        <v>7</v>
      </c>
      <c r="J233" s="71" t="s">
        <v>7</v>
      </c>
      <c r="K233" s="71" t="s">
        <v>7</v>
      </c>
      <c r="L233" s="71" t="s">
        <v>7</v>
      </c>
      <c r="M233" s="71" t="s">
        <v>7</v>
      </c>
      <c r="N233" s="71" t="s">
        <v>7</v>
      </c>
      <c r="O233" s="71" t="s">
        <v>7</v>
      </c>
      <c r="P233" s="50">
        <f>138890000/325851</f>
        <v>426.237759</v>
      </c>
      <c r="Q233" s="71" t="s">
        <v>7</v>
      </c>
      <c r="R233" s="71" t="s">
        <v>7</v>
      </c>
      <c r="S233" s="271" t="s">
        <v>7</v>
      </c>
      <c r="T233" s="71" t="s">
        <v>7</v>
      </c>
      <c r="U233" s="71" t="s">
        <v>7</v>
      </c>
      <c r="V233" s="84"/>
      <c r="W233" s="84"/>
      <c r="X233" s="84"/>
      <c r="Y233" s="84"/>
      <c r="Z233" s="84"/>
      <c r="AA233" s="84"/>
      <c r="AB233" s="84"/>
      <c r="AC233" s="84"/>
      <c r="AD233" s="84"/>
      <c r="AE233" s="84"/>
      <c r="AF233" s="84"/>
      <c r="AG233" s="88"/>
      <c r="AH233" s="24"/>
    </row>
    <row r="234" ht="12.75" customHeight="1">
      <c r="A234" s="46"/>
      <c r="B234" s="51" t="s">
        <v>52</v>
      </c>
      <c r="C234" s="71" t="s">
        <v>7</v>
      </c>
      <c r="D234" s="71" t="s">
        <v>7</v>
      </c>
      <c r="E234" s="50">
        <f>E232*0.21</f>
        <v>529.5032085</v>
      </c>
      <c r="F234" s="71" t="s">
        <v>7</v>
      </c>
      <c r="G234" s="71" t="s">
        <v>7</v>
      </c>
      <c r="H234" s="71" t="s">
        <v>7</v>
      </c>
      <c r="I234" s="71" t="s">
        <v>7</v>
      </c>
      <c r="J234" s="71" t="s">
        <v>7</v>
      </c>
      <c r="K234" s="71" t="s">
        <v>7</v>
      </c>
      <c r="L234" s="71" t="s">
        <v>7</v>
      </c>
      <c r="M234" s="71" t="s">
        <v>7</v>
      </c>
      <c r="N234" s="71" t="s">
        <v>7</v>
      </c>
      <c r="O234" s="71" t="s">
        <v>7</v>
      </c>
      <c r="P234" s="50">
        <f>(724960000+31480000)/325851</f>
        <v>2321.429119</v>
      </c>
      <c r="Q234" s="71" t="s">
        <v>7</v>
      </c>
      <c r="R234" s="71" t="s">
        <v>7</v>
      </c>
      <c r="S234" s="271" t="s">
        <v>7</v>
      </c>
      <c r="T234" s="71" t="s">
        <v>7</v>
      </c>
      <c r="U234" s="71" t="s">
        <v>7</v>
      </c>
      <c r="V234" s="84"/>
      <c r="W234" s="84"/>
      <c r="X234" s="84"/>
      <c r="Y234" s="84"/>
      <c r="Z234" s="84"/>
      <c r="AA234" s="84"/>
      <c r="AB234" s="84"/>
      <c r="AC234" s="84"/>
      <c r="AD234" s="84"/>
      <c r="AE234" s="84"/>
      <c r="AF234" s="84"/>
      <c r="AG234" s="88"/>
      <c r="AH234" s="24"/>
    </row>
    <row r="235" ht="12.75" customHeight="1">
      <c r="A235" s="46"/>
      <c r="B235" s="274" t="s">
        <v>147</v>
      </c>
      <c r="C235" s="71" t="s">
        <v>7</v>
      </c>
      <c r="D235" s="71" t="s">
        <v>7</v>
      </c>
      <c r="E235" s="50">
        <f>469000*365/325851</f>
        <v>525.3474748</v>
      </c>
      <c r="F235" s="71" t="s">
        <v>7</v>
      </c>
      <c r="G235" s="71" t="s">
        <v>7</v>
      </c>
      <c r="H235" s="71" t="s">
        <v>7</v>
      </c>
      <c r="I235" s="71" t="s">
        <v>7</v>
      </c>
      <c r="J235" s="71" t="s">
        <v>7</v>
      </c>
      <c r="K235" s="71" t="s">
        <v>7</v>
      </c>
      <c r="L235" s="71" t="s">
        <v>7</v>
      </c>
      <c r="M235" s="71" t="s">
        <v>7</v>
      </c>
      <c r="N235" s="71" t="s">
        <v>7</v>
      </c>
      <c r="O235" s="71" t="s">
        <v>7</v>
      </c>
      <c r="P235" s="50">
        <f>119470000/325851</f>
        <v>366.6399673</v>
      </c>
      <c r="Q235" s="71" t="s">
        <v>7</v>
      </c>
      <c r="R235" s="71" t="s">
        <v>7</v>
      </c>
      <c r="S235" s="271" t="s">
        <v>7</v>
      </c>
      <c r="T235" s="71" t="s">
        <v>7</v>
      </c>
      <c r="U235" s="71" t="s">
        <v>7</v>
      </c>
      <c r="V235" s="84"/>
      <c r="W235" s="84"/>
      <c r="X235" s="84"/>
      <c r="Y235" s="84"/>
      <c r="Z235" s="84"/>
      <c r="AA235" s="84"/>
      <c r="AB235" s="84"/>
      <c r="AC235" s="84"/>
      <c r="AD235" s="84"/>
      <c r="AE235" s="84"/>
      <c r="AF235" s="84"/>
      <c r="AG235" s="88"/>
      <c r="AH235" s="24"/>
    </row>
    <row r="236" ht="12.75" customHeight="1">
      <c r="A236" s="46"/>
      <c r="B236" s="274" t="s">
        <v>148</v>
      </c>
      <c r="C236" s="71" t="s">
        <v>7</v>
      </c>
      <c r="D236" s="71" t="s">
        <v>7</v>
      </c>
      <c r="E236" s="50">
        <f>(E232-E235)*0.79</f>
        <v>1576.916137</v>
      </c>
      <c r="F236" s="71" t="s">
        <v>7</v>
      </c>
      <c r="G236" s="71" t="s">
        <v>7</v>
      </c>
      <c r="H236" s="71" t="s">
        <v>7</v>
      </c>
      <c r="I236" s="71" t="s">
        <v>7</v>
      </c>
      <c r="J236" s="71" t="s">
        <v>7</v>
      </c>
      <c r="K236" s="71" t="s">
        <v>7</v>
      </c>
      <c r="L236" s="71" t="s">
        <v>7</v>
      </c>
      <c r="M236" s="71" t="s">
        <v>7</v>
      </c>
      <c r="N236" s="71" t="s">
        <v>7</v>
      </c>
      <c r="O236" s="71" t="s">
        <v>7</v>
      </c>
      <c r="P236" s="50">
        <f>(P232-P235)*P233/P232</f>
        <v>369.3619422</v>
      </c>
      <c r="Q236" s="71" t="s">
        <v>7</v>
      </c>
      <c r="R236" s="71" t="s">
        <v>7</v>
      </c>
      <c r="S236" s="271" t="s">
        <v>7</v>
      </c>
      <c r="T236" s="71" t="s">
        <v>7</v>
      </c>
      <c r="U236" s="71" t="s">
        <v>7</v>
      </c>
      <c r="V236" s="84"/>
      <c r="W236" s="84"/>
      <c r="X236" s="84"/>
      <c r="Y236" s="84"/>
      <c r="Z236" s="84"/>
      <c r="AA236" s="84"/>
      <c r="AB236" s="84"/>
      <c r="AC236" s="84"/>
      <c r="AD236" s="84"/>
      <c r="AE236" s="84"/>
      <c r="AF236" s="84"/>
      <c r="AG236" s="88"/>
      <c r="AH236" s="24"/>
    </row>
    <row r="237" ht="12.75" customHeight="1">
      <c r="A237" s="52"/>
      <c r="B237" s="275" t="s">
        <v>166</v>
      </c>
      <c r="C237" s="256" t="s">
        <v>7</v>
      </c>
      <c r="D237" s="256" t="s">
        <v>7</v>
      </c>
      <c r="E237" s="56">
        <f>(E232-E235)*0.21</f>
        <v>419.1802388</v>
      </c>
      <c r="F237" s="256" t="s">
        <v>7</v>
      </c>
      <c r="G237" s="256" t="s">
        <v>7</v>
      </c>
      <c r="H237" s="256" t="s">
        <v>7</v>
      </c>
      <c r="I237" s="256" t="s">
        <v>7</v>
      </c>
      <c r="J237" s="256" t="s">
        <v>7</v>
      </c>
      <c r="K237" s="256" t="s">
        <v>7</v>
      </c>
      <c r="L237" s="256" t="s">
        <v>7</v>
      </c>
      <c r="M237" s="256" t="s">
        <v>7</v>
      </c>
      <c r="N237" s="256" t="s">
        <v>7</v>
      </c>
      <c r="O237" s="256" t="s">
        <v>7</v>
      </c>
      <c r="P237" s="56">
        <f>(P232-P235)*P234/P232</f>
        <v>2011.664969</v>
      </c>
      <c r="Q237" s="256" t="s">
        <v>7</v>
      </c>
      <c r="R237" s="256" t="s">
        <v>7</v>
      </c>
      <c r="S237" s="276" t="s">
        <v>7</v>
      </c>
      <c r="T237" s="256" t="s">
        <v>7</v>
      </c>
      <c r="U237" s="256" t="s">
        <v>7</v>
      </c>
      <c r="V237" s="98"/>
      <c r="W237" s="98"/>
      <c r="X237" s="98"/>
      <c r="Y237" s="98"/>
      <c r="Z237" s="98"/>
      <c r="AA237" s="98"/>
      <c r="AB237" s="98"/>
      <c r="AC237" s="98"/>
      <c r="AD237" s="98"/>
      <c r="AE237" s="98"/>
      <c r="AF237" s="98"/>
      <c r="AG237" s="113"/>
      <c r="AH237" s="24"/>
    </row>
    <row r="238" ht="12.75" customHeight="1">
      <c r="A238" s="59" t="s">
        <v>44</v>
      </c>
      <c r="B238" s="60"/>
      <c r="C238" s="277"/>
      <c r="D238" s="65"/>
      <c r="E238" s="278" t="s">
        <v>7</v>
      </c>
      <c r="F238" s="65"/>
      <c r="G238" s="65"/>
      <c r="H238" s="65"/>
      <c r="I238" s="65"/>
      <c r="J238" s="65"/>
      <c r="K238" s="65"/>
      <c r="L238" s="65"/>
      <c r="M238" s="65"/>
      <c r="N238" s="65"/>
      <c r="O238" s="65"/>
      <c r="P238" s="278"/>
      <c r="Q238" s="65"/>
      <c r="R238" s="65"/>
      <c r="S238" s="65"/>
      <c r="T238" s="65"/>
      <c r="U238" s="65"/>
      <c r="V238" s="65"/>
      <c r="W238" s="65"/>
      <c r="X238" s="65"/>
      <c r="Y238" s="65"/>
      <c r="Z238" s="65"/>
      <c r="AA238" s="65"/>
      <c r="AB238" s="65"/>
      <c r="AC238" s="65"/>
      <c r="AD238" s="65"/>
      <c r="AE238" s="65"/>
      <c r="AF238" s="65"/>
      <c r="AG238" s="69"/>
      <c r="AH238" s="24"/>
    </row>
    <row r="239" ht="12.75" customHeight="1">
      <c r="A239" s="46" t="s">
        <v>48</v>
      </c>
      <c r="B239" s="47"/>
      <c r="C239" s="279" t="s">
        <v>7</v>
      </c>
      <c r="D239" s="49" t="s">
        <v>7</v>
      </c>
      <c r="E239" s="50">
        <f>SUM(E135,E138,E141,E144,E147,E150,E153,E156,E159,E162,E165,E168,E171,E174,E177,E180,E183,E206,E212,E218,E224,E230,E236)</f>
        <v>19933.30404</v>
      </c>
      <c r="F239" s="49" t="s">
        <v>7</v>
      </c>
      <c r="G239" s="49" t="s">
        <v>7</v>
      </c>
      <c r="H239" s="49" t="s">
        <v>7</v>
      </c>
      <c r="I239" s="49" t="s">
        <v>7</v>
      </c>
      <c r="J239" s="49" t="s">
        <v>7</v>
      </c>
      <c r="K239" s="49" t="s">
        <v>7</v>
      </c>
      <c r="L239" s="49" t="s">
        <v>7</v>
      </c>
      <c r="M239" s="49" t="s">
        <v>7</v>
      </c>
      <c r="N239" s="49" t="s">
        <v>7</v>
      </c>
      <c r="O239" s="49" t="s">
        <v>7</v>
      </c>
      <c r="P239" s="50">
        <f>SUM(P135,P138,P141,P144,P147,P150,P153,P156,P159,P162,P165,P168,P171,P174,P177,P180,P183,P206,P212,P218,P224,P230,P236)</f>
        <v>11842.39468</v>
      </c>
      <c r="Q239" s="49" t="s">
        <v>7</v>
      </c>
      <c r="R239" s="49" t="s">
        <v>7</v>
      </c>
      <c r="S239" s="49" t="s">
        <v>7</v>
      </c>
      <c r="T239" s="49" t="s">
        <v>7</v>
      </c>
      <c r="U239" s="49" t="s">
        <v>7</v>
      </c>
      <c r="V239" s="49"/>
      <c r="W239" s="49"/>
      <c r="X239" s="49"/>
      <c r="Y239" s="49"/>
      <c r="Z239" s="49"/>
      <c r="AA239" s="49"/>
      <c r="AB239" s="49"/>
      <c r="AC239" s="49"/>
      <c r="AD239" s="49"/>
      <c r="AE239" s="49"/>
      <c r="AF239" s="49"/>
      <c r="AG239" s="51"/>
      <c r="AH239" s="24"/>
    </row>
    <row r="240" ht="12.75" customHeight="1">
      <c r="A240" s="74" t="s">
        <v>49</v>
      </c>
      <c r="B240" s="75"/>
      <c r="C240" s="280" t="s">
        <v>7</v>
      </c>
      <c r="D240" s="77" t="s">
        <v>7</v>
      </c>
      <c r="E240" s="78">
        <f>SUM(E186,E189,E192,E195,E198,E201,E207,E213,E219,E225,E231,E237)</f>
        <v>10709.83652</v>
      </c>
      <c r="F240" s="77" t="s">
        <v>7</v>
      </c>
      <c r="G240" s="77" t="s">
        <v>7</v>
      </c>
      <c r="H240" s="77" t="s">
        <v>7</v>
      </c>
      <c r="I240" s="77" t="s">
        <v>7</v>
      </c>
      <c r="J240" s="77" t="s">
        <v>7</v>
      </c>
      <c r="K240" s="77" t="s">
        <v>7</v>
      </c>
      <c r="L240" s="77" t="s">
        <v>7</v>
      </c>
      <c r="M240" s="77" t="s">
        <v>7</v>
      </c>
      <c r="N240" s="77" t="s">
        <v>7</v>
      </c>
      <c r="O240" s="77" t="s">
        <v>7</v>
      </c>
      <c r="P240" s="78">
        <f>SUM(P186,P189,P192,P195,P198,P201,P207,P213,P219,P225,P231,P237)</f>
        <v>13605.30995</v>
      </c>
      <c r="Q240" s="77" t="s">
        <v>7</v>
      </c>
      <c r="R240" s="77" t="s">
        <v>7</v>
      </c>
      <c r="S240" s="77" t="s">
        <v>7</v>
      </c>
      <c r="T240" s="77" t="s">
        <v>7</v>
      </c>
      <c r="U240" s="77" t="s">
        <v>7</v>
      </c>
      <c r="V240" s="77"/>
      <c r="W240" s="77"/>
      <c r="X240" s="77"/>
      <c r="Y240" s="77"/>
      <c r="Z240" s="77"/>
      <c r="AA240" s="77"/>
      <c r="AB240" s="77"/>
      <c r="AC240" s="77"/>
      <c r="AD240" s="77"/>
      <c r="AE240" s="77"/>
      <c r="AF240" s="77"/>
      <c r="AG240" s="81"/>
      <c r="AH240" s="24"/>
    </row>
    <row r="241" ht="12.75" customHeight="1">
      <c r="A241" s="164" t="s">
        <v>50</v>
      </c>
      <c r="B241" s="170"/>
      <c r="C241" s="197">
        <f t="shared" ref="C241:AG241" si="34">SUM(C244:C273)</f>
        <v>174508</v>
      </c>
      <c r="D241" s="197">
        <f t="shared" si="34"/>
        <v>175104</v>
      </c>
      <c r="E241" s="197">
        <f t="shared" si="34"/>
        <v>176178</v>
      </c>
      <c r="F241" s="197">
        <f t="shared" si="34"/>
        <v>177468</v>
      </c>
      <c r="G241" s="197">
        <f t="shared" si="34"/>
        <v>179408</v>
      </c>
      <c r="H241" s="197">
        <f t="shared" si="34"/>
        <v>180200</v>
      </c>
      <c r="I241" s="197">
        <f t="shared" si="34"/>
        <v>181955</v>
      </c>
      <c r="J241" s="197">
        <f t="shared" si="34"/>
        <v>184107</v>
      </c>
      <c r="K241" s="197">
        <f t="shared" si="34"/>
        <v>187100</v>
      </c>
      <c r="L241" s="197">
        <f t="shared" si="34"/>
        <v>190679</v>
      </c>
      <c r="M241" s="197">
        <f t="shared" si="34"/>
        <v>192872</v>
      </c>
      <c r="N241" s="197">
        <f t="shared" si="34"/>
        <v>194669</v>
      </c>
      <c r="O241" s="197">
        <f t="shared" si="34"/>
        <v>198318</v>
      </c>
      <c r="P241" s="197">
        <f t="shared" si="34"/>
        <v>201671</v>
      </c>
      <c r="Q241" s="197">
        <f t="shared" si="34"/>
        <v>202369</v>
      </c>
      <c r="R241" s="197">
        <f t="shared" si="34"/>
        <v>203672</v>
      </c>
      <c r="S241" s="197">
        <f t="shared" si="34"/>
        <v>202907</v>
      </c>
      <c r="T241" s="197">
        <f t="shared" si="34"/>
        <v>201428</v>
      </c>
      <c r="U241" s="197">
        <f t="shared" si="34"/>
        <v>201213</v>
      </c>
      <c r="V241" s="197">
        <f t="shared" si="34"/>
        <v>0</v>
      </c>
      <c r="W241" s="197">
        <f t="shared" si="34"/>
        <v>0</v>
      </c>
      <c r="X241" s="197">
        <f t="shared" si="34"/>
        <v>0</v>
      </c>
      <c r="Y241" s="197">
        <f t="shared" si="34"/>
        <v>0</v>
      </c>
      <c r="Z241" s="197">
        <f t="shared" si="34"/>
        <v>0</v>
      </c>
      <c r="AA241" s="197">
        <f t="shared" si="34"/>
        <v>0</v>
      </c>
      <c r="AB241" s="197">
        <f t="shared" si="34"/>
        <v>0</v>
      </c>
      <c r="AC241" s="197">
        <f t="shared" si="34"/>
        <v>0</v>
      </c>
      <c r="AD241" s="197">
        <f t="shared" si="34"/>
        <v>0</v>
      </c>
      <c r="AE241" s="197">
        <f t="shared" si="34"/>
        <v>0</v>
      </c>
      <c r="AF241" s="197">
        <f t="shared" si="34"/>
        <v>0</v>
      </c>
      <c r="AG241" s="199">
        <f t="shared" si="34"/>
        <v>0</v>
      </c>
      <c r="AH241" s="24"/>
    </row>
    <row r="242" ht="12.75" customHeight="1">
      <c r="A242" s="281"/>
      <c r="B242" s="282" t="s">
        <v>48</v>
      </c>
      <c r="C242" s="197">
        <f t="shared" ref="C242:AG242" si="35">SUM(C244:C261,C268:C273)</f>
        <v>168586</v>
      </c>
      <c r="D242" s="197">
        <f t="shared" si="35"/>
        <v>169224</v>
      </c>
      <c r="E242" s="197">
        <f t="shared" si="35"/>
        <v>170289</v>
      </c>
      <c r="F242" s="197">
        <f t="shared" si="35"/>
        <v>171577</v>
      </c>
      <c r="G242" s="197">
        <f t="shared" si="35"/>
        <v>173504</v>
      </c>
      <c r="H242" s="197">
        <f t="shared" si="35"/>
        <v>174313</v>
      </c>
      <c r="I242" s="197">
        <f t="shared" si="35"/>
        <v>176025</v>
      </c>
      <c r="J242" s="197">
        <f t="shared" si="35"/>
        <v>178062</v>
      </c>
      <c r="K242" s="197">
        <f t="shared" si="35"/>
        <v>180972</v>
      </c>
      <c r="L242" s="197">
        <f t="shared" si="35"/>
        <v>184458</v>
      </c>
      <c r="M242" s="197">
        <f t="shared" si="35"/>
        <v>186600</v>
      </c>
      <c r="N242" s="197">
        <f t="shared" si="35"/>
        <v>188256</v>
      </c>
      <c r="O242" s="197">
        <f t="shared" si="35"/>
        <v>191869</v>
      </c>
      <c r="P242" s="197">
        <f t="shared" si="35"/>
        <v>195148</v>
      </c>
      <c r="Q242" s="197">
        <f t="shared" si="35"/>
        <v>195847</v>
      </c>
      <c r="R242" s="197">
        <f t="shared" si="35"/>
        <v>197096</v>
      </c>
      <c r="S242" s="197">
        <f t="shared" si="35"/>
        <v>196279</v>
      </c>
      <c r="T242" s="197">
        <f t="shared" si="35"/>
        <v>194938</v>
      </c>
      <c r="U242" s="197">
        <f t="shared" si="35"/>
        <v>194806</v>
      </c>
      <c r="V242" s="197">
        <f t="shared" si="35"/>
        <v>0</v>
      </c>
      <c r="W242" s="197">
        <f t="shared" si="35"/>
        <v>0</v>
      </c>
      <c r="X242" s="197">
        <f t="shared" si="35"/>
        <v>0</v>
      </c>
      <c r="Y242" s="197">
        <f t="shared" si="35"/>
        <v>0</v>
      </c>
      <c r="Z242" s="197">
        <f t="shared" si="35"/>
        <v>0</v>
      </c>
      <c r="AA242" s="197">
        <f t="shared" si="35"/>
        <v>0</v>
      </c>
      <c r="AB242" s="197">
        <f t="shared" si="35"/>
        <v>0</v>
      </c>
      <c r="AC242" s="197">
        <f t="shared" si="35"/>
        <v>0</v>
      </c>
      <c r="AD242" s="197">
        <f t="shared" si="35"/>
        <v>0</v>
      </c>
      <c r="AE242" s="197">
        <f t="shared" si="35"/>
        <v>0</v>
      </c>
      <c r="AF242" s="197">
        <f t="shared" si="35"/>
        <v>0</v>
      </c>
      <c r="AG242" s="199">
        <f t="shared" si="35"/>
        <v>0</v>
      </c>
      <c r="AH242" s="24"/>
    </row>
    <row r="243" ht="12.75" customHeight="1">
      <c r="A243" s="281"/>
      <c r="B243" s="282" t="s">
        <v>49</v>
      </c>
      <c r="C243" s="197">
        <f t="shared" ref="C243:AG243" si="36">SUM(C262:C267,C268:C273)</f>
        <v>154258</v>
      </c>
      <c r="D243" s="197">
        <f t="shared" si="36"/>
        <v>154889</v>
      </c>
      <c r="E243" s="197">
        <f t="shared" si="36"/>
        <v>155941</v>
      </c>
      <c r="F243" s="197">
        <f t="shared" si="36"/>
        <v>157237</v>
      </c>
      <c r="G243" s="197">
        <f t="shared" si="36"/>
        <v>159018</v>
      </c>
      <c r="H243" s="197">
        <f t="shared" si="36"/>
        <v>159769</v>
      </c>
      <c r="I243" s="197">
        <f t="shared" si="36"/>
        <v>161368</v>
      </c>
      <c r="J243" s="197">
        <f t="shared" si="36"/>
        <v>163303</v>
      </c>
      <c r="K243" s="197">
        <f t="shared" si="36"/>
        <v>166068</v>
      </c>
      <c r="L243" s="197">
        <f t="shared" si="36"/>
        <v>169381</v>
      </c>
      <c r="M243" s="197">
        <f t="shared" si="36"/>
        <v>171144</v>
      </c>
      <c r="N243" s="197">
        <f t="shared" si="36"/>
        <v>172874</v>
      </c>
      <c r="O243" s="197">
        <f t="shared" si="36"/>
        <v>176334</v>
      </c>
      <c r="P243" s="197">
        <f t="shared" si="36"/>
        <v>179503</v>
      </c>
      <c r="Q243" s="197">
        <f t="shared" si="36"/>
        <v>180142</v>
      </c>
      <c r="R243" s="197">
        <f t="shared" si="36"/>
        <v>181273</v>
      </c>
      <c r="S243" s="197">
        <f t="shared" si="36"/>
        <v>180698</v>
      </c>
      <c r="T243" s="197">
        <f t="shared" si="36"/>
        <v>179341</v>
      </c>
      <c r="U243" s="197">
        <f t="shared" si="36"/>
        <v>179144</v>
      </c>
      <c r="V243" s="197">
        <f t="shared" si="36"/>
        <v>0</v>
      </c>
      <c r="W243" s="197">
        <f t="shared" si="36"/>
        <v>0</v>
      </c>
      <c r="X243" s="197">
        <f t="shared" si="36"/>
        <v>0</v>
      </c>
      <c r="Y243" s="197">
        <f t="shared" si="36"/>
        <v>0</v>
      </c>
      <c r="Z243" s="197">
        <f t="shared" si="36"/>
        <v>0</v>
      </c>
      <c r="AA243" s="197">
        <f t="shared" si="36"/>
        <v>0</v>
      </c>
      <c r="AB243" s="197">
        <f t="shared" si="36"/>
        <v>0</v>
      </c>
      <c r="AC243" s="197">
        <f t="shared" si="36"/>
        <v>0</v>
      </c>
      <c r="AD243" s="197">
        <f t="shared" si="36"/>
        <v>0</v>
      </c>
      <c r="AE243" s="197">
        <f t="shared" si="36"/>
        <v>0</v>
      </c>
      <c r="AF243" s="197">
        <f t="shared" si="36"/>
        <v>0</v>
      </c>
      <c r="AG243" s="199">
        <f t="shared" si="36"/>
        <v>0</v>
      </c>
      <c r="AH243" s="24"/>
    </row>
    <row r="244" ht="12.75" customHeight="1">
      <c r="A244" s="46" t="s">
        <v>146</v>
      </c>
      <c r="B244" s="51" t="s">
        <v>51</v>
      </c>
      <c r="C244" s="84">
        <f>VLOOKUP($A244,'US Census Population Estimates'!$A$20:$AG$266,C$131,FALSE)</f>
        <v>274</v>
      </c>
      <c r="D244" s="84">
        <f>VLOOKUP($A244,'US Census Population Estimates'!$A$20:$AG$266,D$131,FALSE)</f>
        <v>277</v>
      </c>
      <c r="E244" s="84">
        <f>VLOOKUP($A244,'US Census Population Estimates'!$A$20:$AG$266,E$131,FALSE)</f>
        <v>278</v>
      </c>
      <c r="F244" s="84">
        <f>VLOOKUP($A244,'US Census Population Estimates'!$A$20:$AG$266,F$131,FALSE)</f>
        <v>281</v>
      </c>
      <c r="G244" s="84">
        <f>VLOOKUP($A244,'US Census Population Estimates'!$A$20:$AG$266,G$131,FALSE)</f>
        <v>285</v>
      </c>
      <c r="H244" s="84">
        <f>VLOOKUP($A244,'US Census Population Estimates'!$A$20:$AG$266,H$131,FALSE)</f>
        <v>285</v>
      </c>
      <c r="I244" s="84">
        <f>VLOOKUP($A244,'US Census Population Estimates'!$A$20:$AG$266,I$131,FALSE)</f>
        <v>288</v>
      </c>
      <c r="J244" s="84">
        <f>VLOOKUP($A244,'US Census Population Estimates'!$A$20:$AG$266,J$131,FALSE)</f>
        <v>290</v>
      </c>
      <c r="K244" s="84">
        <f>VLOOKUP($A244,'US Census Population Estimates'!$A$20:$AG$266,K$131,FALSE)</f>
        <v>294</v>
      </c>
      <c r="L244" s="84">
        <f>VLOOKUP($A244,'US Census Population Estimates'!$A$20:$AG$266,L$131,FALSE)</f>
        <v>297</v>
      </c>
      <c r="M244" s="84">
        <f>VLOOKUP($A244,'US Census Population Estimates'!$A$20:$AG$266,M$131,FALSE)</f>
        <v>302</v>
      </c>
      <c r="N244" s="84">
        <f>VLOOKUP($A244,'US Census Population Estimates'!$A$20:$AG$266,N$131,FALSE)</f>
        <v>301</v>
      </c>
      <c r="O244" s="84">
        <f>VLOOKUP($A244,'US Census Population Estimates'!$A$20:$AG$266,O$131,FALSE)</f>
        <v>305</v>
      </c>
      <c r="P244" s="84">
        <f>VLOOKUP($A244,'US Census Population Estimates'!$A$20:$AG$266,P$131,FALSE)</f>
        <v>311</v>
      </c>
      <c r="Q244" s="84">
        <f>VLOOKUP($A244,'US Census Population Estimates'!$A$20:$AG$266,Q$131,FALSE)</f>
        <v>309</v>
      </c>
      <c r="R244" s="84">
        <f>VLOOKUP($A244,'US Census Population Estimates'!$A$20:$AG$266,R$131,FALSE)</f>
        <v>312</v>
      </c>
      <c r="S244" s="84">
        <f>VLOOKUP($A244,'US Census Population Estimates'!$A$20:$AG$266,S$131,FALSE)</f>
        <v>314</v>
      </c>
      <c r="T244" s="84">
        <f>VLOOKUP($A244,'US Census Population Estimates'!$A$20:$AG$266,T$131,FALSE)</f>
        <v>311</v>
      </c>
      <c r="U244" s="84">
        <f>VLOOKUP($A244,'US Census Population Estimates'!$A$20:$AG$266,U$131,FALSE)</f>
        <v>309</v>
      </c>
      <c r="V244" s="84" t="str">
        <f>VLOOKUP($A244,'US Census Population Estimates'!$A$20:$AG$266,V$131,FALSE)</f>
        <v/>
      </c>
      <c r="W244" s="84" t="str">
        <f>VLOOKUP($A244,'US Census Population Estimates'!$A$20:$AG$266,W$131,FALSE)</f>
        <v/>
      </c>
      <c r="X244" s="84" t="str">
        <f>VLOOKUP($A244,'US Census Population Estimates'!$A$20:$AG$266,X$131,FALSE)</f>
        <v/>
      </c>
      <c r="Y244" s="84" t="str">
        <f>VLOOKUP($A244,'US Census Population Estimates'!$A$20:$AG$266,Y$131,FALSE)</f>
        <v/>
      </c>
      <c r="Z244" s="84" t="str">
        <f>VLOOKUP($A244,'US Census Population Estimates'!$A$20:$AG$266,Z$131,FALSE)</f>
        <v/>
      </c>
      <c r="AA244" s="84" t="str">
        <f>VLOOKUP($A244,'US Census Population Estimates'!$A$20:$AG$266,AA$131,FALSE)</f>
        <v/>
      </c>
      <c r="AB244" s="84" t="str">
        <f>VLOOKUP($A244,'US Census Population Estimates'!$A$20:$AG$266,AB$131,FALSE)</f>
        <v/>
      </c>
      <c r="AC244" s="84" t="str">
        <f>VLOOKUP($A244,'US Census Population Estimates'!$A$20:$AG$266,AC$131,FALSE)</f>
        <v/>
      </c>
      <c r="AD244" s="84" t="str">
        <f>VLOOKUP($A244,'US Census Population Estimates'!$A$20:$AG$266,AD$131,FALSE)</f>
        <v/>
      </c>
      <c r="AE244" s="84" t="str">
        <f>VLOOKUP($A244,'US Census Population Estimates'!$A$20:$AG$266,AE$131,FALSE)</f>
        <v/>
      </c>
      <c r="AF244" s="84" t="str">
        <f>VLOOKUP($A244,'US Census Population Estimates'!$A$20:$AG$266,AF$131,FALSE)</f>
        <v/>
      </c>
      <c r="AG244" s="88" t="str">
        <f>VLOOKUP($A244,'US Census Population Estimates'!$A$20:$AG$266,AG$131,FALSE)</f>
        <v/>
      </c>
      <c r="AH244" s="24"/>
    </row>
    <row r="245" ht="12.75" customHeight="1">
      <c r="A245" s="46" t="s">
        <v>149</v>
      </c>
      <c r="B245" s="51" t="s">
        <v>51</v>
      </c>
      <c r="C245" s="84">
        <f>VLOOKUP($A245,'US Census Population Estimates'!$A$20:$AG$266,C$131,FALSE)</f>
        <v>119</v>
      </c>
      <c r="D245" s="84">
        <f>VLOOKUP($A245,'US Census Population Estimates'!$A$20:$AG$266,D$131,FALSE)</f>
        <v>125</v>
      </c>
      <c r="E245" s="84">
        <f>VLOOKUP($A245,'US Census Population Estimates'!$A$20:$AG$266,E$131,FALSE)</f>
        <v>131</v>
      </c>
      <c r="F245" s="84">
        <f>VLOOKUP($A245,'US Census Population Estimates'!$A$20:$AG$266,F$131,FALSE)</f>
        <v>137</v>
      </c>
      <c r="G245" s="84">
        <f>VLOOKUP($A245,'US Census Population Estimates'!$A$20:$AG$266,G$131,FALSE)</f>
        <v>144</v>
      </c>
      <c r="H245" s="84">
        <f>VLOOKUP($A245,'US Census Population Estimates'!$A$20:$AG$266,H$131,FALSE)</f>
        <v>149</v>
      </c>
      <c r="I245" s="84">
        <f>VLOOKUP($A245,'US Census Population Estimates'!$A$20:$AG$266,I$131,FALSE)</f>
        <v>156</v>
      </c>
      <c r="J245" s="84">
        <f>VLOOKUP($A245,'US Census Population Estimates'!$A$20:$AG$266,J$131,FALSE)</f>
        <v>161</v>
      </c>
      <c r="K245" s="84">
        <f>VLOOKUP($A245,'US Census Population Estimates'!$A$20:$AG$266,K$131,FALSE)</f>
        <v>168</v>
      </c>
      <c r="L245" s="84">
        <f>VLOOKUP($A245,'US Census Population Estimates'!$A$20:$AG$266,L$131,FALSE)</f>
        <v>175</v>
      </c>
      <c r="M245" s="84">
        <f>VLOOKUP($A245,'US Census Population Estimates'!$A$20:$AG$266,M$131,FALSE)</f>
        <v>181</v>
      </c>
      <c r="N245" s="84">
        <f>VLOOKUP($A245,'US Census Population Estimates'!$A$20:$AG$266,N$131,FALSE)</f>
        <v>181</v>
      </c>
      <c r="O245" s="84">
        <f>VLOOKUP($A245,'US Census Population Estimates'!$A$20:$AG$266,O$131,FALSE)</f>
        <v>184</v>
      </c>
      <c r="P245" s="84">
        <f>VLOOKUP($A245,'US Census Population Estimates'!$A$20:$AG$266,P$131,FALSE)</f>
        <v>184</v>
      </c>
      <c r="Q245" s="84">
        <f>VLOOKUP($A245,'US Census Population Estimates'!$A$20:$AG$266,Q$131,FALSE)</f>
        <v>182</v>
      </c>
      <c r="R245" s="84">
        <f>VLOOKUP($A245,'US Census Population Estimates'!$A$20:$AG$266,R$131,FALSE)</f>
        <v>187</v>
      </c>
      <c r="S245" s="84">
        <f>VLOOKUP($A245,'US Census Population Estimates'!$A$20:$AG$266,S$131,FALSE)</f>
        <v>197</v>
      </c>
      <c r="T245" s="84">
        <f>VLOOKUP($A245,'US Census Population Estimates'!$A$20:$AG$266,T$131,FALSE)</f>
        <v>204</v>
      </c>
      <c r="U245" s="84">
        <f>VLOOKUP($A245,'US Census Population Estimates'!$A$20:$AG$266,U$131,FALSE)</f>
        <v>208</v>
      </c>
      <c r="V245" s="84" t="str">
        <f>VLOOKUP($A245,'US Census Population Estimates'!$A$20:$AG$266,V$131,FALSE)</f>
        <v/>
      </c>
      <c r="W245" s="84" t="str">
        <f>VLOOKUP($A245,'US Census Population Estimates'!$A$20:$AG$266,W$131,FALSE)</f>
        <v/>
      </c>
      <c r="X245" s="84" t="str">
        <f>VLOOKUP($A245,'US Census Population Estimates'!$A$20:$AG$266,X$131,FALSE)</f>
        <v/>
      </c>
      <c r="Y245" s="84" t="str">
        <f>VLOOKUP($A245,'US Census Population Estimates'!$A$20:$AG$266,Y$131,FALSE)</f>
        <v/>
      </c>
      <c r="Z245" s="84" t="str">
        <f>VLOOKUP($A245,'US Census Population Estimates'!$A$20:$AG$266,Z$131,FALSE)</f>
        <v/>
      </c>
      <c r="AA245" s="84" t="str">
        <f>VLOOKUP($A245,'US Census Population Estimates'!$A$20:$AG$266,AA$131,FALSE)</f>
        <v/>
      </c>
      <c r="AB245" s="84" t="str">
        <f>VLOOKUP($A245,'US Census Population Estimates'!$A$20:$AG$266,AB$131,FALSE)</f>
        <v/>
      </c>
      <c r="AC245" s="84" t="str">
        <f>VLOOKUP($A245,'US Census Population Estimates'!$A$20:$AG$266,AC$131,FALSE)</f>
        <v/>
      </c>
      <c r="AD245" s="84" t="str">
        <f>VLOOKUP($A245,'US Census Population Estimates'!$A$20:$AG$266,AD$131,FALSE)</f>
        <v/>
      </c>
      <c r="AE245" s="84" t="str">
        <f>VLOOKUP($A245,'US Census Population Estimates'!$A$20:$AG$266,AE$131,FALSE)</f>
        <v/>
      </c>
      <c r="AF245" s="84" t="str">
        <f>VLOOKUP($A245,'US Census Population Estimates'!$A$20:$AG$266,AF$131,FALSE)</f>
        <v/>
      </c>
      <c r="AG245" s="88" t="str">
        <f>VLOOKUP($A245,'US Census Population Estimates'!$A$20:$AG$266,AG$131,FALSE)</f>
        <v/>
      </c>
      <c r="AH245" s="24"/>
    </row>
    <row r="246" ht="12.75" customHeight="1">
      <c r="A246" s="46" t="s">
        <v>150</v>
      </c>
      <c r="B246" s="51" t="s">
        <v>51</v>
      </c>
      <c r="C246" s="84">
        <f>VLOOKUP($A246,'US Census Population Estimates'!$A$20:$AG$266,C$131,FALSE)</f>
        <v>242</v>
      </c>
      <c r="D246" s="84">
        <f>VLOOKUP($A246,'US Census Population Estimates'!$A$20:$AG$266,D$131,FALSE)</f>
        <v>240</v>
      </c>
      <c r="E246" s="84">
        <f>VLOOKUP($A246,'US Census Population Estimates'!$A$20:$AG$266,E$131,FALSE)</f>
        <v>237</v>
      </c>
      <c r="F246" s="84">
        <f>VLOOKUP($A246,'US Census Population Estimates'!$A$20:$AG$266,F$131,FALSE)</f>
        <v>232</v>
      </c>
      <c r="G246" s="84">
        <f>VLOOKUP($A246,'US Census Population Estimates'!$A$20:$AG$266,G$131,FALSE)</f>
        <v>230</v>
      </c>
      <c r="H246" s="84">
        <f>VLOOKUP($A246,'US Census Population Estimates'!$A$20:$AG$266,H$131,FALSE)</f>
        <v>227</v>
      </c>
      <c r="I246" s="84">
        <f>VLOOKUP($A246,'US Census Population Estimates'!$A$20:$AG$266,I$131,FALSE)</f>
        <v>224</v>
      </c>
      <c r="J246" s="84">
        <f>VLOOKUP($A246,'US Census Population Estimates'!$A$20:$AG$266,J$131,FALSE)</f>
        <v>221</v>
      </c>
      <c r="K246" s="84">
        <f>VLOOKUP($A246,'US Census Population Estimates'!$A$20:$AG$266,K$131,FALSE)</f>
        <v>216</v>
      </c>
      <c r="L246" s="84">
        <f>VLOOKUP($A246,'US Census Population Estimates'!$A$20:$AG$266,L$131,FALSE)</f>
        <v>213</v>
      </c>
      <c r="M246" s="84">
        <f>VLOOKUP($A246,'US Census Population Estimates'!$A$20:$AG$266,M$131,FALSE)</f>
        <v>212</v>
      </c>
      <c r="N246" s="84">
        <f>VLOOKUP($A246,'US Census Population Estimates'!$A$20:$AG$266,N$131,FALSE)</f>
        <v>213</v>
      </c>
      <c r="O246" s="84">
        <f>VLOOKUP($A246,'US Census Population Estimates'!$A$20:$AG$266,O$131,FALSE)</f>
        <v>214</v>
      </c>
      <c r="P246" s="84">
        <f>VLOOKUP($A246,'US Census Population Estimates'!$A$20:$AG$266,P$131,FALSE)</f>
        <v>211</v>
      </c>
      <c r="Q246" s="84">
        <f>VLOOKUP($A246,'US Census Population Estimates'!$A$20:$AG$266,Q$131,FALSE)</f>
        <v>212</v>
      </c>
      <c r="R246" s="84">
        <f>VLOOKUP($A246,'US Census Population Estimates'!$A$20:$AG$266,R$131,FALSE)</f>
        <v>211</v>
      </c>
      <c r="S246" s="84">
        <f>VLOOKUP($A246,'US Census Population Estimates'!$A$20:$AG$266,S$131,FALSE)</f>
        <v>208</v>
      </c>
      <c r="T246" s="84">
        <f>VLOOKUP($A246,'US Census Population Estimates'!$A$20:$AG$266,T$131,FALSE)</f>
        <v>203</v>
      </c>
      <c r="U246" s="84">
        <f>VLOOKUP($A246,'US Census Population Estimates'!$A$20:$AG$266,U$131,FALSE)</f>
        <v>202</v>
      </c>
      <c r="V246" s="84" t="str">
        <f>VLOOKUP($A246,'US Census Population Estimates'!$A$20:$AG$266,V$131,FALSE)</f>
        <v/>
      </c>
      <c r="W246" s="84" t="str">
        <f>VLOOKUP($A246,'US Census Population Estimates'!$A$20:$AG$266,W$131,FALSE)</f>
        <v/>
      </c>
      <c r="X246" s="84" t="str">
        <f>VLOOKUP($A246,'US Census Population Estimates'!$A$20:$AG$266,X$131,FALSE)</f>
        <v/>
      </c>
      <c r="Y246" s="84" t="str">
        <f>VLOOKUP($A246,'US Census Population Estimates'!$A$20:$AG$266,Y$131,FALSE)</f>
        <v/>
      </c>
      <c r="Z246" s="84" t="str">
        <f>VLOOKUP($A246,'US Census Population Estimates'!$A$20:$AG$266,Z$131,FALSE)</f>
        <v/>
      </c>
      <c r="AA246" s="84" t="str">
        <f>VLOOKUP($A246,'US Census Population Estimates'!$A$20:$AG$266,AA$131,FALSE)</f>
        <v/>
      </c>
      <c r="AB246" s="84" t="str">
        <f>VLOOKUP($A246,'US Census Population Estimates'!$A$20:$AG$266,AB$131,FALSE)</f>
        <v/>
      </c>
      <c r="AC246" s="84" t="str">
        <f>VLOOKUP($A246,'US Census Population Estimates'!$A$20:$AG$266,AC$131,FALSE)</f>
        <v/>
      </c>
      <c r="AD246" s="84" t="str">
        <f>VLOOKUP($A246,'US Census Population Estimates'!$A$20:$AG$266,AD$131,FALSE)</f>
        <v/>
      </c>
      <c r="AE246" s="84" t="str">
        <f>VLOOKUP($A246,'US Census Population Estimates'!$A$20:$AG$266,AE$131,FALSE)</f>
        <v/>
      </c>
      <c r="AF246" s="84" t="str">
        <f>VLOOKUP($A246,'US Census Population Estimates'!$A$20:$AG$266,AF$131,FALSE)</f>
        <v/>
      </c>
      <c r="AG246" s="88" t="str">
        <f>VLOOKUP($A246,'US Census Population Estimates'!$A$20:$AG$266,AG$131,FALSE)</f>
        <v/>
      </c>
      <c r="AH246" s="24"/>
    </row>
    <row r="247" ht="12.75" customHeight="1">
      <c r="A247" s="46" t="s">
        <v>151</v>
      </c>
      <c r="B247" s="51" t="s">
        <v>51</v>
      </c>
      <c r="C247" s="84">
        <f>VLOOKUP($A247,'US Census Population Estimates'!$A$20:$AG$266,C$131,FALSE)</f>
        <v>192</v>
      </c>
      <c r="D247" s="84">
        <f>VLOOKUP($A247,'US Census Population Estimates'!$A$20:$AG$266,D$131,FALSE)</f>
        <v>190</v>
      </c>
      <c r="E247" s="84">
        <f>VLOOKUP($A247,'US Census Population Estimates'!$A$20:$AG$266,E$131,FALSE)</f>
        <v>189</v>
      </c>
      <c r="F247" s="84">
        <f>VLOOKUP($A247,'US Census Population Estimates'!$A$20:$AG$266,F$131,FALSE)</f>
        <v>188</v>
      </c>
      <c r="G247" s="84">
        <f>VLOOKUP($A247,'US Census Population Estimates'!$A$20:$AG$266,G$131,FALSE)</f>
        <v>187</v>
      </c>
      <c r="H247" s="84">
        <f>VLOOKUP($A247,'US Census Population Estimates'!$A$20:$AG$266,H$131,FALSE)</f>
        <v>184</v>
      </c>
      <c r="I247" s="84">
        <f>VLOOKUP($A247,'US Census Population Estimates'!$A$20:$AG$266,I$131,FALSE)</f>
        <v>185</v>
      </c>
      <c r="J247" s="84">
        <f>VLOOKUP($A247,'US Census Population Estimates'!$A$20:$AG$266,J$131,FALSE)</f>
        <v>189</v>
      </c>
      <c r="K247" s="84">
        <f>VLOOKUP($A247,'US Census Population Estimates'!$A$20:$AG$266,K$131,FALSE)</f>
        <v>191</v>
      </c>
      <c r="L247" s="84">
        <f>VLOOKUP($A247,'US Census Population Estimates'!$A$20:$AG$266,L$131,FALSE)</f>
        <v>193</v>
      </c>
      <c r="M247" s="84">
        <f>VLOOKUP($A247,'US Census Population Estimates'!$A$20:$AG$266,M$131,FALSE)</f>
        <v>190</v>
      </c>
      <c r="N247" s="84">
        <f>VLOOKUP($A247,'US Census Population Estimates'!$A$20:$AG$266,N$131,FALSE)</f>
        <v>192</v>
      </c>
      <c r="O247" s="84">
        <f>VLOOKUP($A247,'US Census Population Estimates'!$A$20:$AG$266,O$131,FALSE)</f>
        <v>193</v>
      </c>
      <c r="P247" s="84">
        <f>VLOOKUP($A247,'US Census Population Estimates'!$A$20:$AG$266,P$131,FALSE)</f>
        <v>194</v>
      </c>
      <c r="Q247" s="84">
        <f>VLOOKUP($A247,'US Census Population Estimates'!$A$20:$AG$266,Q$131,FALSE)</f>
        <v>194</v>
      </c>
      <c r="R247" s="84">
        <f>VLOOKUP($A247,'US Census Population Estimates'!$A$20:$AG$266,R$131,FALSE)</f>
        <v>193</v>
      </c>
      <c r="S247" s="84">
        <f>VLOOKUP($A247,'US Census Population Estimates'!$A$20:$AG$266,S$131,FALSE)</f>
        <v>194</v>
      </c>
      <c r="T247" s="84">
        <f>VLOOKUP($A247,'US Census Population Estimates'!$A$20:$AG$266,T$131,FALSE)</f>
        <v>189</v>
      </c>
      <c r="U247" s="84">
        <f>VLOOKUP($A247,'US Census Population Estimates'!$A$20:$AG$266,U$131,FALSE)</f>
        <v>186</v>
      </c>
      <c r="V247" s="84" t="str">
        <f>VLOOKUP($A247,'US Census Population Estimates'!$A$20:$AG$266,V$131,FALSE)</f>
        <v/>
      </c>
      <c r="W247" s="84" t="str">
        <f>VLOOKUP($A247,'US Census Population Estimates'!$A$20:$AG$266,W$131,FALSE)</f>
        <v/>
      </c>
      <c r="X247" s="84" t="str">
        <f>VLOOKUP($A247,'US Census Population Estimates'!$A$20:$AG$266,X$131,FALSE)</f>
        <v/>
      </c>
      <c r="Y247" s="84" t="str">
        <f>VLOOKUP($A247,'US Census Population Estimates'!$A$20:$AG$266,Y$131,FALSE)</f>
        <v/>
      </c>
      <c r="Z247" s="84" t="str">
        <f>VLOOKUP($A247,'US Census Population Estimates'!$A$20:$AG$266,Z$131,FALSE)</f>
        <v/>
      </c>
      <c r="AA247" s="84" t="str">
        <f>VLOOKUP($A247,'US Census Population Estimates'!$A$20:$AG$266,AA$131,FALSE)</f>
        <v/>
      </c>
      <c r="AB247" s="84" t="str">
        <f>VLOOKUP($A247,'US Census Population Estimates'!$A$20:$AG$266,AB$131,FALSE)</f>
        <v/>
      </c>
      <c r="AC247" s="84" t="str">
        <f>VLOOKUP($A247,'US Census Population Estimates'!$A$20:$AG$266,AC$131,FALSE)</f>
        <v/>
      </c>
      <c r="AD247" s="84" t="str">
        <f>VLOOKUP($A247,'US Census Population Estimates'!$A$20:$AG$266,AD$131,FALSE)</f>
        <v/>
      </c>
      <c r="AE247" s="84" t="str">
        <f>VLOOKUP($A247,'US Census Population Estimates'!$A$20:$AG$266,AE$131,FALSE)</f>
        <v/>
      </c>
      <c r="AF247" s="84" t="str">
        <f>VLOOKUP($A247,'US Census Population Estimates'!$A$20:$AG$266,AF$131,FALSE)</f>
        <v/>
      </c>
      <c r="AG247" s="88" t="str">
        <f>VLOOKUP($A247,'US Census Population Estimates'!$A$20:$AG$266,AG$131,FALSE)</f>
        <v/>
      </c>
      <c r="AH247" s="24"/>
    </row>
    <row r="248" ht="12.75" customHeight="1">
      <c r="A248" s="46" t="s">
        <v>152</v>
      </c>
      <c r="B248" s="51" t="s">
        <v>51</v>
      </c>
      <c r="C248" s="84">
        <f>VLOOKUP($A248,'US Census Population Estimates'!$A$20:$AG$266,C$131,FALSE)</f>
        <v>243</v>
      </c>
      <c r="D248" s="84">
        <f>VLOOKUP($A248,'US Census Population Estimates'!$A$20:$AG$266,D$131,FALSE)</f>
        <v>238</v>
      </c>
      <c r="E248" s="84">
        <f>VLOOKUP($A248,'US Census Population Estimates'!$A$20:$AG$266,E$131,FALSE)</f>
        <v>234</v>
      </c>
      <c r="F248" s="84">
        <f>VLOOKUP($A248,'US Census Population Estimates'!$A$20:$AG$266,F$131,FALSE)</f>
        <v>231</v>
      </c>
      <c r="G248" s="84">
        <f>VLOOKUP($A248,'US Census Population Estimates'!$A$20:$AG$266,G$131,FALSE)</f>
        <v>231</v>
      </c>
      <c r="H248" s="84">
        <f>VLOOKUP($A248,'US Census Population Estimates'!$A$20:$AG$266,H$131,FALSE)</f>
        <v>228</v>
      </c>
      <c r="I248" s="84">
        <f>VLOOKUP($A248,'US Census Population Estimates'!$A$20:$AG$266,I$131,FALSE)</f>
        <v>227</v>
      </c>
      <c r="J248" s="84">
        <f>VLOOKUP($A248,'US Census Population Estimates'!$A$20:$AG$266,J$131,FALSE)</f>
        <v>225</v>
      </c>
      <c r="K248" s="84">
        <f>VLOOKUP($A248,'US Census Population Estimates'!$A$20:$AG$266,K$131,FALSE)</f>
        <v>225</v>
      </c>
      <c r="L248" s="84">
        <f>VLOOKUP($A248,'US Census Population Estimates'!$A$20:$AG$266,L$131,FALSE)</f>
        <v>227</v>
      </c>
      <c r="M248" s="84">
        <f>VLOOKUP($A248,'US Census Population Estimates'!$A$20:$AG$266,M$131,FALSE)</f>
        <v>231</v>
      </c>
      <c r="N248" s="84">
        <f>VLOOKUP($A248,'US Census Population Estimates'!$A$20:$AG$266,N$131,FALSE)</f>
        <v>234</v>
      </c>
      <c r="O248" s="84">
        <f>VLOOKUP($A248,'US Census Population Estimates'!$A$20:$AG$266,O$131,FALSE)</f>
        <v>234</v>
      </c>
      <c r="P248" s="84">
        <f>VLOOKUP($A248,'US Census Population Estimates'!$A$20:$AG$266,P$131,FALSE)</f>
        <v>232</v>
      </c>
      <c r="Q248" s="84">
        <f>VLOOKUP($A248,'US Census Population Estimates'!$A$20:$AG$266,Q$131,FALSE)</f>
        <v>232</v>
      </c>
      <c r="R248" s="84">
        <f>VLOOKUP($A248,'US Census Population Estimates'!$A$20:$AG$266,R$131,FALSE)</f>
        <v>231</v>
      </c>
      <c r="S248" s="84">
        <f>VLOOKUP($A248,'US Census Population Estimates'!$A$20:$AG$266,S$131,FALSE)</f>
        <v>229</v>
      </c>
      <c r="T248" s="84">
        <f>VLOOKUP($A248,'US Census Population Estimates'!$A$20:$AG$266,T$131,FALSE)</f>
        <v>229</v>
      </c>
      <c r="U248" s="84">
        <f>VLOOKUP($A248,'US Census Population Estimates'!$A$20:$AG$266,U$131,FALSE)</f>
        <v>232</v>
      </c>
      <c r="V248" s="84" t="str">
        <f>VLOOKUP($A248,'US Census Population Estimates'!$A$20:$AG$266,V$131,FALSE)</f>
        <v/>
      </c>
      <c r="W248" s="84" t="str">
        <f>VLOOKUP($A248,'US Census Population Estimates'!$A$20:$AG$266,W$131,FALSE)</f>
        <v/>
      </c>
      <c r="X248" s="84" t="str">
        <f>VLOOKUP($A248,'US Census Population Estimates'!$A$20:$AG$266,X$131,FALSE)</f>
        <v/>
      </c>
      <c r="Y248" s="84" t="str">
        <f>VLOOKUP($A248,'US Census Population Estimates'!$A$20:$AG$266,Y$131,FALSE)</f>
        <v/>
      </c>
      <c r="Z248" s="84" t="str">
        <f>VLOOKUP($A248,'US Census Population Estimates'!$A$20:$AG$266,Z$131,FALSE)</f>
        <v/>
      </c>
      <c r="AA248" s="84" t="str">
        <f>VLOOKUP($A248,'US Census Population Estimates'!$A$20:$AG$266,AA$131,FALSE)</f>
        <v/>
      </c>
      <c r="AB248" s="84" t="str">
        <f>VLOOKUP($A248,'US Census Population Estimates'!$A$20:$AG$266,AB$131,FALSE)</f>
        <v/>
      </c>
      <c r="AC248" s="84" t="str">
        <f>VLOOKUP($A248,'US Census Population Estimates'!$A$20:$AG$266,AC$131,FALSE)</f>
        <v/>
      </c>
      <c r="AD248" s="84" t="str">
        <f>VLOOKUP($A248,'US Census Population Estimates'!$A$20:$AG$266,AD$131,FALSE)</f>
        <v/>
      </c>
      <c r="AE248" s="84" t="str">
        <f>VLOOKUP($A248,'US Census Population Estimates'!$A$20:$AG$266,AE$131,FALSE)</f>
        <v/>
      </c>
      <c r="AF248" s="84" t="str">
        <f>VLOOKUP($A248,'US Census Population Estimates'!$A$20:$AG$266,AF$131,FALSE)</f>
        <v/>
      </c>
      <c r="AG248" s="88" t="str">
        <f>VLOOKUP($A248,'US Census Population Estimates'!$A$20:$AG$266,AG$131,FALSE)</f>
        <v/>
      </c>
      <c r="AH248" s="24"/>
    </row>
    <row r="249" ht="12.75" customHeight="1">
      <c r="A249" s="46" t="s">
        <v>153</v>
      </c>
      <c r="B249" s="51" t="s">
        <v>51</v>
      </c>
      <c r="C249" s="84">
        <f>VLOOKUP($A249,'US Census Population Estimates'!$A$20:$AG$266,C$131,FALSE)</f>
        <v>230</v>
      </c>
      <c r="D249" s="84">
        <f>VLOOKUP($A249,'US Census Population Estimates'!$A$20:$AG$266,D$131,FALSE)</f>
        <v>229</v>
      </c>
      <c r="E249" s="84">
        <f>VLOOKUP($A249,'US Census Population Estimates'!$A$20:$AG$266,E$131,FALSE)</f>
        <v>227</v>
      </c>
      <c r="F249" s="84">
        <f>VLOOKUP($A249,'US Census Population Estimates'!$A$20:$AG$266,F$131,FALSE)</f>
        <v>222</v>
      </c>
      <c r="G249" s="84">
        <f>VLOOKUP($A249,'US Census Population Estimates'!$A$20:$AG$266,G$131,FALSE)</f>
        <v>221</v>
      </c>
      <c r="H249" s="84">
        <f>VLOOKUP($A249,'US Census Population Estimates'!$A$20:$AG$266,H$131,FALSE)</f>
        <v>217</v>
      </c>
      <c r="I249" s="84">
        <f>VLOOKUP($A249,'US Census Population Estimates'!$A$20:$AG$266,I$131,FALSE)</f>
        <v>215</v>
      </c>
      <c r="J249" s="84">
        <f>VLOOKUP($A249,'US Census Population Estimates'!$A$20:$AG$266,J$131,FALSE)</f>
        <v>212</v>
      </c>
      <c r="K249" s="84">
        <f>VLOOKUP($A249,'US Census Population Estimates'!$A$20:$AG$266,K$131,FALSE)</f>
        <v>208</v>
      </c>
      <c r="L249" s="84">
        <f>VLOOKUP($A249,'US Census Population Estimates'!$A$20:$AG$266,L$131,FALSE)</f>
        <v>205</v>
      </c>
      <c r="M249" s="84">
        <f>VLOOKUP($A249,'US Census Population Estimates'!$A$20:$AG$266,M$131,FALSE)</f>
        <v>205</v>
      </c>
      <c r="N249" s="84">
        <f>VLOOKUP($A249,'US Census Population Estimates'!$A$20:$AG$266,N$131,FALSE)</f>
        <v>206</v>
      </c>
      <c r="O249" s="84">
        <f>VLOOKUP($A249,'US Census Population Estimates'!$A$20:$AG$266,O$131,FALSE)</f>
        <v>207</v>
      </c>
      <c r="P249" s="84">
        <f>VLOOKUP($A249,'US Census Population Estimates'!$A$20:$AG$266,P$131,FALSE)</f>
        <v>206</v>
      </c>
      <c r="Q249" s="84">
        <f>VLOOKUP($A249,'US Census Population Estimates'!$A$20:$AG$266,Q$131,FALSE)</f>
        <v>208</v>
      </c>
      <c r="R249" s="84">
        <f>VLOOKUP($A249,'US Census Population Estimates'!$A$20:$AG$266,R$131,FALSE)</f>
        <v>209</v>
      </c>
      <c r="S249" s="84">
        <f>VLOOKUP($A249,'US Census Population Estimates'!$A$20:$AG$266,S$131,FALSE)</f>
        <v>206</v>
      </c>
      <c r="T249" s="84">
        <f>VLOOKUP($A249,'US Census Population Estimates'!$A$20:$AG$266,T$131,FALSE)</f>
        <v>204</v>
      </c>
      <c r="U249" s="84">
        <f>VLOOKUP($A249,'US Census Population Estimates'!$A$20:$AG$266,U$131,FALSE)</f>
        <v>205</v>
      </c>
      <c r="V249" s="84" t="str">
        <f>VLOOKUP($A249,'US Census Population Estimates'!$A$20:$AG$266,V$131,FALSE)</f>
        <v/>
      </c>
      <c r="W249" s="84" t="str">
        <f>VLOOKUP($A249,'US Census Population Estimates'!$A$20:$AG$266,W$131,FALSE)</f>
        <v/>
      </c>
      <c r="X249" s="84" t="str">
        <f>VLOOKUP($A249,'US Census Population Estimates'!$A$20:$AG$266,X$131,FALSE)</f>
        <v/>
      </c>
      <c r="Y249" s="84" t="str">
        <f>VLOOKUP($A249,'US Census Population Estimates'!$A$20:$AG$266,Y$131,FALSE)</f>
        <v/>
      </c>
      <c r="Z249" s="84" t="str">
        <f>VLOOKUP($A249,'US Census Population Estimates'!$A$20:$AG$266,Z$131,FALSE)</f>
        <v/>
      </c>
      <c r="AA249" s="84" t="str">
        <f>VLOOKUP($A249,'US Census Population Estimates'!$A$20:$AG$266,AA$131,FALSE)</f>
        <v/>
      </c>
      <c r="AB249" s="84" t="str">
        <f>VLOOKUP($A249,'US Census Population Estimates'!$A$20:$AG$266,AB$131,FALSE)</f>
        <v/>
      </c>
      <c r="AC249" s="84" t="str">
        <f>VLOOKUP($A249,'US Census Population Estimates'!$A$20:$AG$266,AC$131,FALSE)</f>
        <v/>
      </c>
      <c r="AD249" s="84" t="str">
        <f>VLOOKUP($A249,'US Census Population Estimates'!$A$20:$AG$266,AD$131,FALSE)</f>
        <v/>
      </c>
      <c r="AE249" s="84" t="str">
        <f>VLOOKUP($A249,'US Census Population Estimates'!$A$20:$AG$266,AE$131,FALSE)</f>
        <v/>
      </c>
      <c r="AF249" s="84" t="str">
        <f>VLOOKUP($A249,'US Census Population Estimates'!$A$20:$AG$266,AF$131,FALSE)</f>
        <v/>
      </c>
      <c r="AG249" s="88" t="str">
        <f>VLOOKUP($A249,'US Census Population Estimates'!$A$20:$AG$266,AG$131,FALSE)</f>
        <v/>
      </c>
      <c r="AH249" s="24"/>
    </row>
    <row r="250" ht="12.75" customHeight="1">
      <c r="A250" s="46" t="s">
        <v>154</v>
      </c>
      <c r="B250" s="51" t="s">
        <v>51</v>
      </c>
      <c r="C250" s="84">
        <f>VLOOKUP($A250,'US Census Population Estimates'!$A$20:$AG$266,C$131,FALSE)</f>
        <v>2257</v>
      </c>
      <c r="D250" s="84">
        <f>VLOOKUP($A250,'US Census Population Estimates'!$A$20:$AG$266,D$131,FALSE)</f>
        <v>2239</v>
      </c>
      <c r="E250" s="84">
        <f>VLOOKUP($A250,'US Census Population Estimates'!$A$20:$AG$266,E$131,FALSE)</f>
        <v>2275</v>
      </c>
      <c r="F250" s="84">
        <f>VLOOKUP($A250,'US Census Population Estimates'!$A$20:$AG$266,F$131,FALSE)</f>
        <v>2281</v>
      </c>
      <c r="G250" s="84">
        <f>VLOOKUP($A250,'US Census Population Estimates'!$A$20:$AG$266,G$131,FALSE)</f>
        <v>2303</v>
      </c>
      <c r="H250" s="84">
        <f>VLOOKUP($A250,'US Census Population Estimates'!$A$20:$AG$266,H$131,FALSE)</f>
        <v>2348</v>
      </c>
      <c r="I250" s="84">
        <f>VLOOKUP($A250,'US Census Population Estimates'!$A$20:$AG$266,I$131,FALSE)</f>
        <v>2385</v>
      </c>
      <c r="J250" s="84">
        <f>VLOOKUP($A250,'US Census Population Estimates'!$A$20:$AG$266,J$131,FALSE)</f>
        <v>2436</v>
      </c>
      <c r="K250" s="84">
        <f>VLOOKUP($A250,'US Census Population Estimates'!$A$20:$AG$266,K$131,FALSE)</f>
        <v>2513</v>
      </c>
      <c r="L250" s="84">
        <f>VLOOKUP($A250,'US Census Population Estimates'!$A$20:$AG$266,L$131,FALSE)</f>
        <v>2577</v>
      </c>
      <c r="M250" s="84">
        <f>VLOOKUP($A250,'US Census Population Estimates'!$A$20:$AG$266,M$131,FALSE)</f>
        <v>2646</v>
      </c>
      <c r="N250" s="84">
        <f>VLOOKUP($A250,'US Census Population Estimates'!$A$20:$AG$266,N$131,FALSE)</f>
        <v>2622</v>
      </c>
      <c r="O250" s="84">
        <f>VLOOKUP($A250,'US Census Population Estimates'!$A$20:$AG$266,O$131,FALSE)</f>
        <v>2660</v>
      </c>
      <c r="P250" s="84">
        <f>VLOOKUP($A250,'US Census Population Estimates'!$A$20:$AG$266,P$131,FALSE)</f>
        <v>2716</v>
      </c>
      <c r="Q250" s="84">
        <f>VLOOKUP($A250,'US Census Population Estimates'!$A$20:$AG$266,Q$131,FALSE)</f>
        <v>2676</v>
      </c>
      <c r="R250" s="84">
        <f>VLOOKUP($A250,'US Census Population Estimates'!$A$20:$AG$266,R$131,FALSE)</f>
        <v>2685</v>
      </c>
      <c r="S250" s="84">
        <f>VLOOKUP($A250,'US Census Population Estimates'!$A$20:$AG$266,S$131,FALSE)</f>
        <v>2649</v>
      </c>
      <c r="T250" s="84">
        <f>VLOOKUP($A250,'US Census Population Estimates'!$A$20:$AG$266,T$131,FALSE)</f>
        <v>2591</v>
      </c>
      <c r="U250" s="84">
        <f>VLOOKUP($A250,'US Census Population Estimates'!$A$20:$AG$266,U$131,FALSE)</f>
        <v>2554</v>
      </c>
      <c r="V250" s="84" t="str">
        <f>VLOOKUP($A250,'US Census Population Estimates'!$A$20:$AG$266,V$131,FALSE)</f>
        <v/>
      </c>
      <c r="W250" s="84" t="str">
        <f>VLOOKUP($A250,'US Census Population Estimates'!$A$20:$AG$266,W$131,FALSE)</f>
        <v/>
      </c>
      <c r="X250" s="84" t="str">
        <f>VLOOKUP($A250,'US Census Population Estimates'!$A$20:$AG$266,X$131,FALSE)</f>
        <v/>
      </c>
      <c r="Y250" s="84" t="str">
        <f>VLOOKUP($A250,'US Census Population Estimates'!$A$20:$AG$266,Y$131,FALSE)</f>
        <v/>
      </c>
      <c r="Z250" s="84" t="str">
        <f>VLOOKUP($A250,'US Census Population Estimates'!$A$20:$AG$266,Z$131,FALSE)</f>
        <v/>
      </c>
      <c r="AA250" s="84" t="str">
        <f>VLOOKUP($A250,'US Census Population Estimates'!$A$20:$AG$266,AA$131,FALSE)</f>
        <v/>
      </c>
      <c r="AB250" s="84" t="str">
        <f>VLOOKUP($A250,'US Census Population Estimates'!$A$20:$AG$266,AB$131,FALSE)</f>
        <v/>
      </c>
      <c r="AC250" s="84" t="str">
        <f>VLOOKUP($A250,'US Census Population Estimates'!$A$20:$AG$266,AC$131,FALSE)</f>
        <v/>
      </c>
      <c r="AD250" s="84" t="str">
        <f>VLOOKUP($A250,'US Census Population Estimates'!$A$20:$AG$266,AD$131,FALSE)</f>
        <v/>
      </c>
      <c r="AE250" s="84" t="str">
        <f>VLOOKUP($A250,'US Census Population Estimates'!$A$20:$AG$266,AE$131,FALSE)</f>
        <v/>
      </c>
      <c r="AF250" s="84" t="str">
        <f>VLOOKUP($A250,'US Census Population Estimates'!$A$20:$AG$266,AF$131,FALSE)</f>
        <v/>
      </c>
      <c r="AG250" s="88" t="str">
        <f>VLOOKUP($A250,'US Census Population Estimates'!$A$20:$AG$266,AG$131,FALSE)</f>
        <v/>
      </c>
      <c r="AH250" s="24"/>
    </row>
    <row r="251" ht="12.75" customHeight="1">
      <c r="A251" s="46" t="s">
        <v>155</v>
      </c>
      <c r="B251" s="51" t="s">
        <v>51</v>
      </c>
      <c r="C251" s="84">
        <f>VLOOKUP($A251,'US Census Population Estimates'!$A$20:$AG$266,C$131,FALSE)</f>
        <v>1141</v>
      </c>
      <c r="D251" s="84">
        <f>VLOOKUP($A251,'US Census Population Estimates'!$A$20:$AG$266,D$131,FALSE)</f>
        <v>1147</v>
      </c>
      <c r="E251" s="84">
        <f>VLOOKUP($A251,'US Census Population Estimates'!$A$20:$AG$266,E$131,FALSE)</f>
        <v>1149</v>
      </c>
      <c r="F251" s="84">
        <f>VLOOKUP($A251,'US Census Population Estimates'!$A$20:$AG$266,F$131,FALSE)</f>
        <v>1141</v>
      </c>
      <c r="G251" s="84">
        <f>VLOOKUP($A251,'US Census Population Estimates'!$A$20:$AG$266,G$131,FALSE)</f>
        <v>1148</v>
      </c>
      <c r="H251" s="84">
        <f>VLOOKUP($A251,'US Census Population Estimates'!$A$20:$AG$266,H$131,FALSE)</f>
        <v>1143</v>
      </c>
      <c r="I251" s="84">
        <f>VLOOKUP($A251,'US Census Population Estimates'!$A$20:$AG$266,I$131,FALSE)</f>
        <v>1146</v>
      </c>
      <c r="J251" s="84">
        <f>VLOOKUP($A251,'US Census Population Estimates'!$A$20:$AG$266,J$131,FALSE)</f>
        <v>1146</v>
      </c>
      <c r="K251" s="84">
        <f>VLOOKUP($A251,'US Census Population Estimates'!$A$20:$AG$266,K$131,FALSE)</f>
        <v>1139</v>
      </c>
      <c r="L251" s="84">
        <f>VLOOKUP($A251,'US Census Population Estimates'!$A$20:$AG$266,L$131,FALSE)</f>
        <v>1138</v>
      </c>
      <c r="M251" s="84">
        <f>VLOOKUP($A251,'US Census Population Estimates'!$A$20:$AG$266,M$131,FALSE)</f>
        <v>1148</v>
      </c>
      <c r="N251" s="84">
        <f>VLOOKUP($A251,'US Census Population Estimates'!$A$20:$AG$266,N$131,FALSE)</f>
        <v>1163</v>
      </c>
      <c r="O251" s="84">
        <f>VLOOKUP($A251,'US Census Population Estimates'!$A$20:$AG$266,O$131,FALSE)</f>
        <v>1169</v>
      </c>
      <c r="P251" s="84">
        <f>VLOOKUP($A251,'US Census Population Estimates'!$A$20:$AG$266,P$131,FALSE)</f>
        <v>1180</v>
      </c>
      <c r="Q251" s="84">
        <f>VLOOKUP($A251,'US Census Population Estimates'!$A$20:$AG$266,Q$131,FALSE)</f>
        <v>1192</v>
      </c>
      <c r="R251" s="84">
        <f>VLOOKUP($A251,'US Census Population Estimates'!$A$20:$AG$266,R$131,FALSE)</f>
        <v>1197</v>
      </c>
      <c r="S251" s="84">
        <f>VLOOKUP($A251,'US Census Population Estimates'!$A$20:$AG$266,S$131,FALSE)</f>
        <v>1174</v>
      </c>
      <c r="T251" s="84">
        <f>VLOOKUP($A251,'US Census Population Estimates'!$A$20:$AG$266,T$131,FALSE)</f>
        <v>1151</v>
      </c>
      <c r="U251" s="84">
        <f>VLOOKUP($A251,'US Census Population Estimates'!$A$20:$AG$266,U$131,FALSE)</f>
        <v>1148</v>
      </c>
      <c r="V251" s="84" t="str">
        <f>VLOOKUP($A251,'US Census Population Estimates'!$A$20:$AG$266,V$131,FALSE)</f>
        <v/>
      </c>
      <c r="W251" s="84" t="str">
        <f>VLOOKUP($A251,'US Census Population Estimates'!$A$20:$AG$266,W$131,FALSE)</f>
        <v/>
      </c>
      <c r="X251" s="84" t="str">
        <f>VLOOKUP($A251,'US Census Population Estimates'!$A$20:$AG$266,X$131,FALSE)</f>
        <v/>
      </c>
      <c r="Y251" s="84" t="str">
        <f>VLOOKUP($A251,'US Census Population Estimates'!$A$20:$AG$266,Y$131,FALSE)</f>
        <v/>
      </c>
      <c r="Z251" s="84" t="str">
        <f>VLOOKUP($A251,'US Census Population Estimates'!$A$20:$AG$266,Z$131,FALSE)</f>
        <v/>
      </c>
      <c r="AA251" s="84" t="str">
        <f>VLOOKUP($A251,'US Census Population Estimates'!$A$20:$AG$266,AA$131,FALSE)</f>
        <v/>
      </c>
      <c r="AB251" s="84" t="str">
        <f>VLOOKUP($A251,'US Census Population Estimates'!$A$20:$AG$266,AB$131,FALSE)</f>
        <v/>
      </c>
      <c r="AC251" s="84" t="str">
        <f>VLOOKUP($A251,'US Census Population Estimates'!$A$20:$AG$266,AC$131,FALSE)</f>
        <v/>
      </c>
      <c r="AD251" s="84" t="str">
        <f>VLOOKUP($A251,'US Census Population Estimates'!$A$20:$AG$266,AD$131,FALSE)</f>
        <v/>
      </c>
      <c r="AE251" s="84" t="str">
        <f>VLOOKUP($A251,'US Census Population Estimates'!$A$20:$AG$266,AE$131,FALSE)</f>
        <v/>
      </c>
      <c r="AF251" s="84" t="str">
        <f>VLOOKUP($A251,'US Census Population Estimates'!$A$20:$AG$266,AF$131,FALSE)</f>
        <v/>
      </c>
      <c r="AG251" s="88" t="str">
        <f>VLOOKUP($A251,'US Census Population Estimates'!$A$20:$AG$266,AG$131,FALSE)</f>
        <v/>
      </c>
      <c r="AH251" s="24"/>
    </row>
    <row r="252" ht="12.75" customHeight="1">
      <c r="A252" s="46" t="s">
        <v>156</v>
      </c>
      <c r="B252" s="51" t="s">
        <v>51</v>
      </c>
      <c r="C252" s="84">
        <f>VLOOKUP($A252,'US Census Population Estimates'!$A$20:$AG$266,C$131,FALSE)</f>
        <v>75</v>
      </c>
      <c r="D252" s="84">
        <f>VLOOKUP($A252,'US Census Population Estimates'!$A$20:$AG$266,D$131,FALSE)</f>
        <v>74</v>
      </c>
      <c r="E252" s="84">
        <f>VLOOKUP($A252,'US Census Population Estimates'!$A$20:$AG$266,E$131,FALSE)</f>
        <v>73</v>
      </c>
      <c r="F252" s="84">
        <f>VLOOKUP($A252,'US Census Population Estimates'!$A$20:$AG$266,F$131,FALSE)</f>
        <v>71</v>
      </c>
      <c r="G252" s="84">
        <f>VLOOKUP($A252,'US Census Population Estimates'!$A$20:$AG$266,G$131,FALSE)</f>
        <v>70</v>
      </c>
      <c r="H252" s="84">
        <f>VLOOKUP($A252,'US Census Population Estimates'!$A$20:$AG$266,H$131,FALSE)</f>
        <v>68</v>
      </c>
      <c r="I252" s="84">
        <f>VLOOKUP($A252,'US Census Population Estimates'!$A$20:$AG$266,I$131,FALSE)</f>
        <v>67</v>
      </c>
      <c r="J252" s="84">
        <f>VLOOKUP($A252,'US Census Population Estimates'!$A$20:$AG$266,J$131,FALSE)</f>
        <v>66</v>
      </c>
      <c r="K252" s="84">
        <f>VLOOKUP($A252,'US Census Population Estimates'!$A$20:$AG$266,K$131,FALSE)</f>
        <v>64</v>
      </c>
      <c r="L252" s="84">
        <f>VLOOKUP($A252,'US Census Population Estimates'!$A$20:$AG$266,L$131,FALSE)</f>
        <v>63</v>
      </c>
      <c r="M252" s="84">
        <f>VLOOKUP($A252,'US Census Population Estimates'!$A$20:$AG$266,M$131,FALSE)</f>
        <v>62</v>
      </c>
      <c r="N252" s="84">
        <f>VLOOKUP($A252,'US Census Population Estimates'!$A$20:$AG$266,N$131,FALSE)</f>
        <v>62</v>
      </c>
      <c r="O252" s="84">
        <f>VLOOKUP($A252,'US Census Population Estimates'!$A$20:$AG$266,O$131,FALSE)</f>
        <v>62</v>
      </c>
      <c r="P252" s="84">
        <f>VLOOKUP($A252,'US Census Population Estimates'!$A$20:$AG$266,P$131,FALSE)</f>
        <v>63</v>
      </c>
      <c r="Q252" s="84">
        <f>VLOOKUP($A252,'US Census Population Estimates'!$A$20:$AG$266,Q$131,FALSE)</f>
        <v>63</v>
      </c>
      <c r="R252" s="84">
        <f>VLOOKUP($A252,'US Census Population Estimates'!$A$20:$AG$266,R$131,FALSE)</f>
        <v>63</v>
      </c>
      <c r="S252" s="84">
        <f>VLOOKUP($A252,'US Census Population Estimates'!$A$20:$AG$266,S$131,FALSE)</f>
        <v>62</v>
      </c>
      <c r="T252" s="84">
        <f>VLOOKUP($A252,'US Census Population Estimates'!$A$20:$AG$266,T$131,FALSE)</f>
        <v>61</v>
      </c>
      <c r="U252" s="84">
        <f>VLOOKUP($A252,'US Census Population Estimates'!$A$20:$AG$266,U$131,FALSE)</f>
        <v>61</v>
      </c>
      <c r="V252" s="84" t="str">
        <f>VLOOKUP($A252,'US Census Population Estimates'!$A$20:$AG$266,V$131,FALSE)</f>
        <v/>
      </c>
      <c r="W252" s="84" t="str">
        <f>VLOOKUP($A252,'US Census Population Estimates'!$A$20:$AG$266,W$131,FALSE)</f>
        <v/>
      </c>
      <c r="X252" s="84" t="str">
        <f>VLOOKUP($A252,'US Census Population Estimates'!$A$20:$AG$266,X$131,FALSE)</f>
        <v/>
      </c>
      <c r="Y252" s="84" t="str">
        <f>VLOOKUP($A252,'US Census Population Estimates'!$A$20:$AG$266,Y$131,FALSE)</f>
        <v/>
      </c>
      <c r="Z252" s="84" t="str">
        <f>VLOOKUP($A252,'US Census Population Estimates'!$A$20:$AG$266,Z$131,FALSE)</f>
        <v/>
      </c>
      <c r="AA252" s="84" t="str">
        <f>VLOOKUP($A252,'US Census Population Estimates'!$A$20:$AG$266,AA$131,FALSE)</f>
        <v/>
      </c>
      <c r="AB252" s="84" t="str">
        <f>VLOOKUP($A252,'US Census Population Estimates'!$A$20:$AG$266,AB$131,FALSE)</f>
        <v/>
      </c>
      <c r="AC252" s="84" t="str">
        <f>VLOOKUP($A252,'US Census Population Estimates'!$A$20:$AG$266,AC$131,FALSE)</f>
        <v/>
      </c>
      <c r="AD252" s="84" t="str">
        <f>VLOOKUP($A252,'US Census Population Estimates'!$A$20:$AG$266,AD$131,FALSE)</f>
        <v/>
      </c>
      <c r="AE252" s="84" t="str">
        <f>VLOOKUP($A252,'US Census Population Estimates'!$A$20:$AG$266,AE$131,FALSE)</f>
        <v/>
      </c>
      <c r="AF252" s="84" t="str">
        <f>VLOOKUP($A252,'US Census Population Estimates'!$A$20:$AG$266,AF$131,FALSE)</f>
        <v/>
      </c>
      <c r="AG252" s="88" t="str">
        <f>VLOOKUP($A252,'US Census Population Estimates'!$A$20:$AG$266,AG$131,FALSE)</f>
        <v/>
      </c>
      <c r="AH252" s="24"/>
    </row>
    <row r="253" ht="12.75" customHeight="1">
      <c r="A253" s="46" t="s">
        <v>157</v>
      </c>
      <c r="B253" s="51" t="s">
        <v>51</v>
      </c>
      <c r="C253" s="84">
        <f>VLOOKUP($A253,'US Census Population Estimates'!$A$20:$AG$266,C$131,FALSE)</f>
        <v>344</v>
      </c>
      <c r="D253" s="84">
        <f>VLOOKUP($A253,'US Census Population Estimates'!$A$20:$AG$266,D$131,FALSE)</f>
        <v>352</v>
      </c>
      <c r="E253" s="84">
        <f>VLOOKUP($A253,'US Census Population Estimates'!$A$20:$AG$266,E$131,FALSE)</f>
        <v>359</v>
      </c>
      <c r="F253" s="84">
        <f>VLOOKUP($A253,'US Census Population Estimates'!$A$20:$AG$266,F$131,FALSE)</f>
        <v>366</v>
      </c>
      <c r="G253" s="84">
        <f>VLOOKUP($A253,'US Census Population Estimates'!$A$20:$AG$266,G$131,FALSE)</f>
        <v>377</v>
      </c>
      <c r="H253" s="84">
        <f>VLOOKUP($A253,'US Census Population Estimates'!$A$20:$AG$266,H$131,FALSE)</f>
        <v>381</v>
      </c>
      <c r="I253" s="84">
        <f>VLOOKUP($A253,'US Census Population Estimates'!$A$20:$AG$266,I$131,FALSE)</f>
        <v>393</v>
      </c>
      <c r="J253" s="84">
        <f>VLOOKUP($A253,'US Census Population Estimates'!$A$20:$AG$266,J$131,FALSE)</f>
        <v>410</v>
      </c>
      <c r="K253" s="84">
        <f>VLOOKUP($A253,'US Census Population Estimates'!$A$20:$AG$266,K$131,FALSE)</f>
        <v>423</v>
      </c>
      <c r="L253" s="84">
        <f>VLOOKUP($A253,'US Census Population Estimates'!$A$20:$AG$266,L$131,FALSE)</f>
        <v>434</v>
      </c>
      <c r="M253" s="84">
        <f>VLOOKUP($A253,'US Census Population Estimates'!$A$20:$AG$266,M$131,FALSE)</f>
        <v>450</v>
      </c>
      <c r="N253" s="84">
        <f>VLOOKUP($A253,'US Census Population Estimates'!$A$20:$AG$266,N$131,FALSE)</f>
        <v>454</v>
      </c>
      <c r="O253" s="84">
        <f>VLOOKUP($A253,'US Census Population Estimates'!$A$20:$AG$266,O$131,FALSE)</f>
        <v>455</v>
      </c>
      <c r="P253" s="84">
        <f>VLOOKUP($A253,'US Census Population Estimates'!$A$20:$AG$266,P$131,FALSE)</f>
        <v>452</v>
      </c>
      <c r="Q253" s="84">
        <f>VLOOKUP($A253,'US Census Population Estimates'!$A$20:$AG$266,Q$131,FALSE)</f>
        <v>453</v>
      </c>
      <c r="R253" s="84">
        <f>VLOOKUP($A253,'US Census Population Estimates'!$A$20:$AG$266,R$131,FALSE)</f>
        <v>450</v>
      </c>
      <c r="S253" s="84">
        <f>VLOOKUP($A253,'US Census Population Estimates'!$A$20:$AG$266,S$131,FALSE)</f>
        <v>445</v>
      </c>
      <c r="T253" s="84">
        <f>VLOOKUP($A253,'US Census Population Estimates'!$A$20:$AG$266,T$131,FALSE)</f>
        <v>445</v>
      </c>
      <c r="U253" s="84">
        <f>VLOOKUP($A253,'US Census Population Estimates'!$A$20:$AG$266,U$131,FALSE)</f>
        <v>444</v>
      </c>
      <c r="V253" s="84" t="str">
        <f>VLOOKUP($A253,'US Census Population Estimates'!$A$20:$AG$266,V$131,FALSE)</f>
        <v/>
      </c>
      <c r="W253" s="84" t="str">
        <f>VLOOKUP($A253,'US Census Population Estimates'!$A$20:$AG$266,W$131,FALSE)</f>
        <v/>
      </c>
      <c r="X253" s="84" t="str">
        <f>VLOOKUP($A253,'US Census Population Estimates'!$A$20:$AG$266,X$131,FALSE)</f>
        <v/>
      </c>
      <c r="Y253" s="84" t="str">
        <f>VLOOKUP($A253,'US Census Population Estimates'!$A$20:$AG$266,Y$131,FALSE)</f>
        <v/>
      </c>
      <c r="Z253" s="84" t="str">
        <f>VLOOKUP($A253,'US Census Population Estimates'!$A$20:$AG$266,Z$131,FALSE)</f>
        <v/>
      </c>
      <c r="AA253" s="84" t="str">
        <f>VLOOKUP($A253,'US Census Population Estimates'!$A$20:$AG$266,AA$131,FALSE)</f>
        <v/>
      </c>
      <c r="AB253" s="84" t="str">
        <f>VLOOKUP($A253,'US Census Population Estimates'!$A$20:$AG$266,AB$131,FALSE)</f>
        <v/>
      </c>
      <c r="AC253" s="84" t="str">
        <f>VLOOKUP($A253,'US Census Population Estimates'!$A$20:$AG$266,AC$131,FALSE)</f>
        <v/>
      </c>
      <c r="AD253" s="84" t="str">
        <f>VLOOKUP($A253,'US Census Population Estimates'!$A$20:$AG$266,AD$131,FALSE)</f>
        <v/>
      </c>
      <c r="AE253" s="84" t="str">
        <f>VLOOKUP($A253,'US Census Population Estimates'!$A$20:$AG$266,AE$131,FALSE)</f>
        <v/>
      </c>
      <c r="AF253" s="84" t="str">
        <f>VLOOKUP($A253,'US Census Population Estimates'!$A$20:$AG$266,AF$131,FALSE)</f>
        <v/>
      </c>
      <c r="AG253" s="88" t="str">
        <f>VLOOKUP($A253,'US Census Population Estimates'!$A$20:$AG$266,AG$131,FALSE)</f>
        <v/>
      </c>
      <c r="AH253" s="24"/>
    </row>
    <row r="254" ht="12.75" customHeight="1">
      <c r="A254" s="46" t="s">
        <v>158</v>
      </c>
      <c r="B254" s="51" t="s">
        <v>51</v>
      </c>
      <c r="C254" s="84">
        <f>VLOOKUP($A254,'US Census Population Estimates'!$A$20:$AG$266,C$131,FALSE)</f>
        <v>512</v>
      </c>
      <c r="D254" s="84">
        <f>VLOOKUP($A254,'US Census Population Estimates'!$A$20:$AG$266,D$131,FALSE)</f>
        <v>501</v>
      </c>
      <c r="E254" s="84">
        <f>VLOOKUP($A254,'US Census Population Estimates'!$A$20:$AG$266,E$131,FALSE)</f>
        <v>489</v>
      </c>
      <c r="F254" s="84">
        <f>VLOOKUP($A254,'US Census Population Estimates'!$A$20:$AG$266,F$131,FALSE)</f>
        <v>482</v>
      </c>
      <c r="G254" s="84">
        <f>VLOOKUP($A254,'US Census Population Estimates'!$A$20:$AG$266,G$131,FALSE)</f>
        <v>479</v>
      </c>
      <c r="H254" s="84">
        <f>VLOOKUP($A254,'US Census Population Estimates'!$A$20:$AG$266,H$131,FALSE)</f>
        <v>473</v>
      </c>
      <c r="I254" s="84">
        <f>VLOOKUP($A254,'US Census Population Estimates'!$A$20:$AG$266,I$131,FALSE)</f>
        <v>468</v>
      </c>
      <c r="J254" s="84">
        <f>VLOOKUP($A254,'US Census Population Estimates'!$A$20:$AG$266,J$131,FALSE)</f>
        <v>463</v>
      </c>
      <c r="K254" s="84">
        <f>VLOOKUP($A254,'US Census Population Estimates'!$A$20:$AG$266,K$131,FALSE)</f>
        <v>462</v>
      </c>
      <c r="L254" s="84">
        <f>VLOOKUP($A254,'US Census Population Estimates'!$A$20:$AG$266,L$131,FALSE)</f>
        <v>463</v>
      </c>
      <c r="M254" s="84">
        <f>VLOOKUP($A254,'US Census Population Estimates'!$A$20:$AG$266,M$131,FALSE)</f>
        <v>471</v>
      </c>
      <c r="N254" s="84">
        <f>VLOOKUP($A254,'US Census Population Estimates'!$A$20:$AG$266,N$131,FALSE)</f>
        <v>476</v>
      </c>
      <c r="O254" s="84">
        <f>VLOOKUP($A254,'US Census Population Estimates'!$A$20:$AG$266,O$131,FALSE)</f>
        <v>477</v>
      </c>
      <c r="P254" s="84">
        <f>VLOOKUP($A254,'US Census Population Estimates'!$A$20:$AG$266,P$131,FALSE)</f>
        <v>472</v>
      </c>
      <c r="Q254" s="84">
        <f>VLOOKUP($A254,'US Census Population Estimates'!$A$20:$AG$266,Q$131,FALSE)</f>
        <v>472</v>
      </c>
      <c r="R254" s="84">
        <f>VLOOKUP($A254,'US Census Population Estimates'!$A$20:$AG$266,R$131,FALSE)</f>
        <v>470</v>
      </c>
      <c r="S254" s="84">
        <f>VLOOKUP($A254,'US Census Population Estimates'!$A$20:$AG$266,S$131,FALSE)</f>
        <v>462</v>
      </c>
      <c r="T254" s="84">
        <f>VLOOKUP($A254,'US Census Population Estimates'!$A$20:$AG$266,T$131,FALSE)</f>
        <v>463</v>
      </c>
      <c r="U254" s="84">
        <f>VLOOKUP($A254,'US Census Population Estimates'!$A$20:$AG$266,U$131,FALSE)</f>
        <v>462</v>
      </c>
      <c r="V254" s="84" t="str">
        <f>VLOOKUP($A254,'US Census Population Estimates'!$A$20:$AG$266,V$131,FALSE)</f>
        <v/>
      </c>
      <c r="W254" s="84" t="str">
        <f>VLOOKUP($A254,'US Census Population Estimates'!$A$20:$AG$266,W$131,FALSE)</f>
        <v/>
      </c>
      <c r="X254" s="84" t="str">
        <f>VLOOKUP($A254,'US Census Population Estimates'!$A$20:$AG$266,X$131,FALSE)</f>
        <v/>
      </c>
      <c r="Y254" s="84" t="str">
        <f>VLOOKUP($A254,'US Census Population Estimates'!$A$20:$AG$266,Y$131,FALSE)</f>
        <v/>
      </c>
      <c r="Z254" s="84" t="str">
        <f>VLOOKUP($A254,'US Census Population Estimates'!$A$20:$AG$266,Z$131,FALSE)</f>
        <v/>
      </c>
      <c r="AA254" s="84" t="str">
        <f>VLOOKUP($A254,'US Census Population Estimates'!$A$20:$AG$266,AA$131,FALSE)</f>
        <v/>
      </c>
      <c r="AB254" s="84" t="str">
        <f>VLOOKUP($A254,'US Census Population Estimates'!$A$20:$AG$266,AB$131,FALSE)</f>
        <v/>
      </c>
      <c r="AC254" s="84" t="str">
        <f>VLOOKUP($A254,'US Census Population Estimates'!$A$20:$AG$266,AC$131,FALSE)</f>
        <v/>
      </c>
      <c r="AD254" s="84" t="str">
        <f>VLOOKUP($A254,'US Census Population Estimates'!$A$20:$AG$266,AD$131,FALSE)</f>
        <v/>
      </c>
      <c r="AE254" s="84" t="str">
        <f>VLOOKUP($A254,'US Census Population Estimates'!$A$20:$AG$266,AE$131,FALSE)</f>
        <v/>
      </c>
      <c r="AF254" s="84" t="str">
        <f>VLOOKUP($A254,'US Census Population Estimates'!$A$20:$AG$266,AF$131,FALSE)</f>
        <v/>
      </c>
      <c r="AG254" s="88" t="str">
        <f>VLOOKUP($A254,'US Census Population Estimates'!$A$20:$AG$266,AG$131,FALSE)</f>
        <v/>
      </c>
      <c r="AH254" s="24"/>
    </row>
    <row r="255" ht="12.75" customHeight="1">
      <c r="A255" s="46" t="s">
        <v>159</v>
      </c>
      <c r="B255" s="51" t="s">
        <v>51</v>
      </c>
      <c r="C255" s="84">
        <f>VLOOKUP($A255,'US Census Population Estimates'!$A$20:$AG$266,C$131,FALSE)</f>
        <v>273</v>
      </c>
      <c r="D255" s="84">
        <f>VLOOKUP($A255,'US Census Population Estimates'!$A$20:$AG$266,D$131,FALSE)</f>
        <v>271</v>
      </c>
      <c r="E255" s="84">
        <f>VLOOKUP($A255,'US Census Population Estimates'!$A$20:$AG$266,E$131,FALSE)</f>
        <v>271</v>
      </c>
      <c r="F255" s="84">
        <f>VLOOKUP($A255,'US Census Population Estimates'!$A$20:$AG$266,F$131,FALSE)</f>
        <v>270</v>
      </c>
      <c r="G255" s="84">
        <f>VLOOKUP($A255,'US Census Population Estimates'!$A$20:$AG$266,G$131,FALSE)</f>
        <v>270</v>
      </c>
      <c r="H255" s="84">
        <f>VLOOKUP($A255,'US Census Population Estimates'!$A$20:$AG$266,H$131,FALSE)</f>
        <v>268</v>
      </c>
      <c r="I255" s="84">
        <f>VLOOKUP($A255,'US Census Population Estimates'!$A$20:$AG$266,I$131,FALSE)</f>
        <v>271</v>
      </c>
      <c r="J255" s="84">
        <f>VLOOKUP($A255,'US Census Population Estimates'!$A$20:$AG$266,J$131,FALSE)</f>
        <v>277</v>
      </c>
      <c r="K255" s="84">
        <f>VLOOKUP($A255,'US Census Population Estimates'!$A$20:$AG$266,K$131,FALSE)</f>
        <v>282</v>
      </c>
      <c r="L255" s="84">
        <f>VLOOKUP($A255,'US Census Population Estimates'!$A$20:$AG$266,L$131,FALSE)</f>
        <v>285</v>
      </c>
      <c r="M255" s="84">
        <f>VLOOKUP($A255,'US Census Population Estimates'!$A$20:$AG$266,M$131,FALSE)</f>
        <v>283</v>
      </c>
      <c r="N255" s="84">
        <f>VLOOKUP($A255,'US Census Population Estimates'!$A$20:$AG$266,N$131,FALSE)</f>
        <v>282</v>
      </c>
      <c r="O255" s="84">
        <f>VLOOKUP($A255,'US Census Population Estimates'!$A$20:$AG$266,O$131,FALSE)</f>
        <v>280</v>
      </c>
      <c r="P255" s="84">
        <f>VLOOKUP($A255,'US Census Population Estimates'!$A$20:$AG$266,P$131,FALSE)</f>
        <v>281</v>
      </c>
      <c r="Q255" s="84">
        <f>VLOOKUP($A255,'US Census Population Estimates'!$A$20:$AG$266,Q$131,FALSE)</f>
        <v>281</v>
      </c>
      <c r="R255" s="84">
        <f>VLOOKUP($A255,'US Census Population Estimates'!$A$20:$AG$266,R$131,FALSE)</f>
        <v>275</v>
      </c>
      <c r="S255" s="84">
        <f>VLOOKUP($A255,'US Census Population Estimates'!$A$20:$AG$266,S$131,FALSE)</f>
        <v>275</v>
      </c>
      <c r="T255" s="84">
        <f>VLOOKUP($A255,'US Census Population Estimates'!$A$20:$AG$266,T$131,FALSE)</f>
        <v>267</v>
      </c>
      <c r="U255" s="84">
        <f>VLOOKUP($A255,'US Census Population Estimates'!$A$20:$AG$266,U$131,FALSE)</f>
        <v>261</v>
      </c>
      <c r="V255" s="84" t="str">
        <f>VLOOKUP($A255,'US Census Population Estimates'!$A$20:$AG$266,V$131,FALSE)</f>
        <v/>
      </c>
      <c r="W255" s="84" t="str">
        <f>VLOOKUP($A255,'US Census Population Estimates'!$A$20:$AG$266,W$131,FALSE)</f>
        <v/>
      </c>
      <c r="X255" s="84" t="str">
        <f>VLOOKUP($A255,'US Census Population Estimates'!$A$20:$AG$266,X$131,FALSE)</f>
        <v/>
      </c>
      <c r="Y255" s="84" t="str">
        <f>VLOOKUP($A255,'US Census Population Estimates'!$A$20:$AG$266,Y$131,FALSE)</f>
        <v/>
      </c>
      <c r="Z255" s="84" t="str">
        <f>VLOOKUP($A255,'US Census Population Estimates'!$A$20:$AG$266,Z$131,FALSE)</f>
        <v/>
      </c>
      <c r="AA255" s="84" t="str">
        <f>VLOOKUP($A255,'US Census Population Estimates'!$A$20:$AG$266,AA$131,FALSE)</f>
        <v/>
      </c>
      <c r="AB255" s="84" t="str">
        <f>VLOOKUP($A255,'US Census Population Estimates'!$A$20:$AG$266,AB$131,FALSE)</f>
        <v/>
      </c>
      <c r="AC255" s="84" t="str">
        <f>VLOOKUP($A255,'US Census Population Estimates'!$A$20:$AG$266,AC$131,FALSE)</f>
        <v/>
      </c>
      <c r="AD255" s="84" t="str">
        <f>VLOOKUP($A255,'US Census Population Estimates'!$A$20:$AG$266,AD$131,FALSE)</f>
        <v/>
      </c>
      <c r="AE255" s="84" t="str">
        <f>VLOOKUP($A255,'US Census Population Estimates'!$A$20:$AG$266,AE$131,FALSE)</f>
        <v/>
      </c>
      <c r="AF255" s="84" t="str">
        <f>VLOOKUP($A255,'US Census Population Estimates'!$A$20:$AG$266,AF$131,FALSE)</f>
        <v/>
      </c>
      <c r="AG255" s="88" t="str">
        <f>VLOOKUP($A255,'US Census Population Estimates'!$A$20:$AG$266,AG$131,FALSE)</f>
        <v/>
      </c>
      <c r="AH255" s="24"/>
    </row>
    <row r="256" ht="12.75" customHeight="1">
      <c r="A256" s="46" t="s">
        <v>177</v>
      </c>
      <c r="B256" s="51" t="s">
        <v>51</v>
      </c>
      <c r="C256" s="84">
        <f>VLOOKUP($A256,'US Census Population Estimates'!$A$20:$AG$266,C$131,FALSE)</f>
        <v>3195</v>
      </c>
      <c r="D256" s="84">
        <f>VLOOKUP($A256,'US Census Population Estimates'!$A$20:$AG$266,D$131,FALSE)</f>
        <v>3195</v>
      </c>
      <c r="E256" s="84">
        <f>VLOOKUP($A256,'US Census Population Estimates'!$A$20:$AG$266,E$131,FALSE)</f>
        <v>3207</v>
      </c>
      <c r="F256" s="84">
        <f>VLOOKUP($A256,'US Census Population Estimates'!$A$20:$AG$266,F$131,FALSE)</f>
        <v>3224</v>
      </c>
      <c r="G256" s="84">
        <f>VLOOKUP($A256,'US Census Population Estimates'!$A$20:$AG$266,G$131,FALSE)</f>
        <v>3247</v>
      </c>
      <c r="H256" s="84">
        <f>VLOOKUP($A256,'US Census Population Estimates'!$A$20:$AG$266,H$131,FALSE)</f>
        <v>3273</v>
      </c>
      <c r="I256" s="84">
        <f>VLOOKUP($A256,'US Census Population Estimates'!$A$20:$AG$266,I$131,FALSE)</f>
        <v>3298</v>
      </c>
      <c r="J256" s="84">
        <f>VLOOKUP($A256,'US Census Population Estimates'!$A$20:$AG$266,J$131,FALSE)</f>
        <v>3357</v>
      </c>
      <c r="K256" s="84">
        <f>VLOOKUP($A256,'US Census Population Estimates'!$A$20:$AG$266,K$131,FALSE)</f>
        <v>3404</v>
      </c>
      <c r="L256" s="84">
        <f>VLOOKUP($A256,'US Census Population Estimates'!$A$20:$AG$266,L$131,FALSE)</f>
        <v>3462</v>
      </c>
      <c r="M256" s="84">
        <f>VLOOKUP($A256,'US Census Population Estimates'!$A$20:$AG$266,M$131,FALSE)</f>
        <v>3465</v>
      </c>
      <c r="N256" s="84">
        <f>VLOOKUP($A256,'US Census Population Estimates'!$A$20:$AG$266,N$131,FALSE)</f>
        <v>3446</v>
      </c>
      <c r="O256" s="84">
        <f>VLOOKUP($A256,'US Census Population Estimates'!$A$20:$AG$266,O$131,FALSE)</f>
        <v>3513</v>
      </c>
      <c r="P256" s="84">
        <f>VLOOKUP($A256,'US Census Population Estimates'!$A$20:$AG$266,P$131,FALSE)</f>
        <v>3649</v>
      </c>
      <c r="Q256" s="84">
        <f>VLOOKUP($A256,'US Census Population Estimates'!$A$20:$AG$266,Q$131,FALSE)</f>
        <v>3745</v>
      </c>
      <c r="R256" s="84">
        <f>VLOOKUP($A256,'US Census Population Estimates'!$A$20:$AG$266,R$131,FALSE)</f>
        <v>3853</v>
      </c>
      <c r="S256" s="84">
        <f>VLOOKUP($A256,'US Census Population Estimates'!$A$20:$AG$266,S$131,FALSE)</f>
        <v>3888</v>
      </c>
      <c r="T256" s="84">
        <f>VLOOKUP($A256,'US Census Population Estimates'!$A$20:$AG$266,T$131,FALSE)</f>
        <v>3899</v>
      </c>
      <c r="U256" s="84">
        <f>VLOOKUP($A256,'US Census Population Estimates'!$A$20:$AG$266,U$131,FALSE)</f>
        <v>3915</v>
      </c>
      <c r="V256" s="84" t="str">
        <f>VLOOKUP($A256,'US Census Population Estimates'!$A$20:$AG$266,V$131,FALSE)</f>
        <v/>
      </c>
      <c r="W256" s="84" t="str">
        <f>VLOOKUP($A256,'US Census Population Estimates'!$A$20:$AG$266,W$131,FALSE)</f>
        <v/>
      </c>
      <c r="X256" s="84" t="str">
        <f>VLOOKUP($A256,'US Census Population Estimates'!$A$20:$AG$266,X$131,FALSE)</f>
        <v/>
      </c>
      <c r="Y256" s="84" t="str">
        <f>VLOOKUP($A256,'US Census Population Estimates'!$A$20:$AG$266,Y$131,FALSE)</f>
        <v/>
      </c>
      <c r="Z256" s="84" t="str">
        <f>VLOOKUP($A256,'US Census Population Estimates'!$A$20:$AG$266,Z$131,FALSE)</f>
        <v/>
      </c>
      <c r="AA256" s="84" t="str">
        <f>VLOOKUP($A256,'US Census Population Estimates'!$A$20:$AG$266,AA$131,FALSE)</f>
        <v/>
      </c>
      <c r="AB256" s="84" t="str">
        <f>VLOOKUP($A256,'US Census Population Estimates'!$A$20:$AG$266,AB$131,FALSE)</f>
        <v/>
      </c>
      <c r="AC256" s="84" t="str">
        <f>VLOOKUP($A256,'US Census Population Estimates'!$A$20:$AG$266,AC$131,FALSE)</f>
        <v/>
      </c>
      <c r="AD256" s="84" t="str">
        <f>VLOOKUP($A256,'US Census Population Estimates'!$A$20:$AG$266,AD$131,FALSE)</f>
        <v/>
      </c>
      <c r="AE256" s="84" t="str">
        <f>VLOOKUP($A256,'US Census Population Estimates'!$A$20:$AG$266,AE$131,FALSE)</f>
        <v/>
      </c>
      <c r="AF256" s="84" t="str">
        <f>VLOOKUP($A256,'US Census Population Estimates'!$A$20:$AG$266,AF$131,FALSE)</f>
        <v/>
      </c>
      <c r="AG256" s="88" t="str">
        <f>VLOOKUP($A256,'US Census Population Estimates'!$A$20:$AG$266,AG$131,FALSE)</f>
        <v/>
      </c>
      <c r="AH256" s="24"/>
    </row>
    <row r="257" ht="12.75" customHeight="1">
      <c r="A257" s="46" t="s">
        <v>160</v>
      </c>
      <c r="B257" s="51" t="s">
        <v>51</v>
      </c>
      <c r="C257" s="84">
        <f>VLOOKUP($A257,'US Census Population Estimates'!$A$20:$AG$266,C$131,FALSE)</f>
        <v>1112</v>
      </c>
      <c r="D257" s="84">
        <f>VLOOKUP($A257,'US Census Population Estimates'!$A$20:$AG$266,D$131,FALSE)</f>
        <v>1111</v>
      </c>
      <c r="E257" s="84">
        <f>VLOOKUP($A257,'US Census Population Estimates'!$A$20:$AG$266,E$131,FALSE)</f>
        <v>1109</v>
      </c>
      <c r="F257" s="84">
        <f>VLOOKUP($A257,'US Census Population Estimates'!$A$20:$AG$266,F$131,FALSE)</f>
        <v>1109</v>
      </c>
      <c r="G257" s="84">
        <f>VLOOKUP($A257,'US Census Population Estimates'!$A$20:$AG$266,G$131,FALSE)</f>
        <v>1115</v>
      </c>
      <c r="H257" s="84">
        <f>VLOOKUP($A257,'US Census Population Estimates'!$A$20:$AG$266,H$131,FALSE)</f>
        <v>1108</v>
      </c>
      <c r="I257" s="84">
        <f>VLOOKUP($A257,'US Census Population Estimates'!$A$20:$AG$266,I$131,FALSE)</f>
        <v>1109</v>
      </c>
      <c r="J257" s="84">
        <f>VLOOKUP($A257,'US Census Population Estimates'!$A$20:$AG$266,J$131,FALSE)</f>
        <v>1108</v>
      </c>
      <c r="K257" s="84">
        <f>VLOOKUP($A257,'US Census Population Estimates'!$A$20:$AG$266,K$131,FALSE)</f>
        <v>1115</v>
      </c>
      <c r="L257" s="84">
        <f>VLOOKUP($A257,'US Census Population Estimates'!$A$20:$AG$266,L$131,FALSE)</f>
        <v>1121</v>
      </c>
      <c r="M257" s="84">
        <f>VLOOKUP($A257,'US Census Population Estimates'!$A$20:$AG$266,M$131,FALSE)</f>
        <v>1133</v>
      </c>
      <c r="N257" s="84">
        <f>VLOOKUP($A257,'US Census Population Estimates'!$A$20:$AG$266,N$131,FALSE)</f>
        <v>1131</v>
      </c>
      <c r="O257" s="84">
        <f>VLOOKUP($A257,'US Census Population Estimates'!$A$20:$AG$266,O$131,FALSE)</f>
        <v>1148</v>
      </c>
      <c r="P257" s="84">
        <f>VLOOKUP($A257,'US Census Population Estimates'!$A$20:$AG$266,P$131,FALSE)</f>
        <v>1153</v>
      </c>
      <c r="Q257" s="84">
        <f>VLOOKUP($A257,'US Census Population Estimates'!$A$20:$AG$266,Q$131,FALSE)</f>
        <v>1141</v>
      </c>
      <c r="R257" s="84">
        <f>VLOOKUP($A257,'US Census Population Estimates'!$A$20:$AG$266,R$131,FALSE)</f>
        <v>1144</v>
      </c>
      <c r="S257" s="84">
        <f>VLOOKUP($A257,'US Census Population Estimates'!$A$20:$AG$266,S$131,FALSE)</f>
        <v>1146</v>
      </c>
      <c r="T257" s="84">
        <f>VLOOKUP($A257,'US Census Population Estimates'!$A$20:$AG$266,T$131,FALSE)</f>
        <v>1142</v>
      </c>
      <c r="U257" s="84">
        <f>VLOOKUP($A257,'US Census Population Estimates'!$A$20:$AG$266,U$131,FALSE)</f>
        <v>1169</v>
      </c>
      <c r="V257" s="84" t="str">
        <f>VLOOKUP($A257,'US Census Population Estimates'!$A$20:$AG$266,V$131,FALSE)</f>
        <v/>
      </c>
      <c r="W257" s="84" t="str">
        <f>VLOOKUP($A257,'US Census Population Estimates'!$A$20:$AG$266,W$131,FALSE)</f>
        <v/>
      </c>
      <c r="X257" s="84" t="str">
        <f>VLOOKUP($A257,'US Census Population Estimates'!$A$20:$AG$266,X$131,FALSE)</f>
        <v/>
      </c>
      <c r="Y257" s="84" t="str">
        <f>VLOOKUP($A257,'US Census Population Estimates'!$A$20:$AG$266,Y$131,FALSE)</f>
        <v/>
      </c>
      <c r="Z257" s="84" t="str">
        <f>VLOOKUP($A257,'US Census Population Estimates'!$A$20:$AG$266,Z$131,FALSE)</f>
        <v/>
      </c>
      <c r="AA257" s="84" t="str">
        <f>VLOOKUP($A257,'US Census Population Estimates'!$A$20:$AG$266,AA$131,FALSE)</f>
        <v/>
      </c>
      <c r="AB257" s="84" t="str">
        <f>VLOOKUP($A257,'US Census Population Estimates'!$A$20:$AG$266,AB$131,FALSE)</f>
        <v/>
      </c>
      <c r="AC257" s="84" t="str">
        <f>VLOOKUP($A257,'US Census Population Estimates'!$A$20:$AG$266,AC$131,FALSE)</f>
        <v/>
      </c>
      <c r="AD257" s="84" t="str">
        <f>VLOOKUP($A257,'US Census Population Estimates'!$A$20:$AG$266,AD$131,FALSE)</f>
        <v/>
      </c>
      <c r="AE257" s="84" t="str">
        <f>VLOOKUP($A257,'US Census Population Estimates'!$A$20:$AG$266,AE$131,FALSE)</f>
        <v/>
      </c>
      <c r="AF257" s="84" t="str">
        <f>VLOOKUP($A257,'US Census Population Estimates'!$A$20:$AG$266,AF$131,FALSE)</f>
        <v/>
      </c>
      <c r="AG257" s="88" t="str">
        <f>VLOOKUP($A257,'US Census Population Estimates'!$A$20:$AG$266,AG$131,FALSE)</f>
        <v/>
      </c>
      <c r="AH257" s="24"/>
    </row>
    <row r="258" ht="12.75" customHeight="1">
      <c r="A258" s="46" t="s">
        <v>161</v>
      </c>
      <c r="B258" s="51" t="s">
        <v>51</v>
      </c>
      <c r="C258" s="84">
        <f>VLOOKUP($A258,'US Census Population Estimates'!$A$20:$AG$266,C$131,FALSE)</f>
        <v>440</v>
      </c>
      <c r="D258" s="84">
        <f>VLOOKUP($A258,'US Census Population Estimates'!$A$20:$AG$266,D$131,FALSE)</f>
        <v>430</v>
      </c>
      <c r="E258" s="84">
        <f>VLOOKUP($A258,'US Census Population Estimates'!$A$20:$AG$266,E$131,FALSE)</f>
        <v>431</v>
      </c>
      <c r="F258" s="84">
        <f>VLOOKUP($A258,'US Census Population Estimates'!$A$20:$AG$266,F$131,FALSE)</f>
        <v>426</v>
      </c>
      <c r="G258" s="84">
        <f>VLOOKUP($A258,'US Census Population Estimates'!$A$20:$AG$266,G$131,FALSE)</f>
        <v>424</v>
      </c>
      <c r="H258" s="84">
        <f>VLOOKUP($A258,'US Census Population Estimates'!$A$20:$AG$266,H$131,FALSE)</f>
        <v>427</v>
      </c>
      <c r="I258" s="84">
        <f>VLOOKUP($A258,'US Census Population Estimates'!$A$20:$AG$266,I$131,FALSE)</f>
        <v>428</v>
      </c>
      <c r="J258" s="84">
        <f>VLOOKUP($A258,'US Census Population Estimates'!$A$20:$AG$266,J$131,FALSE)</f>
        <v>431</v>
      </c>
      <c r="K258" s="84">
        <f>VLOOKUP($A258,'US Census Population Estimates'!$A$20:$AG$266,K$131,FALSE)</f>
        <v>439</v>
      </c>
      <c r="L258" s="84">
        <f>VLOOKUP($A258,'US Census Population Estimates'!$A$20:$AG$266,L$131,FALSE)</f>
        <v>444</v>
      </c>
      <c r="M258" s="84">
        <f>VLOOKUP($A258,'US Census Population Estimates'!$A$20:$AG$266,M$131,FALSE)</f>
        <v>437</v>
      </c>
      <c r="N258" s="84">
        <f>VLOOKUP($A258,'US Census Population Estimates'!$A$20:$AG$266,N$131,FALSE)</f>
        <v>433</v>
      </c>
      <c r="O258" s="84">
        <f>VLOOKUP($A258,'US Census Population Estimates'!$A$20:$AG$266,O$131,FALSE)</f>
        <v>438</v>
      </c>
      <c r="P258" s="84">
        <f>VLOOKUP($A258,'US Census Population Estimates'!$A$20:$AG$266,P$131,FALSE)</f>
        <v>445</v>
      </c>
      <c r="Q258" s="84">
        <f>VLOOKUP($A258,'US Census Population Estimates'!$A$20:$AG$266,Q$131,FALSE)</f>
        <v>437</v>
      </c>
      <c r="R258" s="84">
        <f>VLOOKUP($A258,'US Census Population Estimates'!$A$20:$AG$266,R$131,FALSE)</f>
        <v>437</v>
      </c>
      <c r="S258" s="84">
        <f>VLOOKUP($A258,'US Census Population Estimates'!$A$20:$AG$266,S$131,FALSE)</f>
        <v>429</v>
      </c>
      <c r="T258" s="84">
        <f>VLOOKUP($A258,'US Census Population Estimates'!$A$20:$AG$266,T$131,FALSE)</f>
        <v>419</v>
      </c>
      <c r="U258" s="84">
        <f>VLOOKUP($A258,'US Census Population Estimates'!$A$20:$AG$266,U$131,FALSE)</f>
        <v>406</v>
      </c>
      <c r="V258" s="84" t="str">
        <f>VLOOKUP($A258,'US Census Population Estimates'!$A$20:$AG$266,V$131,FALSE)</f>
        <v/>
      </c>
      <c r="W258" s="84" t="str">
        <f>VLOOKUP($A258,'US Census Population Estimates'!$A$20:$AG$266,W$131,FALSE)</f>
        <v/>
      </c>
      <c r="X258" s="84" t="str">
        <f>VLOOKUP($A258,'US Census Population Estimates'!$A$20:$AG$266,X$131,FALSE)</f>
        <v/>
      </c>
      <c r="Y258" s="84" t="str">
        <f>VLOOKUP($A258,'US Census Population Estimates'!$A$20:$AG$266,Y$131,FALSE)</f>
        <v/>
      </c>
      <c r="Z258" s="84" t="str">
        <f>VLOOKUP($A258,'US Census Population Estimates'!$A$20:$AG$266,Z$131,FALSE)</f>
        <v/>
      </c>
      <c r="AA258" s="84" t="str">
        <f>VLOOKUP($A258,'US Census Population Estimates'!$A$20:$AG$266,AA$131,FALSE)</f>
        <v/>
      </c>
      <c r="AB258" s="84" t="str">
        <f>VLOOKUP($A258,'US Census Population Estimates'!$A$20:$AG$266,AB$131,FALSE)</f>
        <v/>
      </c>
      <c r="AC258" s="84" t="str">
        <f>VLOOKUP($A258,'US Census Population Estimates'!$A$20:$AG$266,AC$131,FALSE)</f>
        <v/>
      </c>
      <c r="AD258" s="84" t="str">
        <f>VLOOKUP($A258,'US Census Population Estimates'!$A$20:$AG$266,AD$131,FALSE)</f>
        <v/>
      </c>
      <c r="AE258" s="84" t="str">
        <f>VLOOKUP($A258,'US Census Population Estimates'!$A$20:$AG$266,AE$131,FALSE)</f>
        <v/>
      </c>
      <c r="AF258" s="84" t="str">
        <f>VLOOKUP($A258,'US Census Population Estimates'!$A$20:$AG$266,AF$131,FALSE)</f>
        <v/>
      </c>
      <c r="AG258" s="88" t="str">
        <f>VLOOKUP($A258,'US Census Population Estimates'!$A$20:$AG$266,AG$131,FALSE)</f>
        <v/>
      </c>
      <c r="AH258" s="24"/>
    </row>
    <row r="259" ht="12.75" customHeight="1">
      <c r="A259" s="46" t="s">
        <v>162</v>
      </c>
      <c r="B259" s="51" t="s">
        <v>51</v>
      </c>
      <c r="C259" s="84">
        <f>VLOOKUP("Riverside town",'US Census Population Estimates'!$A$20:$AG$266,C$131,FALSE)</f>
        <v>60</v>
      </c>
      <c r="D259" s="84">
        <f>VLOOKUP("Riverside town",'US Census Population Estimates'!$A$20:$AG$266,D$131,FALSE)</f>
        <v>58</v>
      </c>
      <c r="E259" s="84">
        <f>VLOOKUP("Riverside town",'US Census Population Estimates'!$A$20:$AG$266,E$131,FALSE)</f>
        <v>57</v>
      </c>
      <c r="F259" s="84">
        <f>VLOOKUP("Riverside town",'US Census Population Estimates'!$A$20:$AG$266,F$131,FALSE)</f>
        <v>56</v>
      </c>
      <c r="G259" s="84">
        <f>VLOOKUP("Riverside town",'US Census Population Estimates'!$A$20:$AG$266,G$131,FALSE)</f>
        <v>55</v>
      </c>
      <c r="H259" s="84">
        <f>VLOOKUP("Riverside town",'US Census Population Estimates'!$A$20:$AG$266,H$131,FALSE)</f>
        <v>53</v>
      </c>
      <c r="I259" s="84">
        <f>VLOOKUP("Riverside town",'US Census Population Estimates'!$A$20:$AG$266,I$131,FALSE)</f>
        <v>53</v>
      </c>
      <c r="J259" s="84">
        <f>VLOOKUP("Riverside town",'US Census Population Estimates'!$A$20:$AG$266,J$131,FALSE)</f>
        <v>53</v>
      </c>
      <c r="K259" s="84">
        <f>VLOOKUP("Riverside town",'US Census Population Estimates'!$A$20:$AG$266,K$131,FALSE)</f>
        <v>53</v>
      </c>
      <c r="L259" s="84">
        <f>VLOOKUP("Riverside town",'US Census Population Estimates'!$A$20:$AG$266,L$131,FALSE)</f>
        <v>53</v>
      </c>
      <c r="M259" s="84">
        <f>VLOOKUP("Riverside town",'US Census Population Estimates'!$A$20:$AG$266,M$131,FALSE)</f>
        <v>52</v>
      </c>
      <c r="N259" s="84">
        <f>VLOOKUP("Riverside town",'US Census Population Estimates'!$A$20:$AG$266,N$131,FALSE)</f>
        <v>52</v>
      </c>
      <c r="O259" s="84">
        <f>VLOOKUP("Riverside town",'US Census Population Estimates'!$A$20:$AG$266,O$131,FALSE)</f>
        <v>51</v>
      </c>
      <c r="P259" s="84">
        <f>VLOOKUP("Riverside town",'US Census Population Estimates'!$A$20:$AG$266,P$131,FALSE)</f>
        <v>52</v>
      </c>
      <c r="Q259" s="84">
        <f>VLOOKUP("Riverside town",'US Census Population Estimates'!$A$20:$AG$266,Q$131,FALSE)</f>
        <v>52</v>
      </c>
      <c r="R259" s="84">
        <f>VLOOKUP("Riverside town",'US Census Population Estimates'!$A$20:$AG$266,R$131,FALSE)</f>
        <v>52</v>
      </c>
      <c r="S259" s="84">
        <f>VLOOKUP("Riverside town",'US Census Population Estimates'!$A$20:$AG$266,S$131,FALSE)</f>
        <v>54</v>
      </c>
      <c r="T259" s="84">
        <f>VLOOKUP("Riverside town",'US Census Population Estimates'!$A$20:$AG$266,T$131,FALSE)</f>
        <v>53</v>
      </c>
      <c r="U259" s="84">
        <f>VLOOKUP("Riverside town",'US Census Population Estimates'!$A$20:$AG$266,U$131,FALSE)</f>
        <v>53</v>
      </c>
      <c r="V259" s="84" t="str">
        <f>VLOOKUP("Riverside town",'US Census Population Estimates'!$A$20:$AG$266,V$131,FALSE)</f>
        <v/>
      </c>
      <c r="W259" s="84" t="str">
        <f>VLOOKUP("Riverside town",'US Census Population Estimates'!$A$20:$AG$266,W$131,FALSE)</f>
        <v/>
      </c>
      <c r="X259" s="84" t="str">
        <f>VLOOKUP("Riverside town",'US Census Population Estimates'!$A$20:$AG$266,X$131,FALSE)</f>
        <v/>
      </c>
      <c r="Y259" s="84" t="str">
        <f>VLOOKUP("Riverside town",'US Census Population Estimates'!$A$20:$AG$266,Y$131,FALSE)</f>
        <v/>
      </c>
      <c r="Z259" s="84" t="str">
        <f>VLOOKUP("Riverside town",'US Census Population Estimates'!$A$20:$AG$266,Z$131,FALSE)</f>
        <v/>
      </c>
      <c r="AA259" s="84" t="str">
        <f>VLOOKUP("Riverside town",'US Census Population Estimates'!$A$20:$AG$266,AA$131,FALSE)</f>
        <v/>
      </c>
      <c r="AB259" s="84" t="str">
        <f>VLOOKUP("Riverside town",'US Census Population Estimates'!$A$20:$AG$266,AB$131,FALSE)</f>
        <v/>
      </c>
      <c r="AC259" s="84" t="str">
        <f>VLOOKUP("Riverside town",'US Census Population Estimates'!$A$20:$AG$266,AC$131,FALSE)</f>
        <v/>
      </c>
      <c r="AD259" s="84" t="str">
        <f>VLOOKUP("Riverside town",'US Census Population Estimates'!$A$20:$AG$266,AD$131,FALSE)</f>
        <v/>
      </c>
      <c r="AE259" s="84" t="str">
        <f>VLOOKUP("Riverside town",'US Census Population Estimates'!$A$20:$AG$266,AE$131,FALSE)</f>
        <v/>
      </c>
      <c r="AF259" s="84" t="str">
        <f>VLOOKUP("Riverside town",'US Census Population Estimates'!$A$20:$AG$266,AF$131,FALSE)</f>
        <v/>
      </c>
      <c r="AG259" s="88" t="str">
        <f>VLOOKUP("Riverside town",'US Census Population Estimates'!$A$20:$AG$266,AG$131,FALSE)</f>
        <v/>
      </c>
      <c r="AH259" s="24"/>
    </row>
    <row r="260" ht="12.75" customHeight="1">
      <c r="A260" s="46" t="s">
        <v>163</v>
      </c>
      <c r="B260" s="51" t="s">
        <v>51</v>
      </c>
      <c r="C260" s="84">
        <f>VLOOKUP($A260,'US Census Population Estimates'!$A$20:$AG$266,C$131,FALSE)</f>
        <v>5999</v>
      </c>
      <c r="D260" s="84">
        <f>VLOOKUP($A260,'US Census Population Estimates'!$A$20:$AG$266,D$131,FALSE)</f>
        <v>5979</v>
      </c>
      <c r="E260" s="84">
        <f>VLOOKUP($A260,'US Census Population Estimates'!$A$20:$AG$266,E$131,FALSE)</f>
        <v>5953</v>
      </c>
      <c r="F260" s="84">
        <f>VLOOKUP($A260,'US Census Population Estimates'!$A$20:$AG$266,F$131,FALSE)</f>
        <v>5966</v>
      </c>
      <c r="G260" s="84">
        <f>VLOOKUP($A260,'US Census Population Estimates'!$A$20:$AG$266,G$131,FALSE)</f>
        <v>6028</v>
      </c>
      <c r="H260" s="84">
        <f>VLOOKUP($A260,'US Census Population Estimates'!$A$20:$AG$266,H$131,FALSE)</f>
        <v>6031</v>
      </c>
      <c r="I260" s="84">
        <f>VLOOKUP($A260,'US Census Population Estimates'!$A$20:$AG$266,I$131,FALSE)</f>
        <v>6090</v>
      </c>
      <c r="J260" s="84">
        <f>VLOOKUP($A260,'US Census Population Estimates'!$A$20:$AG$266,J$131,FALSE)</f>
        <v>6165</v>
      </c>
      <c r="K260" s="84">
        <f>VLOOKUP($A260,'US Census Population Estimates'!$A$20:$AG$266,K$131,FALSE)</f>
        <v>6252</v>
      </c>
      <c r="L260" s="84">
        <f>VLOOKUP($A260,'US Census Population Estimates'!$A$20:$AG$266,L$131,FALSE)</f>
        <v>6356</v>
      </c>
      <c r="M260" s="84">
        <f>VLOOKUP($A260,'US Census Population Estimates'!$A$20:$AG$266,M$131,FALSE)</f>
        <v>6637</v>
      </c>
      <c r="N260" s="84">
        <f>VLOOKUP($A260,'US Census Population Estimates'!$A$20:$AG$266,N$131,FALSE)</f>
        <v>6725</v>
      </c>
      <c r="O260" s="84">
        <f>VLOOKUP($A260,'US Census Population Estimates'!$A$20:$AG$266,O$131,FALSE)</f>
        <v>6765</v>
      </c>
      <c r="P260" s="84">
        <f>VLOOKUP($A260,'US Census Population Estimates'!$A$20:$AG$266,P$131,FALSE)</f>
        <v>6742</v>
      </c>
      <c r="Q260" s="84">
        <f>VLOOKUP($A260,'US Census Population Estimates'!$A$20:$AG$266,Q$131,FALSE)</f>
        <v>6732</v>
      </c>
      <c r="R260" s="84">
        <f>VLOOKUP($A260,'US Census Population Estimates'!$A$20:$AG$266,R$131,FALSE)</f>
        <v>6780</v>
      </c>
      <c r="S260" s="84">
        <f>VLOOKUP($A260,'US Census Population Estimates'!$A$20:$AG$266,S$131,FALSE)</f>
        <v>6679</v>
      </c>
      <c r="T260" s="84">
        <f>VLOOKUP($A260,'US Census Population Estimates'!$A$20:$AG$266,T$131,FALSE)</f>
        <v>6691</v>
      </c>
      <c r="U260" s="84">
        <f>VLOOKUP($A260,'US Census Population Estimates'!$A$20:$AG$266,U$131,FALSE)</f>
        <v>6701</v>
      </c>
      <c r="V260" s="84" t="str">
        <f>VLOOKUP($A260,'US Census Population Estimates'!$A$20:$AG$266,V$131,FALSE)</f>
        <v/>
      </c>
      <c r="W260" s="84" t="str">
        <f>VLOOKUP($A260,'US Census Population Estimates'!$A$20:$AG$266,W$131,FALSE)</f>
        <v/>
      </c>
      <c r="X260" s="84" t="str">
        <f>VLOOKUP($A260,'US Census Population Estimates'!$A$20:$AG$266,X$131,FALSE)</f>
        <v/>
      </c>
      <c r="Y260" s="84" t="str">
        <f>VLOOKUP($A260,'US Census Population Estimates'!$A$20:$AG$266,Y$131,FALSE)</f>
        <v/>
      </c>
      <c r="Z260" s="84" t="str">
        <f>VLOOKUP($A260,'US Census Population Estimates'!$A$20:$AG$266,Z$131,FALSE)</f>
        <v/>
      </c>
      <c r="AA260" s="84" t="str">
        <f>VLOOKUP($A260,'US Census Population Estimates'!$A$20:$AG$266,AA$131,FALSE)</f>
        <v/>
      </c>
      <c r="AB260" s="84" t="str">
        <f>VLOOKUP($A260,'US Census Population Estimates'!$A$20:$AG$266,AB$131,FALSE)</f>
        <v/>
      </c>
      <c r="AC260" s="84" t="str">
        <f>VLOOKUP($A260,'US Census Population Estimates'!$A$20:$AG$266,AC$131,FALSE)</f>
        <v/>
      </c>
      <c r="AD260" s="84" t="str">
        <f>VLOOKUP($A260,'US Census Population Estimates'!$A$20:$AG$266,AD$131,FALSE)</f>
        <v/>
      </c>
      <c r="AE260" s="84" t="str">
        <f>VLOOKUP($A260,'US Census Population Estimates'!$A$20:$AG$266,AE$131,FALSE)</f>
        <v/>
      </c>
      <c r="AF260" s="84" t="str">
        <f>VLOOKUP($A260,'US Census Population Estimates'!$A$20:$AG$266,AF$131,FALSE)</f>
        <v/>
      </c>
      <c r="AG260" s="88" t="str">
        <f>VLOOKUP($A260,'US Census Population Estimates'!$A$20:$AG$266,AG$131,FALSE)</f>
        <v/>
      </c>
      <c r="AH260" s="24"/>
    </row>
    <row r="261" ht="12.75" customHeight="1">
      <c r="A261" s="46" t="s">
        <v>164</v>
      </c>
      <c r="B261" s="51" t="s">
        <v>51</v>
      </c>
      <c r="C261" s="84">
        <f>VLOOKUP($A261,'US Census Population Estimates'!$A$20:$AG$266,C$131,FALSE)</f>
        <v>3542</v>
      </c>
      <c r="D261" s="84">
        <f>VLOOKUP($A261,'US Census Population Estimates'!$A$20:$AG$266,D$131,FALSE)</f>
        <v>3559</v>
      </c>
      <c r="E261" s="84">
        <f>VLOOKUP($A261,'US Census Population Estimates'!$A$20:$AG$266,E$131,FALSE)</f>
        <v>3568</v>
      </c>
      <c r="F261" s="84">
        <f>VLOOKUP($A261,'US Census Population Estimates'!$A$20:$AG$266,F$131,FALSE)</f>
        <v>3548</v>
      </c>
      <c r="G261" s="84">
        <f>VLOOKUP($A261,'US Census Population Estimates'!$A$20:$AG$266,G$131,FALSE)</f>
        <v>3576</v>
      </c>
      <c r="H261" s="84">
        <f>VLOOKUP($A261,'US Census Population Estimates'!$A$20:$AG$266,H$131,FALSE)</f>
        <v>3568</v>
      </c>
      <c r="I261" s="84">
        <f>VLOOKUP($A261,'US Census Population Estimates'!$A$20:$AG$266,I$131,FALSE)</f>
        <v>3584</v>
      </c>
      <c r="J261" s="84">
        <f>VLOOKUP($A261,'US Census Population Estimates'!$A$20:$AG$266,J$131,FALSE)</f>
        <v>3594</v>
      </c>
      <c r="K261" s="84">
        <f>VLOOKUP($A261,'US Census Population Estimates'!$A$20:$AG$266,K$131,FALSE)</f>
        <v>3584</v>
      </c>
      <c r="L261" s="84">
        <f>VLOOKUP($A261,'US Census Population Estimates'!$A$20:$AG$266,L$131,FALSE)</f>
        <v>3592</v>
      </c>
      <c r="M261" s="84">
        <f>VLOOKUP($A261,'US Census Population Estimates'!$A$20:$AG$266,M$131,FALSE)</f>
        <v>3623</v>
      </c>
      <c r="N261" s="84">
        <f>VLOOKUP($A261,'US Census Population Estimates'!$A$20:$AG$266,N$131,FALSE)</f>
        <v>3622</v>
      </c>
      <c r="O261" s="84">
        <f>VLOOKUP($A261,'US Census Population Estimates'!$A$20:$AG$266,O$131,FALSE)</f>
        <v>3629</v>
      </c>
      <c r="P261" s="84">
        <f>VLOOKUP($A261,'US Census Population Estimates'!$A$20:$AG$266,P$131,FALSE)</f>
        <v>3625</v>
      </c>
      <c r="Q261" s="84">
        <f>VLOOKUP($A261,'US Census Population Estimates'!$A$20:$AG$266,Q$131,FALSE)</f>
        <v>3646</v>
      </c>
      <c r="R261" s="84">
        <f>VLOOKUP($A261,'US Census Population Estimates'!$A$20:$AG$266,R$131,FALSE)</f>
        <v>3650</v>
      </c>
      <c r="S261" s="84">
        <f>VLOOKUP($A261,'US Census Population Estimates'!$A$20:$AG$266,S$131,FALSE)</f>
        <v>3598</v>
      </c>
      <c r="T261" s="84">
        <f>VLOOKUP($A261,'US Census Population Estimates'!$A$20:$AG$266,T$131,FALSE)</f>
        <v>3565</v>
      </c>
      <c r="U261" s="84">
        <f>VLOOKUP($A261,'US Census Population Estimates'!$A$20:$AG$266,U$131,FALSE)</f>
        <v>3553</v>
      </c>
      <c r="V261" s="84" t="str">
        <f>VLOOKUP($A261,'US Census Population Estimates'!$A$20:$AG$266,V$131,FALSE)</f>
        <v/>
      </c>
      <c r="W261" s="84" t="str">
        <f>VLOOKUP($A261,'US Census Population Estimates'!$A$20:$AG$266,W$131,FALSE)</f>
        <v/>
      </c>
      <c r="X261" s="84" t="str">
        <f>VLOOKUP($A261,'US Census Population Estimates'!$A$20:$AG$266,X$131,FALSE)</f>
        <v/>
      </c>
      <c r="Y261" s="84" t="str">
        <f>VLOOKUP($A261,'US Census Population Estimates'!$A$20:$AG$266,Y$131,FALSE)</f>
        <v/>
      </c>
      <c r="Z261" s="84" t="str">
        <f>VLOOKUP($A261,'US Census Population Estimates'!$A$20:$AG$266,Z$131,FALSE)</f>
        <v/>
      </c>
      <c r="AA261" s="84" t="str">
        <f>VLOOKUP($A261,'US Census Population Estimates'!$A$20:$AG$266,AA$131,FALSE)</f>
        <v/>
      </c>
      <c r="AB261" s="84" t="str">
        <f>VLOOKUP($A261,'US Census Population Estimates'!$A$20:$AG$266,AB$131,FALSE)</f>
        <v/>
      </c>
      <c r="AC261" s="84" t="str">
        <f>VLOOKUP($A261,'US Census Population Estimates'!$A$20:$AG$266,AC$131,FALSE)</f>
        <v/>
      </c>
      <c r="AD261" s="84" t="str">
        <f>VLOOKUP($A261,'US Census Population Estimates'!$A$20:$AG$266,AD$131,FALSE)</f>
        <v/>
      </c>
      <c r="AE261" s="84" t="str">
        <f>VLOOKUP($A261,'US Census Population Estimates'!$A$20:$AG$266,AE$131,FALSE)</f>
        <v/>
      </c>
      <c r="AF261" s="84" t="str">
        <f>VLOOKUP($A261,'US Census Population Estimates'!$A$20:$AG$266,AF$131,FALSE)</f>
        <v/>
      </c>
      <c r="AG261" s="88" t="str">
        <f>VLOOKUP($A261,'US Census Population Estimates'!$A$20:$AG$266,AG$131,FALSE)</f>
        <v/>
      </c>
      <c r="AH261" s="24"/>
    </row>
    <row r="262" ht="12.75" customHeight="1">
      <c r="A262" s="46" t="s">
        <v>165</v>
      </c>
      <c r="B262" s="51" t="s">
        <v>52</v>
      </c>
      <c r="C262" s="84">
        <f>VLOOKUP($A262,'US Census Population Estimates'!$A$20:$AG$266,C$131,FALSE)</f>
        <v>440</v>
      </c>
      <c r="D262" s="84">
        <f>VLOOKUP($A262,'US Census Population Estimates'!$A$20:$AG$266,D$131,FALSE)</f>
        <v>435</v>
      </c>
      <c r="E262" s="84">
        <f>VLOOKUP($A262,'US Census Population Estimates'!$A$20:$AG$266,E$131,FALSE)</f>
        <v>435</v>
      </c>
      <c r="F262" s="84">
        <f>VLOOKUP($A262,'US Census Population Estimates'!$A$20:$AG$266,F$131,FALSE)</f>
        <v>433</v>
      </c>
      <c r="G262" s="84">
        <f>VLOOKUP($A262,'US Census Population Estimates'!$A$20:$AG$266,G$131,FALSE)</f>
        <v>433</v>
      </c>
      <c r="H262" s="84">
        <f>VLOOKUP($A262,'US Census Population Estimates'!$A$20:$AG$266,H$131,FALSE)</f>
        <v>428</v>
      </c>
      <c r="I262" s="84">
        <f>VLOOKUP($A262,'US Census Population Estimates'!$A$20:$AG$266,I$131,FALSE)</f>
        <v>432</v>
      </c>
      <c r="J262" s="84">
        <f>VLOOKUP($A262,'US Census Population Estimates'!$A$20:$AG$266,J$131,FALSE)</f>
        <v>441</v>
      </c>
      <c r="K262" s="84">
        <f>VLOOKUP($A262,'US Census Population Estimates'!$A$20:$AG$266,K$131,FALSE)</f>
        <v>447</v>
      </c>
      <c r="L262" s="84">
        <f>VLOOKUP($A262,'US Census Population Estimates'!$A$20:$AG$266,L$131,FALSE)</f>
        <v>453</v>
      </c>
      <c r="M262" s="84">
        <f>VLOOKUP($A262,'US Census Population Estimates'!$A$20:$AG$266,M$131,FALSE)</f>
        <v>449</v>
      </c>
      <c r="N262" s="84">
        <f>VLOOKUP($A262,'US Census Population Estimates'!$A$20:$AG$266,N$131,FALSE)</f>
        <v>449</v>
      </c>
      <c r="O262" s="84">
        <f>VLOOKUP($A262,'US Census Population Estimates'!$A$20:$AG$266,O$131,FALSE)</f>
        <v>446</v>
      </c>
      <c r="P262" s="84">
        <f>VLOOKUP($A262,'US Census Population Estimates'!$A$20:$AG$266,P$131,FALSE)</f>
        <v>448</v>
      </c>
      <c r="Q262" s="84">
        <f>VLOOKUP($A262,'US Census Population Estimates'!$A$20:$AG$266,Q$131,FALSE)</f>
        <v>449</v>
      </c>
      <c r="R262" s="84">
        <f>VLOOKUP($A262,'US Census Population Estimates'!$A$20:$AG$266,R$131,FALSE)</f>
        <v>440</v>
      </c>
      <c r="S262" s="84">
        <f>VLOOKUP($A262,'US Census Population Estimates'!$A$20:$AG$266,S$131,FALSE)</f>
        <v>445</v>
      </c>
      <c r="T262" s="84">
        <f>VLOOKUP($A262,'US Census Population Estimates'!$A$20:$AG$266,T$131,FALSE)</f>
        <v>436</v>
      </c>
      <c r="U262" s="84">
        <f>VLOOKUP($A262,'US Census Population Estimates'!$A$20:$AG$266,U$131,FALSE)</f>
        <v>427</v>
      </c>
      <c r="V262" s="84" t="str">
        <f>VLOOKUP($A262,'US Census Population Estimates'!$A$20:$AG$266,V$131,FALSE)</f>
        <v/>
      </c>
      <c r="W262" s="84" t="str">
        <f>VLOOKUP($A262,'US Census Population Estimates'!$A$20:$AG$266,W$131,FALSE)</f>
        <v/>
      </c>
      <c r="X262" s="84" t="str">
        <f>VLOOKUP($A262,'US Census Population Estimates'!$A$20:$AG$266,X$131,FALSE)</f>
        <v/>
      </c>
      <c r="Y262" s="84" t="str">
        <f>VLOOKUP($A262,'US Census Population Estimates'!$A$20:$AG$266,Y$131,FALSE)</f>
        <v/>
      </c>
      <c r="Z262" s="84" t="str">
        <f>VLOOKUP($A262,'US Census Population Estimates'!$A$20:$AG$266,Z$131,FALSE)</f>
        <v/>
      </c>
      <c r="AA262" s="84" t="str">
        <f>VLOOKUP($A262,'US Census Population Estimates'!$A$20:$AG$266,AA$131,FALSE)</f>
        <v/>
      </c>
      <c r="AB262" s="84" t="str">
        <f>VLOOKUP($A262,'US Census Population Estimates'!$A$20:$AG$266,AB$131,FALSE)</f>
        <v/>
      </c>
      <c r="AC262" s="84" t="str">
        <f>VLOOKUP($A262,'US Census Population Estimates'!$A$20:$AG$266,AC$131,FALSE)</f>
        <v/>
      </c>
      <c r="AD262" s="84" t="str">
        <f>VLOOKUP($A262,'US Census Population Estimates'!$A$20:$AG$266,AD$131,FALSE)</f>
        <v/>
      </c>
      <c r="AE262" s="84" t="str">
        <f>VLOOKUP($A262,'US Census Population Estimates'!$A$20:$AG$266,AE$131,FALSE)</f>
        <v/>
      </c>
      <c r="AF262" s="84" t="str">
        <f>VLOOKUP($A262,'US Census Population Estimates'!$A$20:$AG$266,AF$131,FALSE)</f>
        <v/>
      </c>
      <c r="AG262" s="88" t="str">
        <f>VLOOKUP($A262,'US Census Population Estimates'!$A$20:$AG$266,AG$131,FALSE)</f>
        <v/>
      </c>
      <c r="AH262" s="24"/>
    </row>
    <row r="263" ht="12.75" customHeight="1">
      <c r="A263" s="46" t="s">
        <v>167</v>
      </c>
      <c r="B263" s="51" t="s">
        <v>52</v>
      </c>
      <c r="C263" s="84">
        <f>VLOOKUP($A263,'US Census Population Estimates'!$A$20:$AG$266,C$131,FALSE)</f>
        <v>2251</v>
      </c>
      <c r="D263" s="84">
        <f>VLOOKUP($A263,'US Census Population Estimates'!$A$20:$AG$266,D$131,FALSE)</f>
        <v>2263</v>
      </c>
      <c r="E263" s="84">
        <f>VLOOKUP($A263,'US Census Population Estimates'!$A$20:$AG$266,E$131,FALSE)</f>
        <v>2282</v>
      </c>
      <c r="F263" s="84">
        <f>VLOOKUP($A263,'US Census Population Estimates'!$A$20:$AG$266,F$131,FALSE)</f>
        <v>2304</v>
      </c>
      <c r="G263" s="84">
        <f>VLOOKUP($A263,'US Census Population Estimates'!$A$20:$AG$266,G$131,FALSE)</f>
        <v>2330</v>
      </c>
      <c r="H263" s="84">
        <f>VLOOKUP($A263,'US Census Population Estimates'!$A$20:$AG$266,H$131,FALSE)</f>
        <v>2359</v>
      </c>
      <c r="I263" s="84">
        <f>VLOOKUP($A263,'US Census Population Estimates'!$A$20:$AG$266,I$131,FALSE)</f>
        <v>2387</v>
      </c>
      <c r="J263" s="84">
        <f>VLOOKUP($A263,'US Census Population Estimates'!$A$20:$AG$266,J$131,FALSE)</f>
        <v>2440</v>
      </c>
      <c r="K263" s="84">
        <f>VLOOKUP($A263,'US Census Population Estimates'!$A$20:$AG$266,K$131,FALSE)</f>
        <v>2485</v>
      </c>
      <c r="L263" s="84">
        <f>VLOOKUP($A263,'US Census Population Estimates'!$A$20:$AG$266,L$131,FALSE)</f>
        <v>2537</v>
      </c>
      <c r="M263" s="84">
        <f>VLOOKUP($A263,'US Census Population Estimates'!$A$20:$AG$266,M$131,FALSE)</f>
        <v>2619</v>
      </c>
      <c r="N263" s="84">
        <f>VLOOKUP($A263,'US Census Population Estimates'!$A$20:$AG$266,N$131,FALSE)</f>
        <v>2766</v>
      </c>
      <c r="O263" s="84">
        <f>VLOOKUP($A263,'US Census Population Estimates'!$A$20:$AG$266,O$131,FALSE)</f>
        <v>2829</v>
      </c>
      <c r="P263" s="84">
        <f>VLOOKUP($A263,'US Census Population Estimates'!$A$20:$AG$266,P$131,FALSE)</f>
        <v>2886</v>
      </c>
      <c r="Q263" s="84">
        <f>VLOOKUP($A263,'US Census Population Estimates'!$A$20:$AG$266,Q$131,FALSE)</f>
        <v>2864</v>
      </c>
      <c r="R263" s="84">
        <f>VLOOKUP($A263,'US Census Population Estimates'!$A$20:$AG$266,R$131,FALSE)</f>
        <v>2969</v>
      </c>
      <c r="S263" s="84">
        <f>VLOOKUP($A263,'US Census Population Estimates'!$A$20:$AG$266,S$131,FALSE)</f>
        <v>2997</v>
      </c>
      <c r="T263" s="84">
        <f>VLOOKUP($A263,'US Census Population Estimates'!$A$20:$AG$266,T$131,FALSE)</f>
        <v>2950</v>
      </c>
      <c r="U263" s="84">
        <f>VLOOKUP($A263,'US Census Population Estimates'!$A$20:$AG$266,U$131,FALSE)</f>
        <v>2934</v>
      </c>
      <c r="V263" s="84" t="str">
        <f>VLOOKUP($A263,'US Census Population Estimates'!$A$20:$AG$266,V$131,FALSE)</f>
        <v/>
      </c>
      <c r="W263" s="84" t="str">
        <f>VLOOKUP($A263,'US Census Population Estimates'!$A$20:$AG$266,W$131,FALSE)</f>
        <v/>
      </c>
      <c r="X263" s="84" t="str">
        <f>VLOOKUP($A263,'US Census Population Estimates'!$A$20:$AG$266,X$131,FALSE)</f>
        <v/>
      </c>
      <c r="Y263" s="84" t="str">
        <f>VLOOKUP($A263,'US Census Population Estimates'!$A$20:$AG$266,Y$131,FALSE)</f>
        <v/>
      </c>
      <c r="Z263" s="84" t="str">
        <f>VLOOKUP($A263,'US Census Population Estimates'!$A$20:$AG$266,Z$131,FALSE)</f>
        <v/>
      </c>
      <c r="AA263" s="84" t="str">
        <f>VLOOKUP($A263,'US Census Population Estimates'!$A$20:$AG$266,AA$131,FALSE)</f>
        <v/>
      </c>
      <c r="AB263" s="84" t="str">
        <f>VLOOKUP($A263,'US Census Population Estimates'!$A$20:$AG$266,AB$131,FALSE)</f>
        <v/>
      </c>
      <c r="AC263" s="84" t="str">
        <f>VLOOKUP($A263,'US Census Population Estimates'!$A$20:$AG$266,AC$131,FALSE)</f>
        <v/>
      </c>
      <c r="AD263" s="84" t="str">
        <f>VLOOKUP($A263,'US Census Population Estimates'!$A$20:$AG$266,AD$131,FALSE)</f>
        <v/>
      </c>
      <c r="AE263" s="84" t="str">
        <f>VLOOKUP($A263,'US Census Population Estimates'!$A$20:$AG$266,AE$131,FALSE)</f>
        <v/>
      </c>
      <c r="AF263" s="84" t="str">
        <f>VLOOKUP($A263,'US Census Population Estimates'!$A$20:$AG$266,AF$131,FALSE)</f>
        <v/>
      </c>
      <c r="AG263" s="88" t="str">
        <f>VLOOKUP($A263,'US Census Population Estimates'!$A$20:$AG$266,AG$131,FALSE)</f>
        <v/>
      </c>
      <c r="AH263" s="24"/>
    </row>
    <row r="264" ht="12.75" customHeight="1">
      <c r="A264" s="46" t="s">
        <v>168</v>
      </c>
      <c r="B264" s="51" t="s">
        <v>52</v>
      </c>
      <c r="C264" s="84">
        <f>VLOOKUP($A264,'US Census Population Estimates'!$A$20:$AG$266,C$131,FALSE)</f>
        <v>874</v>
      </c>
      <c r="D264" s="84">
        <f>VLOOKUP($A264,'US Census Population Estimates'!$A$20:$AG$266,D$131,FALSE)</f>
        <v>859</v>
      </c>
      <c r="E264" s="84">
        <f>VLOOKUP($A264,'US Census Population Estimates'!$A$20:$AG$266,E$131,FALSE)</f>
        <v>854</v>
      </c>
      <c r="F264" s="84">
        <f>VLOOKUP($A264,'US Census Population Estimates'!$A$20:$AG$266,F$131,FALSE)</f>
        <v>844</v>
      </c>
      <c r="G264" s="84">
        <f>VLOOKUP($A264,'US Census Population Estimates'!$A$20:$AG$266,G$131,FALSE)</f>
        <v>838</v>
      </c>
      <c r="H264" s="84">
        <f>VLOOKUP($A264,'US Census Population Estimates'!$A$20:$AG$266,H$131,FALSE)</f>
        <v>824</v>
      </c>
      <c r="I264" s="84">
        <f>VLOOKUP($A264,'US Census Population Estimates'!$A$20:$AG$266,I$131,FALSE)</f>
        <v>826</v>
      </c>
      <c r="J264" s="84">
        <f>VLOOKUP($A264,'US Census Population Estimates'!$A$20:$AG$266,J$131,FALSE)</f>
        <v>839</v>
      </c>
      <c r="K264" s="84">
        <f>VLOOKUP($A264,'US Census Population Estimates'!$A$20:$AG$266,K$131,FALSE)</f>
        <v>845</v>
      </c>
      <c r="L264" s="84">
        <f>VLOOKUP($A264,'US Census Population Estimates'!$A$20:$AG$266,L$131,FALSE)</f>
        <v>850</v>
      </c>
      <c r="M264" s="84">
        <f>VLOOKUP($A264,'US Census Population Estimates'!$A$20:$AG$266,M$131,FALSE)</f>
        <v>839</v>
      </c>
      <c r="N264" s="84">
        <f>VLOOKUP($A264,'US Census Population Estimates'!$A$20:$AG$266,N$131,FALSE)</f>
        <v>837</v>
      </c>
      <c r="O264" s="84">
        <f>VLOOKUP($A264,'US Census Population Estimates'!$A$20:$AG$266,O$131,FALSE)</f>
        <v>830</v>
      </c>
      <c r="P264" s="84">
        <f>VLOOKUP($A264,'US Census Population Estimates'!$A$20:$AG$266,P$131,FALSE)</f>
        <v>833</v>
      </c>
      <c r="Q264" s="84">
        <f>VLOOKUP($A264,'US Census Population Estimates'!$A$20:$AG$266,Q$131,FALSE)</f>
        <v>833</v>
      </c>
      <c r="R264" s="84">
        <f>VLOOKUP($A264,'US Census Population Estimates'!$A$20:$AG$266,R$131,FALSE)</f>
        <v>816</v>
      </c>
      <c r="S264" s="84">
        <f>VLOOKUP($A264,'US Census Population Estimates'!$A$20:$AG$266,S$131,FALSE)</f>
        <v>819</v>
      </c>
      <c r="T264" s="84">
        <f>VLOOKUP($A264,'US Census Population Estimates'!$A$20:$AG$266,T$131,FALSE)</f>
        <v>793</v>
      </c>
      <c r="U264" s="84">
        <f>VLOOKUP($A264,'US Census Population Estimates'!$A$20:$AG$266,U$131,FALSE)</f>
        <v>774</v>
      </c>
      <c r="V264" s="84" t="str">
        <f>VLOOKUP($A264,'US Census Population Estimates'!$A$20:$AG$266,V$131,FALSE)</f>
        <v/>
      </c>
      <c r="W264" s="84" t="str">
        <f>VLOOKUP($A264,'US Census Population Estimates'!$A$20:$AG$266,W$131,FALSE)</f>
        <v/>
      </c>
      <c r="X264" s="84" t="str">
        <f>VLOOKUP($A264,'US Census Population Estimates'!$A$20:$AG$266,X$131,FALSE)</f>
        <v/>
      </c>
      <c r="Y264" s="84" t="str">
        <f>VLOOKUP($A264,'US Census Population Estimates'!$A$20:$AG$266,Y$131,FALSE)</f>
        <v/>
      </c>
      <c r="Z264" s="84" t="str">
        <f>VLOOKUP($A264,'US Census Population Estimates'!$A$20:$AG$266,Z$131,FALSE)</f>
        <v/>
      </c>
      <c r="AA264" s="84" t="str">
        <f>VLOOKUP($A264,'US Census Population Estimates'!$A$20:$AG$266,AA$131,FALSE)</f>
        <v/>
      </c>
      <c r="AB264" s="84" t="str">
        <f>VLOOKUP($A264,'US Census Population Estimates'!$A$20:$AG$266,AB$131,FALSE)</f>
        <v/>
      </c>
      <c r="AC264" s="84" t="str">
        <f>VLOOKUP($A264,'US Census Population Estimates'!$A$20:$AG$266,AC$131,FALSE)</f>
        <v/>
      </c>
      <c r="AD264" s="84" t="str">
        <f>VLOOKUP($A264,'US Census Population Estimates'!$A$20:$AG$266,AD$131,FALSE)</f>
        <v/>
      </c>
      <c r="AE264" s="84" t="str">
        <f>VLOOKUP($A264,'US Census Population Estimates'!$A$20:$AG$266,AE$131,FALSE)</f>
        <v/>
      </c>
      <c r="AF264" s="84" t="str">
        <f>VLOOKUP($A264,'US Census Population Estimates'!$A$20:$AG$266,AF$131,FALSE)</f>
        <v/>
      </c>
      <c r="AG264" s="88" t="str">
        <f>VLOOKUP($A264,'US Census Population Estimates'!$A$20:$AG$266,AG$131,FALSE)</f>
        <v/>
      </c>
      <c r="AH264" s="24"/>
    </row>
    <row r="265" ht="12.75" customHeight="1">
      <c r="A265" s="46" t="s">
        <v>169</v>
      </c>
      <c r="B265" s="51" t="s">
        <v>52</v>
      </c>
      <c r="C265" s="84">
        <f>VLOOKUP($A265,'US Census Population Estimates'!$A$20:$AG$266,C$131,FALSE)</f>
        <v>230</v>
      </c>
      <c r="D265" s="84">
        <f>VLOOKUP($A265,'US Census Population Estimates'!$A$20:$AG$266,D$131,FALSE)</f>
        <v>231</v>
      </c>
      <c r="E265" s="84">
        <f>VLOOKUP($A265,'US Census Population Estimates'!$A$20:$AG$266,E$131,FALSE)</f>
        <v>231</v>
      </c>
      <c r="F265" s="84">
        <f>VLOOKUP($A265,'US Census Population Estimates'!$A$20:$AG$266,F$131,FALSE)</f>
        <v>233</v>
      </c>
      <c r="G265" s="84">
        <f>VLOOKUP($A265,'US Census Population Estimates'!$A$20:$AG$266,G$131,FALSE)</f>
        <v>235</v>
      </c>
      <c r="H265" s="84">
        <f>VLOOKUP($A265,'US Census Population Estimates'!$A$20:$AG$266,H$131,FALSE)</f>
        <v>234</v>
      </c>
      <c r="I265" s="84">
        <f>VLOOKUP($A265,'US Census Population Estimates'!$A$20:$AG$266,I$131,FALSE)</f>
        <v>234</v>
      </c>
      <c r="J265" s="84">
        <f>VLOOKUP($A265,'US Census Population Estimates'!$A$20:$AG$266,J$131,FALSE)</f>
        <v>232</v>
      </c>
      <c r="K265" s="84">
        <f>VLOOKUP($A265,'US Census Population Estimates'!$A$20:$AG$266,K$131,FALSE)</f>
        <v>236</v>
      </c>
      <c r="L265" s="84">
        <f>VLOOKUP($A265,'US Census Population Estimates'!$A$20:$AG$266,L$131,FALSE)</f>
        <v>242</v>
      </c>
      <c r="M265" s="84">
        <f>VLOOKUP($A265,'US Census Population Estimates'!$A$20:$AG$266,M$131,FALSE)</f>
        <v>246</v>
      </c>
      <c r="N265" s="84">
        <f>VLOOKUP($A265,'US Census Population Estimates'!$A$20:$AG$266,N$131,FALSE)</f>
        <v>246</v>
      </c>
      <c r="O265" s="84">
        <f>VLOOKUP($A265,'US Census Population Estimates'!$A$20:$AG$266,O$131,FALSE)</f>
        <v>247</v>
      </c>
      <c r="P265" s="84">
        <f>VLOOKUP($A265,'US Census Population Estimates'!$A$20:$AG$266,P$131,FALSE)</f>
        <v>248</v>
      </c>
      <c r="Q265" s="84">
        <f>VLOOKUP($A265,'US Census Population Estimates'!$A$20:$AG$266,Q$131,FALSE)</f>
        <v>248</v>
      </c>
      <c r="R265" s="84">
        <f>VLOOKUP($A265,'US Census Population Estimates'!$A$20:$AG$266,R$131,FALSE)</f>
        <v>247</v>
      </c>
      <c r="S265" s="84">
        <f>VLOOKUP($A265,'US Census Population Estimates'!$A$20:$AG$266,S$131,FALSE)</f>
        <v>248</v>
      </c>
      <c r="T265" s="84">
        <f>VLOOKUP($A265,'US Census Population Estimates'!$A$20:$AG$266,T$131,FALSE)</f>
        <v>249</v>
      </c>
      <c r="U265" s="84">
        <f>VLOOKUP($A265,'US Census Population Estimates'!$A$20:$AG$266,U$131,FALSE)</f>
        <v>252</v>
      </c>
      <c r="V265" s="84" t="str">
        <f>VLOOKUP($A265,'US Census Population Estimates'!$A$20:$AG$266,V$131,FALSE)</f>
        <v/>
      </c>
      <c r="W265" s="84" t="str">
        <f>VLOOKUP($A265,'US Census Population Estimates'!$A$20:$AG$266,W$131,FALSE)</f>
        <v/>
      </c>
      <c r="X265" s="84" t="str">
        <f>VLOOKUP($A265,'US Census Population Estimates'!$A$20:$AG$266,X$131,FALSE)</f>
        <v/>
      </c>
      <c r="Y265" s="84" t="str">
        <f>VLOOKUP($A265,'US Census Population Estimates'!$A$20:$AG$266,Y$131,FALSE)</f>
        <v/>
      </c>
      <c r="Z265" s="84" t="str">
        <f>VLOOKUP($A265,'US Census Population Estimates'!$A$20:$AG$266,Z$131,FALSE)</f>
        <v/>
      </c>
      <c r="AA265" s="84" t="str">
        <f>VLOOKUP($A265,'US Census Population Estimates'!$A$20:$AG$266,AA$131,FALSE)</f>
        <v/>
      </c>
      <c r="AB265" s="84" t="str">
        <f>VLOOKUP($A265,'US Census Population Estimates'!$A$20:$AG$266,AB$131,FALSE)</f>
        <v/>
      </c>
      <c r="AC265" s="84" t="str">
        <f>VLOOKUP($A265,'US Census Population Estimates'!$A$20:$AG$266,AC$131,FALSE)</f>
        <v/>
      </c>
      <c r="AD265" s="84" t="str">
        <f>VLOOKUP($A265,'US Census Population Estimates'!$A$20:$AG$266,AD$131,FALSE)</f>
        <v/>
      </c>
      <c r="AE265" s="84" t="str">
        <f>VLOOKUP($A265,'US Census Population Estimates'!$A$20:$AG$266,AE$131,FALSE)</f>
        <v/>
      </c>
      <c r="AF265" s="84" t="str">
        <f>VLOOKUP($A265,'US Census Population Estimates'!$A$20:$AG$266,AF$131,FALSE)</f>
        <v/>
      </c>
      <c r="AG265" s="88" t="str">
        <f>VLOOKUP($A265,'US Census Population Estimates'!$A$20:$AG$266,AG$131,FALSE)</f>
        <v/>
      </c>
      <c r="AH265" s="24"/>
    </row>
    <row r="266" ht="12.75" customHeight="1">
      <c r="A266" s="46" t="s">
        <v>170</v>
      </c>
      <c r="B266" s="51" t="s">
        <v>52</v>
      </c>
      <c r="C266" s="84">
        <f>VLOOKUP($A266,'US Census Population Estimates'!$A$20:$AG$266,C$131,FALSE)</f>
        <v>1711</v>
      </c>
      <c r="D266" s="84">
        <f>VLOOKUP($A266,'US Census Population Estimates'!$A$20:$AG$266,D$131,FALSE)</f>
        <v>1680</v>
      </c>
      <c r="E266" s="84">
        <f>VLOOKUP($A266,'US Census Population Estimates'!$A$20:$AG$266,E$131,FALSE)</f>
        <v>1674</v>
      </c>
      <c r="F266" s="84">
        <f>VLOOKUP($A266,'US Census Population Estimates'!$A$20:$AG$266,F$131,FALSE)</f>
        <v>1665</v>
      </c>
      <c r="G266" s="84">
        <f>VLOOKUP($A266,'US Census Population Estimates'!$A$20:$AG$266,G$131,FALSE)</f>
        <v>1656</v>
      </c>
      <c r="H266" s="84">
        <f>VLOOKUP($A266,'US Census Population Estimates'!$A$20:$AG$266,H$131,FALSE)</f>
        <v>1633</v>
      </c>
      <c r="I266" s="84">
        <f>VLOOKUP($A266,'US Census Population Estimates'!$A$20:$AG$266,I$131,FALSE)</f>
        <v>1639</v>
      </c>
      <c r="J266" s="84">
        <f>VLOOKUP($A266,'US Census Population Estimates'!$A$20:$AG$266,J$131,FALSE)</f>
        <v>1670</v>
      </c>
      <c r="K266" s="84">
        <f>VLOOKUP($A266,'US Census Population Estimates'!$A$20:$AG$266,K$131,FALSE)</f>
        <v>1686</v>
      </c>
      <c r="L266" s="84">
        <f>VLOOKUP($A266,'US Census Population Estimates'!$A$20:$AG$266,L$131,FALSE)</f>
        <v>1704</v>
      </c>
      <c r="M266" s="84">
        <f>VLOOKUP($A266,'US Census Population Estimates'!$A$20:$AG$266,M$131,FALSE)</f>
        <v>1687</v>
      </c>
      <c r="N266" s="84">
        <f>VLOOKUP($A266,'US Census Population Estimates'!$A$20:$AG$266,N$131,FALSE)</f>
        <v>1684</v>
      </c>
      <c r="O266" s="84">
        <f>VLOOKUP($A266,'US Census Population Estimates'!$A$20:$AG$266,O$131,FALSE)</f>
        <v>1671</v>
      </c>
      <c r="P266" s="84">
        <f>VLOOKUP($A266,'US Census Population Estimates'!$A$20:$AG$266,P$131,FALSE)</f>
        <v>1680</v>
      </c>
      <c r="Q266" s="84">
        <f>VLOOKUP($A266,'US Census Population Estimates'!$A$20:$AG$266,Q$131,FALSE)</f>
        <v>1700</v>
      </c>
      <c r="R266" s="84">
        <f>VLOOKUP($A266,'US Census Population Estimates'!$A$20:$AG$266,R$131,FALSE)</f>
        <v>1685</v>
      </c>
      <c r="S266" s="84">
        <f>VLOOKUP($A266,'US Census Population Estimates'!$A$20:$AG$266,S$131,FALSE)</f>
        <v>1697</v>
      </c>
      <c r="T266" s="84">
        <f>VLOOKUP($A266,'US Census Population Estimates'!$A$20:$AG$266,T$131,FALSE)</f>
        <v>1655</v>
      </c>
      <c r="U266" s="84">
        <f>VLOOKUP($A266,'US Census Population Estimates'!$A$20:$AG$266,U$131,FALSE)</f>
        <v>1623</v>
      </c>
      <c r="V266" s="84" t="str">
        <f>VLOOKUP($A266,'US Census Population Estimates'!$A$20:$AG$266,V$131,FALSE)</f>
        <v/>
      </c>
      <c r="W266" s="84" t="str">
        <f>VLOOKUP($A266,'US Census Population Estimates'!$A$20:$AG$266,W$131,FALSE)</f>
        <v/>
      </c>
      <c r="X266" s="84" t="str">
        <f>VLOOKUP($A266,'US Census Population Estimates'!$A$20:$AG$266,X$131,FALSE)</f>
        <v/>
      </c>
      <c r="Y266" s="84" t="str">
        <f>VLOOKUP($A266,'US Census Population Estimates'!$A$20:$AG$266,Y$131,FALSE)</f>
        <v/>
      </c>
      <c r="Z266" s="84" t="str">
        <f>VLOOKUP($A266,'US Census Population Estimates'!$A$20:$AG$266,Z$131,FALSE)</f>
        <v/>
      </c>
      <c r="AA266" s="84" t="str">
        <f>VLOOKUP($A266,'US Census Population Estimates'!$A$20:$AG$266,AA$131,FALSE)</f>
        <v/>
      </c>
      <c r="AB266" s="84" t="str">
        <f>VLOOKUP($A266,'US Census Population Estimates'!$A$20:$AG$266,AB$131,FALSE)</f>
        <v/>
      </c>
      <c r="AC266" s="84" t="str">
        <f>VLOOKUP($A266,'US Census Population Estimates'!$A$20:$AG$266,AC$131,FALSE)</f>
        <v/>
      </c>
      <c r="AD266" s="84" t="str">
        <f>VLOOKUP($A266,'US Census Population Estimates'!$A$20:$AG$266,AD$131,FALSE)</f>
        <v/>
      </c>
      <c r="AE266" s="84" t="str">
        <f>VLOOKUP($A266,'US Census Population Estimates'!$A$20:$AG$266,AE$131,FALSE)</f>
        <v/>
      </c>
      <c r="AF266" s="84" t="str">
        <f>VLOOKUP($A266,'US Census Population Estimates'!$A$20:$AG$266,AF$131,FALSE)</f>
        <v/>
      </c>
      <c r="AG266" s="88" t="str">
        <f>VLOOKUP($A266,'US Census Population Estimates'!$A$20:$AG$266,AG$131,FALSE)</f>
        <v/>
      </c>
      <c r="AH266" s="24"/>
    </row>
    <row r="267" ht="12.75" customHeight="1">
      <c r="A267" s="46" t="s">
        <v>171</v>
      </c>
      <c r="B267" s="51" t="s">
        <v>52</v>
      </c>
      <c r="C267" s="84">
        <f>VLOOKUP($A267,'US Census Population Estimates'!$A$20:$AG$266,C$131,FALSE)</f>
        <v>416</v>
      </c>
      <c r="D267" s="84">
        <f>VLOOKUP($A267,'US Census Population Estimates'!$A$20:$AG$266,D$131,FALSE)</f>
        <v>412</v>
      </c>
      <c r="E267" s="84">
        <f>VLOOKUP($A267,'US Census Population Estimates'!$A$20:$AG$266,E$131,FALSE)</f>
        <v>413</v>
      </c>
      <c r="F267" s="84">
        <f>VLOOKUP($A267,'US Census Population Estimates'!$A$20:$AG$266,F$131,FALSE)</f>
        <v>412</v>
      </c>
      <c r="G267" s="84">
        <f>VLOOKUP($A267,'US Census Population Estimates'!$A$20:$AG$266,G$131,FALSE)</f>
        <v>412</v>
      </c>
      <c r="H267" s="84">
        <f>VLOOKUP($A267,'US Census Population Estimates'!$A$20:$AG$266,H$131,FALSE)</f>
        <v>409</v>
      </c>
      <c r="I267" s="84">
        <f>VLOOKUP($A267,'US Census Population Estimates'!$A$20:$AG$266,I$131,FALSE)</f>
        <v>412</v>
      </c>
      <c r="J267" s="84">
        <f>VLOOKUP($A267,'US Census Population Estimates'!$A$20:$AG$266,J$131,FALSE)</f>
        <v>423</v>
      </c>
      <c r="K267" s="84">
        <f>VLOOKUP($A267,'US Census Population Estimates'!$A$20:$AG$266,K$131,FALSE)</f>
        <v>429</v>
      </c>
      <c r="L267" s="84">
        <f>VLOOKUP($A267,'US Census Population Estimates'!$A$20:$AG$266,L$131,FALSE)</f>
        <v>435</v>
      </c>
      <c r="M267" s="84">
        <f>VLOOKUP($A267,'US Census Population Estimates'!$A$20:$AG$266,M$131,FALSE)</f>
        <v>432</v>
      </c>
      <c r="N267" s="84">
        <f>VLOOKUP($A267,'US Census Population Estimates'!$A$20:$AG$266,N$131,FALSE)</f>
        <v>431</v>
      </c>
      <c r="O267" s="84">
        <f>VLOOKUP($A267,'US Census Population Estimates'!$A$20:$AG$266,O$131,FALSE)</f>
        <v>426</v>
      </c>
      <c r="P267" s="84">
        <f>VLOOKUP($A267,'US Census Population Estimates'!$A$20:$AG$266,P$131,FALSE)</f>
        <v>428</v>
      </c>
      <c r="Q267" s="84">
        <f>VLOOKUP($A267,'US Census Population Estimates'!$A$20:$AG$266,Q$131,FALSE)</f>
        <v>428</v>
      </c>
      <c r="R267" s="84">
        <f>VLOOKUP($A267,'US Census Population Estimates'!$A$20:$AG$266,R$131,FALSE)</f>
        <v>419</v>
      </c>
      <c r="S267" s="84">
        <f>VLOOKUP($A267,'US Census Population Estimates'!$A$20:$AG$266,S$131,FALSE)</f>
        <v>422</v>
      </c>
      <c r="T267" s="84">
        <f>VLOOKUP($A267,'US Census Population Estimates'!$A$20:$AG$266,T$131,FALSE)</f>
        <v>407</v>
      </c>
      <c r="U267" s="84">
        <f>VLOOKUP($A267,'US Census Population Estimates'!$A$20:$AG$266,U$131,FALSE)</f>
        <v>397</v>
      </c>
      <c r="V267" s="84" t="str">
        <f>VLOOKUP($A267,'US Census Population Estimates'!$A$20:$AG$266,V$131,FALSE)</f>
        <v/>
      </c>
      <c r="W267" s="84" t="str">
        <f>VLOOKUP($A267,'US Census Population Estimates'!$A$20:$AG$266,W$131,FALSE)</f>
        <v/>
      </c>
      <c r="X267" s="84" t="str">
        <f>VLOOKUP($A267,'US Census Population Estimates'!$A$20:$AG$266,X$131,FALSE)</f>
        <v/>
      </c>
      <c r="Y267" s="84" t="str">
        <f>VLOOKUP($A267,'US Census Population Estimates'!$A$20:$AG$266,Y$131,FALSE)</f>
        <v/>
      </c>
      <c r="Z267" s="84" t="str">
        <f>VLOOKUP($A267,'US Census Population Estimates'!$A$20:$AG$266,Z$131,FALSE)</f>
        <v/>
      </c>
      <c r="AA267" s="84" t="str">
        <f>VLOOKUP($A267,'US Census Population Estimates'!$A$20:$AG$266,AA$131,FALSE)</f>
        <v/>
      </c>
      <c r="AB267" s="84" t="str">
        <f>VLOOKUP($A267,'US Census Population Estimates'!$A$20:$AG$266,AB$131,FALSE)</f>
        <v/>
      </c>
      <c r="AC267" s="84" t="str">
        <f>VLOOKUP($A267,'US Census Population Estimates'!$A$20:$AG$266,AC$131,FALSE)</f>
        <v/>
      </c>
      <c r="AD267" s="84" t="str">
        <f>VLOOKUP($A267,'US Census Population Estimates'!$A$20:$AG$266,AD$131,FALSE)</f>
        <v/>
      </c>
      <c r="AE267" s="84" t="str">
        <f>VLOOKUP($A267,'US Census Population Estimates'!$A$20:$AG$266,AE$131,FALSE)</f>
        <v/>
      </c>
      <c r="AF267" s="84" t="str">
        <f>VLOOKUP($A267,'US Census Population Estimates'!$A$20:$AG$266,AF$131,FALSE)</f>
        <v/>
      </c>
      <c r="AG267" s="88" t="str">
        <f>VLOOKUP($A267,'US Census Population Estimates'!$A$20:$AG$266,AG$131,FALSE)</f>
        <v/>
      </c>
      <c r="AH267" s="24"/>
    </row>
    <row r="268" ht="12.75" customHeight="1">
      <c r="A268" s="46" t="s">
        <v>172</v>
      </c>
      <c r="B268" s="51" t="s">
        <v>173</v>
      </c>
      <c r="C268" s="84">
        <f>VLOOKUP($A268,'US Census Population Estimates'!$A$20:$AG$266,C$131,FALSE)</f>
        <v>50042</v>
      </c>
      <c r="D268" s="84">
        <f>VLOOKUP($A268,'US Census Population Estimates'!$A$20:$AG$266,D$131,FALSE)</f>
        <v>50187</v>
      </c>
      <c r="E268" s="84">
        <f>VLOOKUP($A268,'US Census Population Estimates'!$A$20:$AG$266,E$131,FALSE)</f>
        <v>50480</v>
      </c>
      <c r="F268" s="84">
        <f>VLOOKUP($A268,'US Census Population Estimates'!$A$20:$AG$266,F$131,FALSE)</f>
        <v>50863</v>
      </c>
      <c r="G268" s="84">
        <f>VLOOKUP($A268,'US Census Population Estimates'!$A$20:$AG$266,G$131,FALSE)</f>
        <v>51315</v>
      </c>
      <c r="H268" s="84">
        <f>VLOOKUP($A268,'US Census Population Estimates'!$A$20:$AG$266,H$131,FALSE)</f>
        <v>51844</v>
      </c>
      <c r="I268" s="84">
        <f>VLOOKUP($A268,'US Census Population Estimates'!$A$20:$AG$266,I$131,FALSE)</f>
        <v>52370</v>
      </c>
      <c r="J268" s="84">
        <f>VLOOKUP($A268,'US Census Population Estimates'!$A$20:$AG$266,J$131,FALSE)</f>
        <v>53392</v>
      </c>
      <c r="K268" s="84">
        <f>VLOOKUP($A268,'US Census Population Estimates'!$A$20:$AG$266,K$131,FALSE)</f>
        <v>54235</v>
      </c>
      <c r="L268" s="84">
        <f>VLOOKUP($A268,'US Census Population Estimates'!$A$20:$AG$266,L$131,FALSE)</f>
        <v>55255</v>
      </c>
      <c r="M268" s="84">
        <f>VLOOKUP($A268,'US Census Population Estimates'!$A$20:$AG$266,M$131,FALSE)</f>
        <v>55249</v>
      </c>
      <c r="N268" s="84">
        <f>VLOOKUP($A268,'US Census Population Estimates'!$A$20:$AG$266,N$131,FALSE)</f>
        <v>56104</v>
      </c>
      <c r="O268" s="84">
        <f>VLOOKUP($A268,'US Census Population Estimates'!$A$20:$AG$266,O$131,FALSE)</f>
        <v>57692</v>
      </c>
      <c r="P268" s="84">
        <f>VLOOKUP($A268,'US Census Population Estimates'!$A$20:$AG$266,P$131,FALSE)</f>
        <v>59480</v>
      </c>
      <c r="Q268" s="84">
        <f>VLOOKUP($A268,'US Census Population Estimates'!$A$20:$AG$266,Q$131,FALSE)</f>
        <v>59711</v>
      </c>
      <c r="R268" s="84">
        <f>VLOOKUP($A268,'US Census Population Estimates'!$A$20:$AG$266,R$131,FALSE)</f>
        <v>59999</v>
      </c>
      <c r="S268" s="84">
        <f>VLOOKUP($A268,'US Census Population Estimates'!$A$20:$AG$266,S$131,FALSE)</f>
        <v>58906</v>
      </c>
      <c r="T268" s="84">
        <f>VLOOKUP($A268,'US Census Population Estimates'!$A$20:$AG$266,T$131,FALSE)</f>
        <v>57814</v>
      </c>
      <c r="U268" s="84">
        <f>VLOOKUP($A268,'US Census Population Estimates'!$A$20:$AG$266,U$131,FALSE)</f>
        <v>57461</v>
      </c>
      <c r="V268" s="84" t="str">
        <f>VLOOKUP($A268,'US Census Population Estimates'!$A$20:$AG$266,V$131,FALSE)</f>
        <v/>
      </c>
      <c r="W268" s="84" t="str">
        <f>VLOOKUP($A268,'US Census Population Estimates'!$A$20:$AG$266,W$131,FALSE)</f>
        <v/>
      </c>
      <c r="X268" s="84" t="str">
        <f>VLOOKUP($A268,'US Census Population Estimates'!$A$20:$AG$266,X$131,FALSE)</f>
        <v/>
      </c>
      <c r="Y268" s="84" t="str">
        <f>VLOOKUP($A268,'US Census Population Estimates'!$A$20:$AG$266,Y$131,FALSE)</f>
        <v/>
      </c>
      <c r="Z268" s="84" t="str">
        <f>VLOOKUP($A268,'US Census Population Estimates'!$A$20:$AG$266,Z$131,FALSE)</f>
        <v/>
      </c>
      <c r="AA268" s="84" t="str">
        <f>VLOOKUP($A268,'US Census Population Estimates'!$A$20:$AG$266,AA$131,FALSE)</f>
        <v/>
      </c>
      <c r="AB268" s="84" t="str">
        <f>VLOOKUP($A268,'US Census Population Estimates'!$A$20:$AG$266,AB$131,FALSE)</f>
        <v/>
      </c>
      <c r="AC268" s="84" t="str">
        <f>VLOOKUP($A268,'US Census Population Estimates'!$A$20:$AG$266,AC$131,FALSE)</f>
        <v/>
      </c>
      <c r="AD268" s="84" t="str">
        <f>VLOOKUP($A268,'US Census Population Estimates'!$A$20:$AG$266,AD$131,FALSE)</f>
        <v/>
      </c>
      <c r="AE268" s="84" t="str">
        <f>VLOOKUP($A268,'US Census Population Estimates'!$A$20:$AG$266,AE$131,FALSE)</f>
        <v/>
      </c>
      <c r="AF268" s="84" t="str">
        <f>VLOOKUP($A268,'US Census Population Estimates'!$A$20:$AG$266,AF$131,FALSE)</f>
        <v/>
      </c>
      <c r="AG268" s="88" t="str">
        <f>VLOOKUP($A268,'US Census Population Estimates'!$A$20:$AG$266,AG$131,FALSE)</f>
        <v/>
      </c>
      <c r="AH268" s="24"/>
    </row>
    <row r="269" ht="12.75" customHeight="1">
      <c r="A269" s="46" t="s">
        <v>81</v>
      </c>
      <c r="B269" s="51" t="s">
        <v>173</v>
      </c>
      <c r="C269" s="84">
        <f>VLOOKUP($A269,'US Census Population Estimates'!$A$20:$AG$266,C$131,FALSE)</f>
        <v>53474</v>
      </c>
      <c r="D269" s="84">
        <f>VLOOKUP($A269,'US Census Population Estimates'!$A$20:$AG$266,D$131,FALSE)</f>
        <v>53934</v>
      </c>
      <c r="E269" s="84">
        <f>VLOOKUP($A269,'US Census Population Estimates'!$A$20:$AG$266,E$131,FALSE)</f>
        <v>54332</v>
      </c>
      <c r="F269" s="84">
        <f>VLOOKUP($A269,'US Census Population Estimates'!$A$20:$AG$266,F$131,FALSE)</f>
        <v>54852</v>
      </c>
      <c r="G269" s="84">
        <f>VLOOKUP($A269,'US Census Population Estimates'!$A$20:$AG$266,G$131,FALSE)</f>
        <v>55693</v>
      </c>
      <c r="H269" s="84">
        <f>VLOOKUP($A269,'US Census Population Estimates'!$A$20:$AG$266,H$131,FALSE)</f>
        <v>55845</v>
      </c>
      <c r="I269" s="84">
        <f>VLOOKUP($A269,'US Census Population Estimates'!$A$20:$AG$266,I$131,FALSE)</f>
        <v>56468</v>
      </c>
      <c r="J269" s="84">
        <f>VLOOKUP($A269,'US Census Population Estimates'!$A$20:$AG$266,J$131,FALSE)</f>
        <v>56958</v>
      </c>
      <c r="K269" s="84">
        <f>VLOOKUP($A269,'US Census Population Estimates'!$A$20:$AG$266,K$131,FALSE)</f>
        <v>57829</v>
      </c>
      <c r="L269" s="84">
        <f>VLOOKUP($A269,'US Census Population Estimates'!$A$20:$AG$266,L$131,FALSE)</f>
        <v>58658</v>
      </c>
      <c r="M269" s="84">
        <f>VLOOKUP($A269,'US Census Population Estimates'!$A$20:$AG$266,M$131,FALSE)</f>
        <v>59884</v>
      </c>
      <c r="N269" s="84">
        <f>VLOOKUP($A269,'US Census Population Estimates'!$A$20:$AG$266,N$131,FALSE)</f>
        <v>60299</v>
      </c>
      <c r="O269" s="84">
        <f>VLOOKUP($A269,'US Census Population Estimates'!$A$20:$AG$266,O$131,FALSE)</f>
        <v>61555</v>
      </c>
      <c r="P269" s="84">
        <f>VLOOKUP($A269,'US Census Population Estimates'!$A$20:$AG$266,P$131,FALSE)</f>
        <v>62245</v>
      </c>
      <c r="Q269" s="84">
        <f>VLOOKUP($A269,'US Census Population Estimates'!$A$20:$AG$266,Q$131,FALSE)</f>
        <v>62440</v>
      </c>
      <c r="R269" s="84">
        <f>VLOOKUP($A269,'US Census Population Estimates'!$A$20:$AG$266,R$131,FALSE)</f>
        <v>63026</v>
      </c>
      <c r="S269" s="84">
        <f>VLOOKUP($A269,'US Census Population Estimates'!$A$20:$AG$266,S$131,FALSE)</f>
        <v>63601</v>
      </c>
      <c r="T269" s="84">
        <f>VLOOKUP($A269,'US Census Population Estimates'!$A$20:$AG$266,T$131,FALSE)</f>
        <v>63624</v>
      </c>
      <c r="U269" s="84">
        <f>VLOOKUP($A269,'US Census Population Estimates'!$A$20:$AG$266,U$131,FALSE)</f>
        <v>63957</v>
      </c>
      <c r="V269" s="84" t="str">
        <f>VLOOKUP($A269,'US Census Population Estimates'!$A$20:$AG$266,V$131,FALSE)</f>
        <v/>
      </c>
      <c r="W269" s="84" t="str">
        <f>VLOOKUP($A269,'US Census Population Estimates'!$A$20:$AG$266,W$131,FALSE)</f>
        <v/>
      </c>
      <c r="X269" s="84" t="str">
        <f>VLOOKUP($A269,'US Census Population Estimates'!$A$20:$AG$266,X$131,FALSE)</f>
        <v/>
      </c>
      <c r="Y269" s="84" t="str">
        <f>VLOOKUP($A269,'US Census Population Estimates'!$A$20:$AG$266,Y$131,FALSE)</f>
        <v/>
      </c>
      <c r="Z269" s="84" t="str">
        <f>VLOOKUP($A269,'US Census Population Estimates'!$A$20:$AG$266,Z$131,FALSE)</f>
        <v/>
      </c>
      <c r="AA269" s="84" t="str">
        <f>VLOOKUP($A269,'US Census Population Estimates'!$A$20:$AG$266,AA$131,FALSE)</f>
        <v/>
      </c>
      <c r="AB269" s="84" t="str">
        <f>VLOOKUP($A269,'US Census Population Estimates'!$A$20:$AG$266,AB$131,FALSE)</f>
        <v/>
      </c>
      <c r="AC269" s="84" t="str">
        <f>VLOOKUP($A269,'US Census Population Estimates'!$A$20:$AG$266,AC$131,FALSE)</f>
        <v/>
      </c>
      <c r="AD269" s="84" t="str">
        <f>VLOOKUP($A269,'US Census Population Estimates'!$A$20:$AG$266,AD$131,FALSE)</f>
        <v/>
      </c>
      <c r="AE269" s="84" t="str">
        <f>VLOOKUP($A269,'US Census Population Estimates'!$A$20:$AG$266,AE$131,FALSE)</f>
        <v/>
      </c>
      <c r="AF269" s="84" t="str">
        <f>VLOOKUP($A269,'US Census Population Estimates'!$A$20:$AG$266,AF$131,FALSE)</f>
        <v/>
      </c>
      <c r="AG269" s="88" t="str">
        <f>VLOOKUP($A269,'US Census Population Estimates'!$A$20:$AG$266,AG$131,FALSE)</f>
        <v/>
      </c>
      <c r="AH269" s="24"/>
    </row>
    <row r="270" ht="12.75" customHeight="1">
      <c r="A270" s="46" t="s">
        <v>175</v>
      </c>
      <c r="B270" s="51" t="s">
        <v>173</v>
      </c>
      <c r="C270" s="84">
        <f>VLOOKUP($A270,'US Census Population Estimates'!$A$20:$AG$266,C$131,FALSE)</f>
        <v>5316</v>
      </c>
      <c r="D270" s="84">
        <f>VLOOKUP($A270,'US Census Population Estimates'!$A$20:$AG$266,D$131,FALSE)</f>
        <v>5284</v>
      </c>
      <c r="E270" s="84">
        <f>VLOOKUP($A270,'US Census Population Estimates'!$A$20:$AG$266,E$131,FALSE)</f>
        <v>5374</v>
      </c>
      <c r="F270" s="84">
        <f>VLOOKUP($A270,'US Census Population Estimates'!$A$20:$AG$266,F$131,FALSE)</f>
        <v>5395</v>
      </c>
      <c r="G270" s="84">
        <f>VLOOKUP($A270,'US Census Population Estimates'!$A$20:$AG$266,G$131,FALSE)</f>
        <v>5449</v>
      </c>
      <c r="H270" s="84">
        <f>VLOOKUP($A270,'US Census Population Estimates'!$A$20:$AG$266,H$131,FALSE)</f>
        <v>5560</v>
      </c>
      <c r="I270" s="84">
        <f>VLOOKUP($A270,'US Census Population Estimates'!$A$20:$AG$266,I$131,FALSE)</f>
        <v>5654</v>
      </c>
      <c r="J270" s="84">
        <f>VLOOKUP($A270,'US Census Population Estimates'!$A$20:$AG$266,J$131,FALSE)</f>
        <v>5776</v>
      </c>
      <c r="K270" s="84">
        <f>VLOOKUP($A270,'US Census Population Estimates'!$A$20:$AG$266,K$131,FALSE)</f>
        <v>5960</v>
      </c>
      <c r="L270" s="84">
        <f>VLOOKUP($A270,'US Census Population Estimates'!$A$20:$AG$266,L$131,FALSE)</f>
        <v>6121</v>
      </c>
      <c r="M270" s="84">
        <f>VLOOKUP($A270,'US Census Population Estimates'!$A$20:$AG$266,M$131,FALSE)</f>
        <v>6114</v>
      </c>
      <c r="N270" s="84">
        <f>VLOOKUP($A270,'US Census Population Estimates'!$A$20:$AG$266,N$131,FALSE)</f>
        <v>6103</v>
      </c>
      <c r="O270" s="84">
        <f>VLOOKUP($A270,'US Census Population Estimates'!$A$20:$AG$266,O$131,FALSE)</f>
        <v>6282</v>
      </c>
      <c r="P270" s="84">
        <f>VLOOKUP($A270,'US Census Population Estimates'!$A$20:$AG$266,P$131,FALSE)</f>
        <v>6484</v>
      </c>
      <c r="Q270" s="84">
        <f>VLOOKUP($A270,'US Census Population Estimates'!$A$20:$AG$266,Q$131,FALSE)</f>
        <v>6467</v>
      </c>
      <c r="R270" s="84">
        <f>VLOOKUP($A270,'US Census Population Estimates'!$A$20:$AG$266,R$131,FALSE)</f>
        <v>6552</v>
      </c>
      <c r="S270" s="84">
        <f>VLOOKUP($A270,'US Census Population Estimates'!$A$20:$AG$266,S$131,FALSE)</f>
        <v>6496</v>
      </c>
      <c r="T270" s="84">
        <f>VLOOKUP($A270,'US Census Population Estimates'!$A$20:$AG$266,T$131,FALSE)</f>
        <v>6350</v>
      </c>
      <c r="U270" s="84">
        <f>VLOOKUP($A270,'US Census Population Estimates'!$A$20:$AG$266,U$131,FALSE)</f>
        <v>6273</v>
      </c>
      <c r="V270" s="84" t="str">
        <f>VLOOKUP($A270,'US Census Population Estimates'!$A$20:$AG$266,V$131,FALSE)</f>
        <v/>
      </c>
      <c r="W270" s="84" t="str">
        <f>VLOOKUP($A270,'US Census Population Estimates'!$A$20:$AG$266,W$131,FALSE)</f>
        <v/>
      </c>
      <c r="X270" s="84" t="str">
        <f>VLOOKUP($A270,'US Census Population Estimates'!$A$20:$AG$266,X$131,FALSE)</f>
        <v/>
      </c>
      <c r="Y270" s="84" t="str">
        <f>VLOOKUP($A270,'US Census Population Estimates'!$A$20:$AG$266,Y$131,FALSE)</f>
        <v/>
      </c>
      <c r="Z270" s="84" t="str">
        <f>VLOOKUP($A270,'US Census Population Estimates'!$A$20:$AG$266,Z$131,FALSE)</f>
        <v/>
      </c>
      <c r="AA270" s="84" t="str">
        <f>VLOOKUP($A270,'US Census Population Estimates'!$A$20:$AG$266,AA$131,FALSE)</f>
        <v/>
      </c>
      <c r="AB270" s="84" t="str">
        <f>VLOOKUP($A270,'US Census Population Estimates'!$A$20:$AG$266,AB$131,FALSE)</f>
        <v/>
      </c>
      <c r="AC270" s="84" t="str">
        <f>VLOOKUP($A270,'US Census Population Estimates'!$A$20:$AG$266,AC$131,FALSE)</f>
        <v/>
      </c>
      <c r="AD270" s="84" t="str">
        <f>VLOOKUP($A270,'US Census Population Estimates'!$A$20:$AG$266,AD$131,FALSE)</f>
        <v/>
      </c>
      <c r="AE270" s="84" t="str">
        <f>VLOOKUP($A270,'US Census Population Estimates'!$A$20:$AG$266,AE$131,FALSE)</f>
        <v/>
      </c>
      <c r="AF270" s="84" t="str">
        <f>VLOOKUP($A270,'US Census Population Estimates'!$A$20:$AG$266,AF$131,FALSE)</f>
        <v/>
      </c>
      <c r="AG270" s="88" t="str">
        <f>VLOOKUP($A270,'US Census Population Estimates'!$A$20:$AG$266,AG$131,FALSE)</f>
        <v/>
      </c>
      <c r="AH270" s="24"/>
    </row>
    <row r="271" ht="12.75" customHeight="1">
      <c r="A271" s="46" t="s">
        <v>241</v>
      </c>
      <c r="B271" s="51" t="s">
        <v>173</v>
      </c>
      <c r="C271" s="84">
        <f>VLOOKUP($A271,'US Census Population Estimates'!$A$20:$AG$266,C$131,FALSE)</f>
        <v>27226</v>
      </c>
      <c r="D271" s="84">
        <f>VLOOKUP($A271,'US Census Population Estimates'!$A$20:$AG$266,D$131,FALSE)</f>
        <v>27613</v>
      </c>
      <c r="E271" s="84">
        <f>VLOOKUP($A271,'US Census Population Estimates'!$A$20:$AG$266,E$131,FALSE)</f>
        <v>27820</v>
      </c>
      <c r="F271" s="84">
        <f>VLOOKUP($A271,'US Census Population Estimates'!$A$20:$AG$266,F$131,FALSE)</f>
        <v>28165</v>
      </c>
      <c r="G271" s="84">
        <f>VLOOKUP($A271,'US Census Population Estimates'!$A$20:$AG$266,G$131,FALSE)</f>
        <v>28553</v>
      </c>
      <c r="H271" s="84">
        <f>VLOOKUP($A271,'US Census Population Estimates'!$A$20:$AG$266,H$131,FALSE)</f>
        <v>28593</v>
      </c>
      <c r="I271" s="84">
        <f>VLOOKUP($A271,'US Census Population Estimates'!$A$20:$AG$266,I$131,FALSE)</f>
        <v>28872</v>
      </c>
      <c r="J271" s="84">
        <f>VLOOKUP($A271,'US Census Population Estimates'!$A$20:$AG$266,J$131,FALSE)</f>
        <v>28780</v>
      </c>
      <c r="K271" s="84">
        <f>VLOOKUP($A271,'US Census Population Estimates'!$A$20:$AG$266,K$131,FALSE)</f>
        <v>29441</v>
      </c>
      <c r="L271" s="84">
        <f>VLOOKUP($A271,'US Census Population Estimates'!$A$20:$AG$266,L$131,FALSE)</f>
        <v>30354</v>
      </c>
      <c r="M271" s="84">
        <f>VLOOKUP($A271,'US Census Population Estimates'!$A$20:$AG$266,M$131,FALSE)</f>
        <v>30925</v>
      </c>
      <c r="N271" s="84">
        <f>VLOOKUP($A271,'US Census Population Estimates'!$A$20:$AG$266,N$131,FALSE)</f>
        <v>31290</v>
      </c>
      <c r="O271" s="84">
        <f>VLOOKUP($A271,'US Census Population Estimates'!$A$20:$AG$266,O$131,FALSE)</f>
        <v>31701</v>
      </c>
      <c r="P271" s="84">
        <f>VLOOKUP($A271,'US Census Population Estimates'!$A$20:$AG$266,P$131,FALSE)</f>
        <v>31898</v>
      </c>
      <c r="Q271" s="84">
        <f>VLOOKUP($A271,'US Census Population Estimates'!$A$20:$AG$266,Q$131,FALSE)</f>
        <v>32022</v>
      </c>
      <c r="R271" s="84">
        <f>VLOOKUP($A271,'US Census Population Estimates'!$A$20:$AG$266,R$131,FALSE)</f>
        <v>32190</v>
      </c>
      <c r="S271" s="84">
        <f>VLOOKUP($A271,'US Census Population Estimates'!$A$20:$AG$266,S$131,FALSE)</f>
        <v>32068</v>
      </c>
      <c r="T271" s="84">
        <f>VLOOKUP($A271,'US Census Population Estimates'!$A$20:$AG$266,T$131,FALSE)</f>
        <v>32306</v>
      </c>
      <c r="U271" s="84">
        <f>VLOOKUP($A271,'US Census Population Estimates'!$A$20:$AG$266,U$131,FALSE)</f>
        <v>32473</v>
      </c>
      <c r="V271" s="84" t="str">
        <f>VLOOKUP($A271,'US Census Population Estimates'!$A$20:$AG$266,V$131,FALSE)</f>
        <v/>
      </c>
      <c r="W271" s="84" t="str">
        <f>VLOOKUP($A271,'US Census Population Estimates'!$A$20:$AG$266,W$131,FALSE)</f>
        <v/>
      </c>
      <c r="X271" s="84" t="str">
        <f>VLOOKUP($A271,'US Census Population Estimates'!$A$20:$AG$266,X$131,FALSE)</f>
        <v/>
      </c>
      <c r="Y271" s="84" t="str">
        <f>VLOOKUP($A271,'US Census Population Estimates'!$A$20:$AG$266,Y$131,FALSE)</f>
        <v/>
      </c>
      <c r="Z271" s="84" t="str">
        <f>VLOOKUP($A271,'US Census Population Estimates'!$A$20:$AG$266,Z$131,FALSE)</f>
        <v/>
      </c>
      <c r="AA271" s="84" t="str">
        <f>VLOOKUP($A271,'US Census Population Estimates'!$A$20:$AG$266,AA$131,FALSE)</f>
        <v/>
      </c>
      <c r="AB271" s="84" t="str">
        <f>VLOOKUP($A271,'US Census Population Estimates'!$A$20:$AG$266,AB$131,FALSE)</f>
        <v/>
      </c>
      <c r="AC271" s="84" t="str">
        <f>VLOOKUP($A271,'US Census Population Estimates'!$A$20:$AG$266,AC$131,FALSE)</f>
        <v/>
      </c>
      <c r="AD271" s="84" t="str">
        <f>VLOOKUP($A271,'US Census Population Estimates'!$A$20:$AG$266,AD$131,FALSE)</f>
        <v/>
      </c>
      <c r="AE271" s="84" t="str">
        <f>VLOOKUP($A271,'US Census Population Estimates'!$A$20:$AG$266,AE$131,FALSE)</f>
        <v/>
      </c>
      <c r="AF271" s="84" t="str">
        <f>VLOOKUP($A271,'US Census Population Estimates'!$A$20:$AG$266,AF$131,FALSE)</f>
        <v/>
      </c>
      <c r="AG271" s="88" t="str">
        <f>VLOOKUP($A271,'US Census Population Estimates'!$A$20:$AG$266,AG$131,FALSE)</f>
        <v/>
      </c>
      <c r="AH271" s="24"/>
    </row>
    <row r="272" ht="12.75" customHeight="1">
      <c r="A272" s="46" t="s">
        <v>177</v>
      </c>
      <c r="B272" s="51" t="s">
        <v>173</v>
      </c>
      <c r="C272" s="84">
        <f>VLOOKUP($A272,'US Census Population Estimates'!$A$20:$AG$266,C$131,FALSE)</f>
        <v>3195</v>
      </c>
      <c r="D272" s="84">
        <f>VLOOKUP($A272,'US Census Population Estimates'!$A$20:$AG$266,D$131,FALSE)</f>
        <v>3195</v>
      </c>
      <c r="E272" s="84">
        <f>VLOOKUP($A272,'US Census Population Estimates'!$A$20:$AG$266,E$131,FALSE)</f>
        <v>3207</v>
      </c>
      <c r="F272" s="84">
        <f>VLOOKUP($A272,'US Census Population Estimates'!$A$20:$AG$266,F$131,FALSE)</f>
        <v>3224</v>
      </c>
      <c r="G272" s="84">
        <f>VLOOKUP($A272,'US Census Population Estimates'!$A$20:$AG$266,G$131,FALSE)</f>
        <v>3247</v>
      </c>
      <c r="H272" s="84">
        <f>VLOOKUP($A272,'US Census Population Estimates'!$A$20:$AG$266,H$131,FALSE)</f>
        <v>3273</v>
      </c>
      <c r="I272" s="84">
        <f>VLOOKUP($A272,'US Census Population Estimates'!$A$20:$AG$266,I$131,FALSE)</f>
        <v>3298</v>
      </c>
      <c r="J272" s="84">
        <f>VLOOKUP($A272,'US Census Population Estimates'!$A$20:$AG$266,J$131,FALSE)</f>
        <v>3357</v>
      </c>
      <c r="K272" s="84">
        <f>VLOOKUP($A272,'US Census Population Estimates'!$A$20:$AG$266,K$131,FALSE)</f>
        <v>3404</v>
      </c>
      <c r="L272" s="84">
        <f>VLOOKUP($A272,'US Census Population Estimates'!$A$20:$AG$266,L$131,FALSE)</f>
        <v>3462</v>
      </c>
      <c r="M272" s="84">
        <f>VLOOKUP($A272,'US Census Population Estimates'!$A$20:$AG$266,M$131,FALSE)</f>
        <v>3465</v>
      </c>
      <c r="N272" s="84">
        <f>VLOOKUP($A272,'US Census Population Estimates'!$A$20:$AG$266,N$131,FALSE)</f>
        <v>3446</v>
      </c>
      <c r="O272" s="84">
        <f>VLOOKUP($A272,'US Census Population Estimates'!$A$20:$AG$266,O$131,FALSE)</f>
        <v>3513</v>
      </c>
      <c r="P272" s="84">
        <f>VLOOKUP($A272,'US Census Population Estimates'!$A$20:$AG$266,P$131,FALSE)</f>
        <v>3649</v>
      </c>
      <c r="Q272" s="84">
        <f>VLOOKUP($A272,'US Census Population Estimates'!$A$20:$AG$266,Q$131,FALSE)</f>
        <v>3745</v>
      </c>
      <c r="R272" s="84">
        <f>VLOOKUP($A272,'US Census Population Estimates'!$A$20:$AG$266,R$131,FALSE)</f>
        <v>3853</v>
      </c>
      <c r="S272" s="84">
        <f>VLOOKUP($A272,'US Census Population Estimates'!$A$20:$AG$266,S$131,FALSE)</f>
        <v>3888</v>
      </c>
      <c r="T272" s="84">
        <f>VLOOKUP($A272,'US Census Population Estimates'!$A$20:$AG$266,T$131,FALSE)</f>
        <v>3899</v>
      </c>
      <c r="U272" s="84">
        <f>VLOOKUP($A272,'US Census Population Estimates'!$A$20:$AG$266,U$131,FALSE)</f>
        <v>3915</v>
      </c>
      <c r="V272" s="84" t="str">
        <f>VLOOKUP($A272,'US Census Population Estimates'!$A$20:$AG$266,V$131,FALSE)</f>
        <v/>
      </c>
      <c r="W272" s="84" t="str">
        <f>VLOOKUP($A272,'US Census Population Estimates'!$A$20:$AG$266,W$131,FALSE)</f>
        <v/>
      </c>
      <c r="X272" s="84" t="str">
        <f>VLOOKUP($A272,'US Census Population Estimates'!$A$20:$AG$266,X$131,FALSE)</f>
        <v/>
      </c>
      <c r="Y272" s="84" t="str">
        <f>VLOOKUP($A272,'US Census Population Estimates'!$A$20:$AG$266,Y$131,FALSE)</f>
        <v/>
      </c>
      <c r="Z272" s="84" t="str">
        <f>VLOOKUP($A272,'US Census Population Estimates'!$A$20:$AG$266,Z$131,FALSE)</f>
        <v/>
      </c>
      <c r="AA272" s="84" t="str">
        <f>VLOOKUP($A272,'US Census Population Estimates'!$A$20:$AG$266,AA$131,FALSE)</f>
        <v/>
      </c>
      <c r="AB272" s="84" t="str">
        <f>VLOOKUP($A272,'US Census Population Estimates'!$A$20:$AG$266,AB$131,FALSE)</f>
        <v/>
      </c>
      <c r="AC272" s="84" t="str">
        <f>VLOOKUP($A272,'US Census Population Estimates'!$A$20:$AG$266,AC$131,FALSE)</f>
        <v/>
      </c>
      <c r="AD272" s="84" t="str">
        <f>VLOOKUP($A272,'US Census Population Estimates'!$A$20:$AG$266,AD$131,FALSE)</f>
        <v/>
      </c>
      <c r="AE272" s="84" t="str">
        <f>VLOOKUP($A272,'US Census Population Estimates'!$A$20:$AG$266,AE$131,FALSE)</f>
        <v/>
      </c>
      <c r="AF272" s="84" t="str">
        <f>VLOOKUP($A272,'US Census Population Estimates'!$A$20:$AG$266,AF$131,FALSE)</f>
        <v/>
      </c>
      <c r="AG272" s="88" t="str">
        <f>VLOOKUP($A272,'US Census Population Estimates'!$A$20:$AG$266,AG$131,FALSE)</f>
        <v/>
      </c>
      <c r="AH272" s="24"/>
    </row>
    <row r="273" ht="12.75" customHeight="1">
      <c r="A273" s="52" t="s">
        <v>178</v>
      </c>
      <c r="B273" s="58" t="s">
        <v>173</v>
      </c>
      <c r="C273" s="98">
        <f>VLOOKUP($A273,'US Census Population Estimates'!$A$20:$AG$266,C$131,FALSE)</f>
        <v>9083</v>
      </c>
      <c r="D273" s="98">
        <f>VLOOKUP($A273,'US Census Population Estimates'!$A$20:$AG$266,D$131,FALSE)</f>
        <v>8796</v>
      </c>
      <c r="E273" s="98">
        <f>VLOOKUP($A273,'US Census Population Estimates'!$A$20:$AG$266,E$131,FALSE)</f>
        <v>8839</v>
      </c>
      <c r="F273" s="98">
        <f>VLOOKUP($A273,'US Census Population Estimates'!$A$20:$AG$266,F$131,FALSE)</f>
        <v>8847</v>
      </c>
      <c r="G273" s="98">
        <f>VLOOKUP($A273,'US Census Population Estimates'!$A$20:$AG$266,G$131,FALSE)</f>
        <v>8857</v>
      </c>
      <c r="H273" s="98">
        <f>VLOOKUP($A273,'US Census Population Estimates'!$A$20:$AG$266,H$131,FALSE)</f>
        <v>8767</v>
      </c>
      <c r="I273" s="98">
        <f>VLOOKUP($A273,'US Census Population Estimates'!$A$20:$AG$266,I$131,FALSE)</f>
        <v>8776</v>
      </c>
      <c r="J273" s="98">
        <f>VLOOKUP($A273,'US Census Population Estimates'!$A$20:$AG$266,J$131,FALSE)</f>
        <v>8995</v>
      </c>
      <c r="K273" s="98">
        <f>VLOOKUP($A273,'US Census Population Estimates'!$A$20:$AG$266,K$131,FALSE)</f>
        <v>9071</v>
      </c>
      <c r="L273" s="98">
        <f>VLOOKUP($A273,'US Census Population Estimates'!$A$20:$AG$266,L$131,FALSE)</f>
        <v>9310</v>
      </c>
      <c r="M273" s="98">
        <f>VLOOKUP($A273,'US Census Population Estimates'!$A$20:$AG$266,M$131,FALSE)</f>
        <v>9235</v>
      </c>
      <c r="N273" s="98">
        <f>VLOOKUP($A273,'US Census Population Estimates'!$A$20:$AG$266,N$131,FALSE)</f>
        <v>9219</v>
      </c>
      <c r="O273" s="98">
        <f>VLOOKUP($A273,'US Census Population Estimates'!$A$20:$AG$266,O$131,FALSE)</f>
        <v>9142</v>
      </c>
      <c r="P273" s="98">
        <f>VLOOKUP($A273,'US Census Population Estimates'!$A$20:$AG$266,P$131,FALSE)</f>
        <v>9224</v>
      </c>
      <c r="Q273" s="98">
        <f>VLOOKUP($A273,'US Census Population Estimates'!$A$20:$AG$266,Q$131,FALSE)</f>
        <v>9235</v>
      </c>
      <c r="R273" s="98">
        <f>VLOOKUP($A273,'US Census Population Estimates'!$A$20:$AG$266,R$131,FALSE)</f>
        <v>9077</v>
      </c>
      <c r="S273" s="98">
        <f>VLOOKUP($A273,'US Census Population Estimates'!$A$20:$AG$266,S$131,FALSE)</f>
        <v>9111</v>
      </c>
      <c r="T273" s="98">
        <f>VLOOKUP($A273,'US Census Population Estimates'!$A$20:$AG$266,T$131,FALSE)</f>
        <v>8858</v>
      </c>
      <c r="U273" s="98">
        <f>VLOOKUP($A273,'US Census Population Estimates'!$A$20:$AG$266,U$131,FALSE)</f>
        <v>8658</v>
      </c>
      <c r="V273" s="98" t="str">
        <f>VLOOKUP($A273,'US Census Population Estimates'!$A$20:$AG$266,V$131,FALSE)</f>
        <v/>
      </c>
      <c r="W273" s="98" t="str">
        <f>VLOOKUP($A273,'US Census Population Estimates'!$A$20:$AG$266,W$131,FALSE)</f>
        <v/>
      </c>
      <c r="X273" s="98" t="str">
        <f>VLOOKUP($A273,'US Census Population Estimates'!$A$20:$AG$266,X$131,FALSE)</f>
        <v/>
      </c>
      <c r="Y273" s="98" t="str">
        <f>VLOOKUP($A273,'US Census Population Estimates'!$A$20:$AG$266,Y$131,FALSE)</f>
        <v/>
      </c>
      <c r="Z273" s="98" t="str">
        <f>VLOOKUP($A273,'US Census Population Estimates'!$A$20:$AG$266,Z$131,FALSE)</f>
        <v/>
      </c>
      <c r="AA273" s="98" t="str">
        <f>VLOOKUP($A273,'US Census Population Estimates'!$A$20:$AG$266,AA$131,FALSE)</f>
        <v/>
      </c>
      <c r="AB273" s="98" t="str">
        <f>VLOOKUP($A273,'US Census Population Estimates'!$A$20:$AG$266,AB$131,FALSE)</f>
        <v/>
      </c>
      <c r="AC273" s="98" t="str">
        <f>VLOOKUP($A273,'US Census Population Estimates'!$A$20:$AG$266,AC$131,FALSE)</f>
        <v/>
      </c>
      <c r="AD273" s="98" t="str">
        <f>VLOOKUP($A273,'US Census Population Estimates'!$A$20:$AG$266,AD$131,FALSE)</f>
        <v/>
      </c>
      <c r="AE273" s="98" t="str">
        <f>VLOOKUP($A273,'US Census Population Estimates'!$A$20:$AG$266,AE$131,FALSE)</f>
        <v/>
      </c>
      <c r="AF273" s="98" t="str">
        <f>VLOOKUP($A273,'US Census Population Estimates'!$A$20:$AG$266,AF$131,FALSE)</f>
        <v/>
      </c>
      <c r="AG273" s="113" t="str">
        <f>VLOOKUP($A273,'US Census Population Estimates'!$A$20:$AG$266,AG$131,FALSE)</f>
        <v/>
      </c>
      <c r="AH273" s="24"/>
    </row>
    <row r="274" ht="12.75" customHeight="1">
      <c r="A274" s="59" t="s">
        <v>61</v>
      </c>
      <c r="B274" s="60"/>
      <c r="C274" s="115">
        <f>C275+C276</f>
        <v>0</v>
      </c>
      <c r="D274" s="115"/>
      <c r="E274" s="115"/>
      <c r="F274" s="115"/>
      <c r="G274" s="115"/>
      <c r="H274" s="115"/>
      <c r="I274" s="115"/>
      <c r="J274" s="115"/>
      <c r="K274" s="115"/>
      <c r="L274" s="115"/>
      <c r="M274" s="115"/>
      <c r="N274" s="115"/>
      <c r="O274" s="115"/>
      <c r="P274" s="115">
        <f t="shared" ref="P274:AG274" si="37">P275+P276</f>
        <v>25447.70463</v>
      </c>
      <c r="Q274" s="115">
        <f t="shared" si="37"/>
        <v>25734.63173</v>
      </c>
      <c r="R274" s="115">
        <f t="shared" si="37"/>
        <v>25859.72925</v>
      </c>
      <c r="S274" s="115">
        <f t="shared" si="37"/>
        <v>25897.41426</v>
      </c>
      <c r="T274" s="115">
        <f t="shared" si="37"/>
        <v>25771.67181</v>
      </c>
      <c r="U274" s="115">
        <f t="shared" si="37"/>
        <v>15360.62402</v>
      </c>
      <c r="V274" s="115">
        <f t="shared" si="37"/>
        <v>0</v>
      </c>
      <c r="W274" s="115">
        <f t="shared" si="37"/>
        <v>0</v>
      </c>
      <c r="X274" s="115">
        <f t="shared" si="37"/>
        <v>0</v>
      </c>
      <c r="Y274" s="115">
        <f t="shared" si="37"/>
        <v>0</v>
      </c>
      <c r="Z274" s="115">
        <f t="shared" si="37"/>
        <v>0</v>
      </c>
      <c r="AA274" s="115">
        <f t="shared" si="37"/>
        <v>0</v>
      </c>
      <c r="AB274" s="115">
        <f t="shared" si="37"/>
        <v>0</v>
      </c>
      <c r="AC274" s="115">
        <f t="shared" si="37"/>
        <v>0</v>
      </c>
      <c r="AD274" s="115">
        <f t="shared" si="37"/>
        <v>0</v>
      </c>
      <c r="AE274" s="115">
        <f t="shared" si="37"/>
        <v>0</v>
      </c>
      <c r="AF274" s="115">
        <f t="shared" si="37"/>
        <v>0</v>
      </c>
      <c r="AG274" s="120">
        <f t="shared" si="37"/>
        <v>0</v>
      </c>
      <c r="AH274" s="24"/>
    </row>
    <row r="275" ht="12.75" customHeight="1">
      <c r="A275" s="46" t="s">
        <v>48</v>
      </c>
      <c r="B275" s="47"/>
      <c r="C275" s="84"/>
      <c r="D275" s="84"/>
      <c r="E275" s="84">
        <f t="shared" ref="E275:E276" si="41">E239</f>
        <v>19933.30404</v>
      </c>
      <c r="F275" s="84">
        <f t="shared" ref="F275:O275" si="38">$E$275*F242/$E$242</f>
        <v>20084.07183</v>
      </c>
      <c r="G275" s="84">
        <f t="shared" si="38"/>
        <v>20309.63823</v>
      </c>
      <c r="H275" s="84">
        <f t="shared" si="38"/>
        <v>20404.33632</v>
      </c>
      <c r="I275" s="84">
        <f t="shared" si="38"/>
        <v>20604.73574</v>
      </c>
      <c r="J275" s="84">
        <f t="shared" si="38"/>
        <v>20843.17827</v>
      </c>
      <c r="K275" s="84">
        <f t="shared" si="38"/>
        <v>21183.81046</v>
      </c>
      <c r="L275" s="84">
        <f t="shared" si="38"/>
        <v>21591.86675</v>
      </c>
      <c r="M275" s="84">
        <f t="shared" si="38"/>
        <v>21842.60013</v>
      </c>
      <c r="N275" s="84">
        <f t="shared" si="38"/>
        <v>22036.44443</v>
      </c>
      <c r="O275" s="84">
        <f t="shared" si="38"/>
        <v>22459.3668</v>
      </c>
      <c r="P275" s="84">
        <f t="shared" ref="P275:P276" si="43">P239</f>
        <v>11842.39468</v>
      </c>
      <c r="Q275" s="84">
        <f t="shared" ref="Q275:T275" si="39">$P$275*Q242/$P$242</f>
        <v>11884.81291</v>
      </c>
      <c r="R275" s="84">
        <f t="shared" si="39"/>
        <v>11960.60744</v>
      </c>
      <c r="S275" s="84">
        <f t="shared" si="39"/>
        <v>11911.02848</v>
      </c>
      <c r="T275" s="84">
        <f t="shared" si="39"/>
        <v>11829.651</v>
      </c>
      <c r="U275" s="84">
        <f t="shared" ref="U275:AG275" si="40">$C$117*U241/$C$107</f>
        <v>15360.62402</v>
      </c>
      <c r="V275" s="84">
        <f t="shared" si="40"/>
        <v>0</v>
      </c>
      <c r="W275" s="84">
        <f t="shared" si="40"/>
        <v>0</v>
      </c>
      <c r="X275" s="84">
        <f t="shared" si="40"/>
        <v>0</v>
      </c>
      <c r="Y275" s="84">
        <f t="shared" si="40"/>
        <v>0</v>
      </c>
      <c r="Z275" s="84">
        <f t="shared" si="40"/>
        <v>0</v>
      </c>
      <c r="AA275" s="84">
        <f t="shared" si="40"/>
        <v>0</v>
      </c>
      <c r="AB275" s="84">
        <f t="shared" si="40"/>
        <v>0</v>
      </c>
      <c r="AC275" s="84">
        <f t="shared" si="40"/>
        <v>0</v>
      </c>
      <c r="AD275" s="84">
        <f t="shared" si="40"/>
        <v>0</v>
      </c>
      <c r="AE275" s="84">
        <f t="shared" si="40"/>
        <v>0</v>
      </c>
      <c r="AF275" s="84">
        <f t="shared" si="40"/>
        <v>0</v>
      </c>
      <c r="AG275" s="88">
        <f t="shared" si="40"/>
        <v>0</v>
      </c>
      <c r="AH275" s="24"/>
    </row>
    <row r="276" ht="12.75" customHeight="1">
      <c r="A276" s="74" t="s">
        <v>49</v>
      </c>
      <c r="B276" s="75"/>
      <c r="C276" s="126"/>
      <c r="D276" s="126"/>
      <c r="E276" s="126">
        <f t="shared" si="41"/>
        <v>10709.83652</v>
      </c>
      <c r="F276" s="126">
        <f t="shared" ref="F276:O276" si="42">$E$276*F243/$E$243</f>
        <v>10798.84421</v>
      </c>
      <c r="G276" s="126">
        <f t="shared" si="42"/>
        <v>10921.1611</v>
      </c>
      <c r="H276" s="126">
        <f t="shared" si="42"/>
        <v>10972.73886</v>
      </c>
      <c r="I276" s="126">
        <f t="shared" si="42"/>
        <v>11082.55622</v>
      </c>
      <c r="J276" s="126">
        <f t="shared" si="42"/>
        <v>11215.44965</v>
      </c>
      <c r="K276" s="126">
        <f t="shared" si="42"/>
        <v>11405.34645</v>
      </c>
      <c r="L276" s="126">
        <f t="shared" si="42"/>
        <v>11632.87923</v>
      </c>
      <c r="M276" s="126">
        <f t="shared" si="42"/>
        <v>11753.9599</v>
      </c>
      <c r="N276" s="126">
        <f t="shared" si="42"/>
        <v>11872.77418</v>
      </c>
      <c r="O276" s="126">
        <f t="shared" si="42"/>
        <v>12110.40274</v>
      </c>
      <c r="P276" s="126">
        <f t="shared" si="43"/>
        <v>13605.30995</v>
      </c>
      <c r="Q276" s="126">
        <f t="shared" ref="Q276:T276" si="44">$P$276*P243/$O$243</f>
        <v>13849.81882</v>
      </c>
      <c r="R276" s="126">
        <f t="shared" si="44"/>
        <v>13899.12181</v>
      </c>
      <c r="S276" s="126">
        <f t="shared" si="44"/>
        <v>13986.38578</v>
      </c>
      <c r="T276" s="126">
        <f t="shared" si="44"/>
        <v>13942.02081</v>
      </c>
      <c r="U276" s="126">
        <f t="shared" ref="U276:AG276" si="45">$C$276*U241/$C$241</f>
        <v>0</v>
      </c>
      <c r="V276" s="126">
        <f t="shared" si="45"/>
        <v>0</v>
      </c>
      <c r="W276" s="126">
        <f t="shared" si="45"/>
        <v>0</v>
      </c>
      <c r="X276" s="126">
        <f t="shared" si="45"/>
        <v>0</v>
      </c>
      <c r="Y276" s="126">
        <f t="shared" si="45"/>
        <v>0</v>
      </c>
      <c r="Z276" s="126">
        <f t="shared" si="45"/>
        <v>0</v>
      </c>
      <c r="AA276" s="126">
        <f t="shared" si="45"/>
        <v>0</v>
      </c>
      <c r="AB276" s="126">
        <f t="shared" si="45"/>
        <v>0</v>
      </c>
      <c r="AC276" s="126">
        <f t="shared" si="45"/>
        <v>0</v>
      </c>
      <c r="AD276" s="126">
        <f t="shared" si="45"/>
        <v>0</v>
      </c>
      <c r="AE276" s="126">
        <f t="shared" si="45"/>
        <v>0</v>
      </c>
      <c r="AF276" s="126">
        <f t="shared" si="45"/>
        <v>0</v>
      </c>
      <c r="AG276" s="129">
        <f t="shared" si="45"/>
        <v>0</v>
      </c>
      <c r="AH276" s="24"/>
    </row>
    <row r="277" ht="12.75" customHeight="1">
      <c r="A277" s="130" t="s">
        <v>63</v>
      </c>
      <c r="B277" s="131"/>
      <c r="C277" s="132"/>
      <c r="D277" s="132"/>
      <c r="E277" s="132"/>
      <c r="F277" s="132"/>
      <c r="G277" s="132"/>
      <c r="H277" s="132"/>
      <c r="I277" s="132"/>
      <c r="J277" s="132"/>
      <c r="K277" s="132"/>
      <c r="L277" s="132"/>
      <c r="M277" s="132"/>
      <c r="N277" s="132"/>
      <c r="O277" s="134"/>
      <c r="P277" s="134"/>
      <c r="Q277" s="134"/>
      <c r="R277" s="134"/>
      <c r="S277" s="134"/>
      <c r="T277" s="134"/>
      <c r="U277" s="134"/>
      <c r="V277" s="134"/>
      <c r="W277" s="134"/>
      <c r="X277" s="134"/>
      <c r="Y277" s="134"/>
      <c r="Z277" s="134"/>
      <c r="AA277" s="134"/>
      <c r="AB277" s="134"/>
      <c r="AC277" s="134"/>
      <c r="AD277" s="134"/>
      <c r="AE277" s="134"/>
      <c r="AF277" s="134"/>
      <c r="AG277" s="135"/>
      <c r="AH277" s="24"/>
    </row>
    <row r="278" ht="12.75" customHeight="1">
      <c r="A278" s="46" t="s">
        <v>64</v>
      </c>
      <c r="B278" s="51" t="s">
        <v>51</v>
      </c>
      <c r="C278" s="48">
        <f>4172+12462+3569+4932+3539+1698+16766</f>
        <v>47138</v>
      </c>
      <c r="D278" s="49" t="s">
        <v>7</v>
      </c>
      <c r="E278" s="49" t="s">
        <v>7</v>
      </c>
      <c r="F278" s="49" t="s">
        <v>7</v>
      </c>
      <c r="G278" s="49" t="s">
        <v>7</v>
      </c>
      <c r="H278" s="49" t="s">
        <v>7</v>
      </c>
      <c r="I278" s="49" t="s">
        <v>7</v>
      </c>
      <c r="J278" s="49" t="s">
        <v>7</v>
      </c>
      <c r="K278" s="49" t="s">
        <v>7</v>
      </c>
      <c r="L278" s="49" t="s">
        <v>7</v>
      </c>
      <c r="M278" s="49" t="s">
        <v>7</v>
      </c>
      <c r="N278" s="49" t="s">
        <v>7</v>
      </c>
      <c r="O278" s="49" t="s">
        <v>7</v>
      </c>
      <c r="P278" s="301">
        <f>1416+12011+2508+4684+2774+2455+20091</f>
        <v>45939</v>
      </c>
      <c r="Q278" s="49" t="s">
        <v>7</v>
      </c>
      <c r="R278" s="49" t="s">
        <v>7</v>
      </c>
      <c r="S278" s="49"/>
      <c r="T278" s="49" t="s">
        <v>7</v>
      </c>
      <c r="U278" s="49"/>
      <c r="V278" s="49"/>
      <c r="W278" s="49"/>
      <c r="X278" s="49"/>
      <c r="Y278" s="49"/>
      <c r="Z278" s="49"/>
      <c r="AA278" s="49"/>
      <c r="AB278" s="49"/>
      <c r="AC278" s="49"/>
      <c r="AD278" s="49"/>
      <c r="AE278" s="49"/>
      <c r="AF278" s="49"/>
      <c r="AG278" s="51"/>
      <c r="AH278" s="24"/>
    </row>
    <row r="279" ht="12.75" customHeight="1">
      <c r="A279" s="52" t="s">
        <v>65</v>
      </c>
      <c r="B279" s="53"/>
      <c r="C279" s="54" t="s">
        <v>122</v>
      </c>
      <c r="D279" s="55" t="s">
        <v>7</v>
      </c>
      <c r="E279" s="55" t="s">
        <v>7</v>
      </c>
      <c r="F279" s="55" t="s">
        <v>7</v>
      </c>
      <c r="G279" s="55" t="s">
        <v>7</v>
      </c>
      <c r="H279" s="55" t="s">
        <v>7</v>
      </c>
      <c r="I279" s="55" t="s">
        <v>7</v>
      </c>
      <c r="J279" s="55" t="s">
        <v>7</v>
      </c>
      <c r="K279" s="55" t="s">
        <v>7</v>
      </c>
      <c r="L279" s="55" t="s">
        <v>7</v>
      </c>
      <c r="M279" s="55" t="s">
        <v>7</v>
      </c>
      <c r="N279" s="55" t="s">
        <v>7</v>
      </c>
      <c r="O279" s="55" t="s">
        <v>7</v>
      </c>
      <c r="P279" s="302" t="s">
        <v>122</v>
      </c>
      <c r="Q279" s="55" t="s">
        <v>7</v>
      </c>
      <c r="R279" s="55" t="s">
        <v>7</v>
      </c>
      <c r="S279" s="55"/>
      <c r="T279" s="55" t="s">
        <v>7</v>
      </c>
      <c r="U279" s="55"/>
      <c r="V279" s="55"/>
      <c r="W279" s="55"/>
      <c r="X279" s="55"/>
      <c r="Y279" s="55"/>
      <c r="Z279" s="55"/>
      <c r="AA279" s="55"/>
      <c r="AB279" s="55"/>
      <c r="AC279" s="55"/>
      <c r="AD279" s="55"/>
      <c r="AE279" s="55"/>
      <c r="AF279" s="55"/>
      <c r="AG279" s="58"/>
      <c r="AH279" s="24"/>
    </row>
    <row r="280" ht="12.75" customHeight="1">
      <c r="A280" s="130" t="s">
        <v>66</v>
      </c>
      <c r="B280" s="131"/>
      <c r="C280" s="132"/>
      <c r="D280" s="132"/>
      <c r="E280" s="132"/>
      <c r="F280" s="132"/>
      <c r="G280" s="132"/>
      <c r="H280" s="138"/>
      <c r="I280" s="138"/>
      <c r="J280" s="138"/>
      <c r="K280" s="138"/>
      <c r="L280" s="132"/>
      <c r="M280" s="132"/>
      <c r="N280" s="132"/>
      <c r="O280" s="132"/>
      <c r="P280" s="250"/>
      <c r="Q280" s="132"/>
      <c r="R280" s="132"/>
      <c r="S280" s="132"/>
      <c r="T280" s="132"/>
      <c r="U280" s="140"/>
      <c r="V280" s="140"/>
      <c r="W280" s="140"/>
      <c r="X280" s="140"/>
      <c r="Y280" s="140"/>
      <c r="Z280" s="140"/>
      <c r="AA280" s="140"/>
      <c r="AB280" s="140"/>
      <c r="AC280" s="140"/>
      <c r="AD280" s="140"/>
      <c r="AE280" s="140"/>
      <c r="AF280" s="140"/>
      <c r="AG280" s="142"/>
      <c r="AH280" s="24"/>
    </row>
    <row r="281" ht="12.75" customHeight="1">
      <c r="A281" s="46" t="s">
        <v>68</v>
      </c>
      <c r="B281" s="47"/>
      <c r="C281" s="252">
        <f>C278</f>
        <v>47138</v>
      </c>
      <c r="D281" s="84">
        <f t="shared" ref="D281:O281" si="46">$C$281*D241/$C$241</f>
        <v>47298.99118</v>
      </c>
      <c r="E281" s="84">
        <f t="shared" si="46"/>
        <v>47589.09943</v>
      </c>
      <c r="F281" s="84">
        <f t="shared" si="46"/>
        <v>47937.55349</v>
      </c>
      <c r="G281" s="84">
        <f t="shared" si="46"/>
        <v>48461.58517</v>
      </c>
      <c r="H281" s="84">
        <f t="shared" si="46"/>
        <v>48675.51975</v>
      </c>
      <c r="I281" s="84">
        <f t="shared" si="46"/>
        <v>49149.57933</v>
      </c>
      <c r="J281" s="84">
        <f t="shared" si="46"/>
        <v>49730.87633</v>
      </c>
      <c r="K281" s="84">
        <f t="shared" si="46"/>
        <v>50539.34376</v>
      </c>
      <c r="L281" s="84">
        <f t="shared" si="46"/>
        <v>51506.10116</v>
      </c>
      <c r="M281" s="84">
        <f t="shared" si="46"/>
        <v>52098.47306</v>
      </c>
      <c r="N281" s="84">
        <f t="shared" si="46"/>
        <v>52583.87766</v>
      </c>
      <c r="O281" s="84">
        <f t="shared" si="46"/>
        <v>53569.54342</v>
      </c>
      <c r="P281" s="48">
        <f>$P$278</f>
        <v>45939</v>
      </c>
      <c r="Q281" s="84">
        <f t="shared" ref="Q281:T281" si="47">$P$281*Q241/$P$241</f>
        <v>46097.99868</v>
      </c>
      <c r="R281" s="84">
        <f t="shared" si="47"/>
        <v>46394.81139</v>
      </c>
      <c r="S281" s="84">
        <f t="shared" si="47"/>
        <v>46220.55066</v>
      </c>
      <c r="T281" s="84">
        <f t="shared" si="47"/>
        <v>45883.64659</v>
      </c>
      <c r="U281" s="84">
        <f t="shared" ref="U281:AG281" si="48">$S$281*U241/$S$241</f>
        <v>45834.67136</v>
      </c>
      <c r="V281" s="84">
        <f t="shared" si="48"/>
        <v>0</v>
      </c>
      <c r="W281" s="84">
        <f t="shared" si="48"/>
        <v>0</v>
      </c>
      <c r="X281" s="84">
        <f t="shared" si="48"/>
        <v>0</v>
      </c>
      <c r="Y281" s="84">
        <f t="shared" si="48"/>
        <v>0</v>
      </c>
      <c r="Z281" s="84">
        <f t="shared" si="48"/>
        <v>0</v>
      </c>
      <c r="AA281" s="84">
        <f t="shared" si="48"/>
        <v>0</v>
      </c>
      <c r="AB281" s="84">
        <f t="shared" si="48"/>
        <v>0</v>
      </c>
      <c r="AC281" s="84">
        <f t="shared" si="48"/>
        <v>0</v>
      </c>
      <c r="AD281" s="84">
        <f t="shared" si="48"/>
        <v>0</v>
      </c>
      <c r="AE281" s="84">
        <f t="shared" si="48"/>
        <v>0</v>
      </c>
      <c r="AF281" s="84">
        <f t="shared" si="48"/>
        <v>0</v>
      </c>
      <c r="AG281" s="88">
        <f t="shared" si="48"/>
        <v>0</v>
      </c>
      <c r="AH281" s="24"/>
    </row>
    <row r="282" ht="12.75" customHeight="1">
      <c r="A282" s="46" t="s">
        <v>128</v>
      </c>
      <c r="B282" s="51" t="s">
        <v>51</v>
      </c>
      <c r="C282" s="48">
        <f t="shared" ref="C282:AG282" si="49">C281*300*365/325851</f>
        <v>15840.40252</v>
      </c>
      <c r="D282" s="84">
        <f t="shared" si="49"/>
        <v>15894.5025</v>
      </c>
      <c r="E282" s="84">
        <f t="shared" si="49"/>
        <v>15991.99139</v>
      </c>
      <c r="F282" s="84">
        <f t="shared" si="49"/>
        <v>16109.087</v>
      </c>
      <c r="G282" s="84">
        <f t="shared" si="49"/>
        <v>16285.18426</v>
      </c>
      <c r="H282" s="84">
        <f t="shared" si="49"/>
        <v>16357.07551</v>
      </c>
      <c r="I282" s="84">
        <f t="shared" si="49"/>
        <v>16516.37999</v>
      </c>
      <c r="J282" s="84">
        <f t="shared" si="49"/>
        <v>16711.72087</v>
      </c>
      <c r="K282" s="84">
        <f t="shared" si="49"/>
        <v>16983.40082</v>
      </c>
      <c r="L282" s="84">
        <f t="shared" si="49"/>
        <v>17308.27304</v>
      </c>
      <c r="M282" s="84">
        <f t="shared" si="49"/>
        <v>17507.33556</v>
      </c>
      <c r="N282" s="84">
        <f t="shared" si="49"/>
        <v>17670.45246</v>
      </c>
      <c r="O282" s="84">
        <f t="shared" si="49"/>
        <v>18001.6787</v>
      </c>
      <c r="P282" s="48">
        <f t="shared" si="49"/>
        <v>15437.48677</v>
      </c>
      <c r="Q282" s="84">
        <f t="shared" si="49"/>
        <v>15490.91718</v>
      </c>
      <c r="R282" s="84">
        <f t="shared" si="49"/>
        <v>15590.65907</v>
      </c>
      <c r="S282" s="84">
        <f t="shared" si="49"/>
        <v>15532.09994</v>
      </c>
      <c r="T282" s="84">
        <f t="shared" si="49"/>
        <v>15418.88563</v>
      </c>
      <c r="U282" s="84">
        <f t="shared" si="49"/>
        <v>15402.42784</v>
      </c>
      <c r="V282" s="84">
        <f t="shared" si="49"/>
        <v>0</v>
      </c>
      <c r="W282" s="84">
        <f t="shared" si="49"/>
        <v>0</v>
      </c>
      <c r="X282" s="84">
        <f t="shared" si="49"/>
        <v>0</v>
      </c>
      <c r="Y282" s="84">
        <f t="shared" si="49"/>
        <v>0</v>
      </c>
      <c r="Z282" s="84">
        <f t="shared" si="49"/>
        <v>0</v>
      </c>
      <c r="AA282" s="84">
        <f t="shared" si="49"/>
        <v>0</v>
      </c>
      <c r="AB282" s="84">
        <f t="shared" si="49"/>
        <v>0</v>
      </c>
      <c r="AC282" s="84">
        <f t="shared" si="49"/>
        <v>0</v>
      </c>
      <c r="AD282" s="84">
        <f t="shared" si="49"/>
        <v>0</v>
      </c>
      <c r="AE282" s="84">
        <f t="shared" si="49"/>
        <v>0</v>
      </c>
      <c r="AF282" s="84">
        <f t="shared" si="49"/>
        <v>0</v>
      </c>
      <c r="AG282" s="88">
        <f t="shared" si="49"/>
        <v>0</v>
      </c>
      <c r="AH282" s="24"/>
    </row>
    <row r="283" ht="12.75" customHeight="1">
      <c r="A283" s="153" t="s">
        <v>133</v>
      </c>
      <c r="B283" s="215" t="s">
        <v>51</v>
      </c>
      <c r="C283" s="253">
        <f t="shared" ref="C283:AG283" si="50">C281*150*365/325851</f>
        <v>7920.201258</v>
      </c>
      <c r="D283" s="157">
        <f t="shared" si="50"/>
        <v>7947.251249</v>
      </c>
      <c r="E283" s="157">
        <f t="shared" si="50"/>
        <v>7995.995697</v>
      </c>
      <c r="F283" s="157">
        <f t="shared" si="50"/>
        <v>8054.543498</v>
      </c>
      <c r="G283" s="157">
        <f t="shared" si="50"/>
        <v>8142.592129</v>
      </c>
      <c r="H283" s="157">
        <f t="shared" si="50"/>
        <v>8178.537755</v>
      </c>
      <c r="I283" s="157">
        <f t="shared" si="50"/>
        <v>8258.189996</v>
      </c>
      <c r="J283" s="157">
        <f t="shared" si="50"/>
        <v>8355.860436</v>
      </c>
      <c r="K283" s="157">
        <f t="shared" si="50"/>
        <v>8491.700411</v>
      </c>
      <c r="L283" s="157">
        <f t="shared" si="50"/>
        <v>8654.136519</v>
      </c>
      <c r="M283" s="157">
        <f t="shared" si="50"/>
        <v>8753.66778</v>
      </c>
      <c r="N283" s="157">
        <f t="shared" si="50"/>
        <v>8835.226228</v>
      </c>
      <c r="O283" s="157">
        <f t="shared" si="50"/>
        <v>9000.839348</v>
      </c>
      <c r="P283" s="254">
        <f t="shared" si="50"/>
        <v>7718.743383</v>
      </c>
      <c r="Q283" s="157">
        <f t="shared" si="50"/>
        <v>7745.458592</v>
      </c>
      <c r="R283" s="157">
        <f t="shared" si="50"/>
        <v>7795.329533</v>
      </c>
      <c r="S283" s="157">
        <f t="shared" si="50"/>
        <v>7766.04997</v>
      </c>
      <c r="T283" s="157">
        <f t="shared" si="50"/>
        <v>7709.442816</v>
      </c>
      <c r="U283" s="157">
        <f t="shared" si="50"/>
        <v>7701.213919</v>
      </c>
      <c r="V283" s="157">
        <f t="shared" si="50"/>
        <v>0</v>
      </c>
      <c r="W283" s="157">
        <f t="shared" si="50"/>
        <v>0</v>
      </c>
      <c r="X283" s="157">
        <f t="shared" si="50"/>
        <v>0</v>
      </c>
      <c r="Y283" s="157">
        <f t="shared" si="50"/>
        <v>0</v>
      </c>
      <c r="Z283" s="157">
        <f t="shared" si="50"/>
        <v>0</v>
      </c>
      <c r="AA283" s="157">
        <f t="shared" si="50"/>
        <v>0</v>
      </c>
      <c r="AB283" s="157">
        <f t="shared" si="50"/>
        <v>0</v>
      </c>
      <c r="AC283" s="157">
        <f t="shared" si="50"/>
        <v>0</v>
      </c>
      <c r="AD283" s="157">
        <f t="shared" si="50"/>
        <v>0</v>
      </c>
      <c r="AE283" s="157">
        <f t="shared" si="50"/>
        <v>0</v>
      </c>
      <c r="AF283" s="157">
        <f t="shared" si="50"/>
        <v>0</v>
      </c>
      <c r="AG283" s="158">
        <f t="shared" si="50"/>
        <v>0</v>
      </c>
      <c r="AH283" s="24"/>
    </row>
    <row r="284" ht="12.75" customHeight="1">
      <c r="A284" s="160"/>
      <c r="B284" s="49"/>
      <c r="C284" s="71"/>
      <c r="D284" s="84"/>
      <c r="E284" s="84"/>
      <c r="F284" s="84"/>
      <c r="G284" s="84"/>
      <c r="H284" s="84"/>
      <c r="I284" s="84"/>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c r="AG284" s="84"/>
      <c r="AH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row>
    <row r="286" ht="12.75" customHeight="1">
      <c r="A286" s="30" t="s">
        <v>276</v>
      </c>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2"/>
      <c r="AH286" s="24"/>
    </row>
    <row r="287" ht="12.75" customHeight="1">
      <c r="A287" s="33" t="s">
        <v>37</v>
      </c>
      <c r="B287" s="34"/>
      <c r="C287" s="35">
        <v>2000.0</v>
      </c>
      <c r="D287" s="35">
        <v>2001.0</v>
      </c>
      <c r="E287" s="35">
        <v>2002.0</v>
      </c>
      <c r="F287" s="35">
        <v>2003.0</v>
      </c>
      <c r="G287" s="35">
        <v>2004.0</v>
      </c>
      <c r="H287" s="35">
        <v>2005.0</v>
      </c>
      <c r="I287" s="35">
        <v>2006.0</v>
      </c>
      <c r="J287" s="35">
        <v>2007.0</v>
      </c>
      <c r="K287" s="35">
        <v>2008.0</v>
      </c>
      <c r="L287" s="35">
        <v>2009.0</v>
      </c>
      <c r="M287" s="35">
        <v>2010.0</v>
      </c>
      <c r="N287" s="35">
        <v>2011.0</v>
      </c>
      <c r="O287" s="35">
        <v>2012.0</v>
      </c>
      <c r="P287" s="35">
        <v>2013.0</v>
      </c>
      <c r="Q287" s="35">
        <v>2014.0</v>
      </c>
      <c r="R287" s="35">
        <v>2015.0</v>
      </c>
      <c r="S287" s="35">
        <v>2016.0</v>
      </c>
      <c r="T287" s="35">
        <v>2017.0</v>
      </c>
      <c r="U287" s="35">
        <v>2018.0</v>
      </c>
      <c r="V287" s="35">
        <v>2019.0</v>
      </c>
      <c r="W287" s="35">
        <v>2020.0</v>
      </c>
      <c r="X287" s="35">
        <v>2021.0</v>
      </c>
      <c r="Y287" s="35">
        <v>2022.0</v>
      </c>
      <c r="Z287" s="35">
        <v>2023.0</v>
      </c>
      <c r="AA287" s="35">
        <v>2024.0</v>
      </c>
      <c r="AB287" s="35">
        <v>2025.0</v>
      </c>
      <c r="AC287" s="35">
        <v>2026.0</v>
      </c>
      <c r="AD287" s="35">
        <v>2027.0</v>
      </c>
      <c r="AE287" s="35">
        <v>2028.0</v>
      </c>
      <c r="AF287" s="35">
        <v>2029.0</v>
      </c>
      <c r="AG287" s="36">
        <v>2030.0</v>
      </c>
      <c r="AH287" s="24"/>
    </row>
    <row r="288" ht="12.75" customHeight="1">
      <c r="A288" s="37" t="s">
        <v>38</v>
      </c>
      <c r="B288" s="38"/>
      <c r="C288" s="39">
        <v>3.0</v>
      </c>
      <c r="D288" s="39">
        <v>4.0</v>
      </c>
      <c r="E288" s="39">
        <v>5.0</v>
      </c>
      <c r="F288" s="39">
        <v>6.0</v>
      </c>
      <c r="G288" s="39">
        <v>7.0</v>
      </c>
      <c r="H288" s="39">
        <v>8.0</v>
      </c>
      <c r="I288" s="39">
        <v>9.0</v>
      </c>
      <c r="J288" s="39">
        <v>10.0</v>
      </c>
      <c r="K288" s="39">
        <v>11.0</v>
      </c>
      <c r="L288" s="39">
        <v>12.0</v>
      </c>
      <c r="M288" s="39">
        <v>13.0</v>
      </c>
      <c r="N288" s="39">
        <v>14.0</v>
      </c>
      <c r="O288" s="39">
        <v>15.0</v>
      </c>
      <c r="P288" s="39">
        <v>16.0</v>
      </c>
      <c r="Q288" s="39">
        <v>17.0</v>
      </c>
      <c r="R288" s="39">
        <v>18.0</v>
      </c>
      <c r="S288" s="39">
        <v>19.0</v>
      </c>
      <c r="T288" s="39">
        <v>20.0</v>
      </c>
      <c r="U288" s="39">
        <v>21.0</v>
      </c>
      <c r="V288" s="39">
        <v>22.0</v>
      </c>
      <c r="W288" s="39">
        <v>23.0</v>
      </c>
      <c r="X288" s="39">
        <v>24.0</v>
      </c>
      <c r="Y288" s="39">
        <v>25.0</v>
      </c>
      <c r="Z288" s="39">
        <v>26.0</v>
      </c>
      <c r="AA288" s="39">
        <v>27.0</v>
      </c>
      <c r="AB288" s="39">
        <v>28.0</v>
      </c>
      <c r="AC288" s="39">
        <v>29.0</v>
      </c>
      <c r="AD288" s="39">
        <v>30.0</v>
      </c>
      <c r="AE288" s="39">
        <v>31.0</v>
      </c>
      <c r="AF288" s="39">
        <v>32.0</v>
      </c>
      <c r="AG288" s="40">
        <v>33.0</v>
      </c>
      <c r="AH288" s="24"/>
    </row>
    <row r="289" ht="12.75" customHeight="1">
      <c r="A289" s="164" t="s">
        <v>39</v>
      </c>
      <c r="B289" s="170"/>
      <c r="C289" s="171">
        <f>SUM(C290:C298)</f>
        <v>24776</v>
      </c>
      <c r="D289" s="172" t="s">
        <v>7</v>
      </c>
      <c r="E289" s="172" t="s">
        <v>7</v>
      </c>
      <c r="F289" s="172" t="s">
        <v>7</v>
      </c>
      <c r="G289" s="172" t="s">
        <v>7</v>
      </c>
      <c r="H289" s="172" t="s">
        <v>7</v>
      </c>
      <c r="I289" s="172" t="s">
        <v>7</v>
      </c>
      <c r="J289" s="172" t="s">
        <v>7</v>
      </c>
      <c r="K289" s="172" t="s">
        <v>7</v>
      </c>
      <c r="L289" s="172" t="s">
        <v>7</v>
      </c>
      <c r="M289" s="172" t="s">
        <v>7</v>
      </c>
      <c r="N289" s="172" t="s">
        <v>7</v>
      </c>
      <c r="O289" s="172" t="s">
        <v>7</v>
      </c>
      <c r="P289" s="172" t="s">
        <v>7</v>
      </c>
      <c r="Q289" s="172" t="s">
        <v>7</v>
      </c>
      <c r="R289" s="172" t="s">
        <v>7</v>
      </c>
      <c r="S289" s="172" t="s">
        <v>7</v>
      </c>
      <c r="T289" s="172" t="s">
        <v>7</v>
      </c>
      <c r="U289" s="176"/>
      <c r="V289" s="176"/>
      <c r="W289" s="176"/>
      <c r="X289" s="176"/>
      <c r="Y289" s="176"/>
      <c r="Z289" s="176"/>
      <c r="AA289" s="176"/>
      <c r="AB289" s="176"/>
      <c r="AC289" s="176"/>
      <c r="AD289" s="176"/>
      <c r="AE289" s="176"/>
      <c r="AF289" s="176"/>
      <c r="AG289" s="177"/>
      <c r="AH289" s="24"/>
    </row>
    <row r="290" ht="12.75" customHeight="1">
      <c r="A290" s="46" t="s">
        <v>250</v>
      </c>
      <c r="B290" s="51" t="s">
        <v>51</v>
      </c>
      <c r="C290" s="48">
        <v>125.0</v>
      </c>
      <c r="D290" s="71" t="s">
        <v>7</v>
      </c>
      <c r="E290" s="71" t="s">
        <v>7</v>
      </c>
      <c r="F290" s="71" t="s">
        <v>7</v>
      </c>
      <c r="G290" s="71" t="s">
        <v>7</v>
      </c>
      <c r="H290" s="71" t="s">
        <v>7</v>
      </c>
      <c r="I290" s="71" t="s">
        <v>7</v>
      </c>
      <c r="J290" s="71" t="s">
        <v>7</v>
      </c>
      <c r="K290" s="71" t="s">
        <v>7</v>
      </c>
      <c r="L290" s="71" t="s">
        <v>7</v>
      </c>
      <c r="M290" s="71" t="s">
        <v>7</v>
      </c>
      <c r="N290" s="71" t="s">
        <v>7</v>
      </c>
      <c r="O290" s="71" t="s">
        <v>7</v>
      </c>
      <c r="P290" s="71" t="s">
        <v>7</v>
      </c>
      <c r="Q290" s="71" t="s">
        <v>7</v>
      </c>
      <c r="R290" s="71" t="s">
        <v>7</v>
      </c>
      <c r="S290" s="71" t="s">
        <v>7</v>
      </c>
      <c r="T290" s="71" t="s">
        <v>7</v>
      </c>
      <c r="U290" s="84"/>
      <c r="V290" s="84"/>
      <c r="W290" s="84"/>
      <c r="X290" s="84"/>
      <c r="Y290" s="84"/>
      <c r="Z290" s="84"/>
      <c r="AA290" s="84"/>
      <c r="AB290" s="84"/>
      <c r="AC290" s="84"/>
      <c r="AD290" s="84"/>
      <c r="AE290" s="84"/>
      <c r="AF290" s="84"/>
      <c r="AG290" s="88"/>
      <c r="AH290" s="24"/>
    </row>
    <row r="291" ht="12.75" customHeight="1">
      <c r="A291" s="46" t="s">
        <v>253</v>
      </c>
      <c r="B291" s="51" t="s">
        <v>52</v>
      </c>
      <c r="C291" s="48">
        <v>125.0</v>
      </c>
      <c r="D291" s="71" t="s">
        <v>7</v>
      </c>
      <c r="E291" s="71" t="s">
        <v>7</v>
      </c>
      <c r="F291" s="71" t="s">
        <v>7</v>
      </c>
      <c r="G291" s="71" t="s">
        <v>7</v>
      </c>
      <c r="H291" s="71" t="s">
        <v>7</v>
      </c>
      <c r="I291" s="71" t="s">
        <v>7</v>
      </c>
      <c r="J291" s="71" t="s">
        <v>7</v>
      </c>
      <c r="K291" s="71" t="s">
        <v>7</v>
      </c>
      <c r="L291" s="71" t="s">
        <v>7</v>
      </c>
      <c r="M291" s="71" t="s">
        <v>7</v>
      </c>
      <c r="N291" s="71" t="s">
        <v>7</v>
      </c>
      <c r="O291" s="71" t="s">
        <v>7</v>
      </c>
      <c r="P291" s="71" t="s">
        <v>7</v>
      </c>
      <c r="Q291" s="71" t="s">
        <v>7</v>
      </c>
      <c r="R291" s="71" t="s">
        <v>7</v>
      </c>
      <c r="S291" s="71" t="s">
        <v>7</v>
      </c>
      <c r="T291" s="71" t="s">
        <v>7</v>
      </c>
      <c r="U291" s="84"/>
      <c r="V291" s="84"/>
      <c r="W291" s="84"/>
      <c r="X291" s="84"/>
      <c r="Y291" s="84"/>
      <c r="Z291" s="84"/>
      <c r="AA291" s="84"/>
      <c r="AB291" s="84"/>
      <c r="AC291" s="84"/>
      <c r="AD291" s="84"/>
      <c r="AE291" s="84"/>
      <c r="AF291" s="84"/>
      <c r="AG291" s="88"/>
      <c r="AH291" s="24"/>
    </row>
    <row r="292" ht="12.75" customHeight="1">
      <c r="A292" s="46" t="s">
        <v>273</v>
      </c>
      <c r="B292" s="51" t="s">
        <v>52</v>
      </c>
      <c r="C292" s="48">
        <v>701.0</v>
      </c>
      <c r="D292" s="71" t="s">
        <v>7</v>
      </c>
      <c r="E292" s="71" t="s">
        <v>7</v>
      </c>
      <c r="F292" s="71" t="s">
        <v>7</v>
      </c>
      <c r="G292" s="71" t="s">
        <v>7</v>
      </c>
      <c r="H292" s="71" t="s">
        <v>7</v>
      </c>
      <c r="I292" s="71" t="s">
        <v>7</v>
      </c>
      <c r="J292" s="71" t="s">
        <v>7</v>
      </c>
      <c r="K292" s="71" t="s">
        <v>7</v>
      </c>
      <c r="L292" s="71" t="s">
        <v>7</v>
      </c>
      <c r="M292" s="71" t="s">
        <v>7</v>
      </c>
      <c r="N292" s="71" t="s">
        <v>7</v>
      </c>
      <c r="O292" s="71" t="s">
        <v>7</v>
      </c>
      <c r="P292" s="71" t="s">
        <v>7</v>
      </c>
      <c r="Q292" s="71" t="s">
        <v>7</v>
      </c>
      <c r="R292" s="71" t="s">
        <v>7</v>
      </c>
      <c r="S292" s="71" t="s">
        <v>7</v>
      </c>
      <c r="T292" s="71" t="s">
        <v>7</v>
      </c>
      <c r="U292" s="84"/>
      <c r="V292" s="84"/>
      <c r="W292" s="84"/>
      <c r="X292" s="84"/>
      <c r="Y292" s="84"/>
      <c r="Z292" s="84"/>
      <c r="AA292" s="84"/>
      <c r="AB292" s="84"/>
      <c r="AC292" s="84"/>
      <c r="AD292" s="84"/>
      <c r="AE292" s="84"/>
      <c r="AF292" s="84"/>
      <c r="AG292" s="88"/>
      <c r="AH292" s="24"/>
    </row>
    <row r="293" ht="12.75" customHeight="1">
      <c r="A293" s="46" t="s">
        <v>277</v>
      </c>
      <c r="B293" s="51" t="s">
        <v>52</v>
      </c>
      <c r="C293" s="48">
        <v>18500.0</v>
      </c>
      <c r="D293" s="71" t="s">
        <v>7</v>
      </c>
      <c r="E293" s="71" t="s">
        <v>7</v>
      </c>
      <c r="F293" s="71" t="s">
        <v>7</v>
      </c>
      <c r="G293" s="71" t="s">
        <v>7</v>
      </c>
      <c r="H293" s="71" t="s">
        <v>7</v>
      </c>
      <c r="I293" s="71" t="s">
        <v>7</v>
      </c>
      <c r="J293" s="71" t="s">
        <v>7</v>
      </c>
      <c r="K293" s="71" t="s">
        <v>7</v>
      </c>
      <c r="L293" s="71" t="s">
        <v>7</v>
      </c>
      <c r="M293" s="71" t="s">
        <v>7</v>
      </c>
      <c r="N293" s="71" t="s">
        <v>7</v>
      </c>
      <c r="O293" s="71" t="s">
        <v>7</v>
      </c>
      <c r="P293" s="71" t="s">
        <v>7</v>
      </c>
      <c r="Q293" s="71" t="s">
        <v>7</v>
      </c>
      <c r="R293" s="71" t="s">
        <v>7</v>
      </c>
      <c r="S293" s="71" t="s">
        <v>7</v>
      </c>
      <c r="T293" s="71" t="s">
        <v>7</v>
      </c>
      <c r="U293" s="84"/>
      <c r="V293" s="84"/>
      <c r="W293" s="84"/>
      <c r="X293" s="84"/>
      <c r="Y293" s="84"/>
      <c r="Z293" s="84"/>
      <c r="AA293" s="84"/>
      <c r="AB293" s="84"/>
      <c r="AC293" s="84"/>
      <c r="AD293" s="84"/>
      <c r="AE293" s="84"/>
      <c r="AF293" s="84"/>
      <c r="AG293" s="88"/>
      <c r="AH293" s="24"/>
    </row>
    <row r="294" ht="12.75" customHeight="1">
      <c r="A294" s="46" t="s">
        <v>280</v>
      </c>
      <c r="B294" s="51" t="s">
        <v>52</v>
      </c>
      <c r="C294" s="48">
        <v>400.0</v>
      </c>
      <c r="D294" s="71" t="s">
        <v>7</v>
      </c>
      <c r="E294" s="71" t="s">
        <v>7</v>
      </c>
      <c r="F294" s="71" t="s">
        <v>7</v>
      </c>
      <c r="G294" s="71" t="s">
        <v>7</v>
      </c>
      <c r="H294" s="71" t="s">
        <v>7</v>
      </c>
      <c r="I294" s="71" t="s">
        <v>7</v>
      </c>
      <c r="J294" s="71" t="s">
        <v>7</v>
      </c>
      <c r="K294" s="71" t="s">
        <v>7</v>
      </c>
      <c r="L294" s="71" t="s">
        <v>7</v>
      </c>
      <c r="M294" s="71" t="s">
        <v>7</v>
      </c>
      <c r="N294" s="71" t="s">
        <v>7</v>
      </c>
      <c r="O294" s="71" t="s">
        <v>7</v>
      </c>
      <c r="P294" s="71" t="s">
        <v>7</v>
      </c>
      <c r="Q294" s="71" t="s">
        <v>7</v>
      </c>
      <c r="R294" s="71" t="s">
        <v>7</v>
      </c>
      <c r="S294" s="71" t="s">
        <v>7</v>
      </c>
      <c r="T294" s="71" t="s">
        <v>7</v>
      </c>
      <c r="U294" s="84"/>
      <c r="V294" s="84"/>
      <c r="W294" s="84"/>
      <c r="X294" s="84"/>
      <c r="Y294" s="84"/>
      <c r="Z294" s="84"/>
      <c r="AA294" s="84"/>
      <c r="AB294" s="84"/>
      <c r="AC294" s="84"/>
      <c r="AD294" s="84"/>
      <c r="AE294" s="84"/>
      <c r="AF294" s="84"/>
      <c r="AG294" s="88"/>
      <c r="AH294" s="24"/>
    </row>
    <row r="295" ht="12.75" customHeight="1">
      <c r="A295" s="46" t="s">
        <v>247</v>
      </c>
      <c r="B295" s="51" t="s">
        <v>52</v>
      </c>
      <c r="C295" s="48">
        <v>3900.0</v>
      </c>
      <c r="D295" s="71" t="s">
        <v>7</v>
      </c>
      <c r="E295" s="71" t="s">
        <v>7</v>
      </c>
      <c r="F295" s="71" t="s">
        <v>7</v>
      </c>
      <c r="G295" s="71" t="s">
        <v>7</v>
      </c>
      <c r="H295" s="71" t="s">
        <v>7</v>
      </c>
      <c r="I295" s="71" t="s">
        <v>7</v>
      </c>
      <c r="J295" s="71" t="s">
        <v>7</v>
      </c>
      <c r="K295" s="71" t="s">
        <v>7</v>
      </c>
      <c r="L295" s="71" t="s">
        <v>7</v>
      </c>
      <c r="M295" s="71" t="s">
        <v>7</v>
      </c>
      <c r="N295" s="71" t="s">
        <v>7</v>
      </c>
      <c r="O295" s="71" t="s">
        <v>7</v>
      </c>
      <c r="P295" s="71" t="s">
        <v>7</v>
      </c>
      <c r="Q295" s="71" t="s">
        <v>7</v>
      </c>
      <c r="R295" s="71" t="s">
        <v>7</v>
      </c>
      <c r="S295" s="71" t="s">
        <v>7</v>
      </c>
      <c r="T295" s="71" t="s">
        <v>7</v>
      </c>
      <c r="U295" s="84"/>
      <c r="V295" s="84"/>
      <c r="W295" s="84"/>
      <c r="X295" s="84"/>
      <c r="Y295" s="84"/>
      <c r="Z295" s="84"/>
      <c r="AA295" s="84"/>
      <c r="AB295" s="84"/>
      <c r="AC295" s="84"/>
      <c r="AD295" s="84"/>
      <c r="AE295" s="84"/>
      <c r="AF295" s="84"/>
      <c r="AG295" s="88"/>
      <c r="AH295" s="24"/>
    </row>
    <row r="296" ht="12.75" customHeight="1">
      <c r="A296" s="46" t="s">
        <v>262</v>
      </c>
      <c r="B296" s="51" t="s">
        <v>51</v>
      </c>
      <c r="C296" s="48">
        <v>300.0</v>
      </c>
      <c r="D296" s="71" t="s">
        <v>7</v>
      </c>
      <c r="E296" s="71" t="s">
        <v>7</v>
      </c>
      <c r="F296" s="71" t="s">
        <v>7</v>
      </c>
      <c r="G296" s="71" t="s">
        <v>7</v>
      </c>
      <c r="H296" s="71" t="s">
        <v>7</v>
      </c>
      <c r="I296" s="71" t="s">
        <v>7</v>
      </c>
      <c r="J296" s="71" t="s">
        <v>7</v>
      </c>
      <c r="K296" s="71" t="s">
        <v>7</v>
      </c>
      <c r="L296" s="71" t="s">
        <v>7</v>
      </c>
      <c r="M296" s="71" t="s">
        <v>7</v>
      </c>
      <c r="N296" s="71" t="s">
        <v>7</v>
      </c>
      <c r="O296" s="71" t="s">
        <v>7</v>
      </c>
      <c r="P296" s="71" t="s">
        <v>7</v>
      </c>
      <c r="Q296" s="71" t="s">
        <v>7</v>
      </c>
      <c r="R296" s="71" t="s">
        <v>7</v>
      </c>
      <c r="S296" s="71" t="s">
        <v>7</v>
      </c>
      <c r="T296" s="71" t="s">
        <v>7</v>
      </c>
      <c r="U296" s="84"/>
      <c r="V296" s="84"/>
      <c r="W296" s="84"/>
      <c r="X296" s="84"/>
      <c r="Y296" s="84"/>
      <c r="Z296" s="84"/>
      <c r="AA296" s="84"/>
      <c r="AB296" s="84"/>
      <c r="AC296" s="84"/>
      <c r="AD296" s="84"/>
      <c r="AE296" s="84"/>
      <c r="AF296" s="84"/>
      <c r="AG296" s="88"/>
      <c r="AH296" s="24"/>
    </row>
    <row r="297" ht="12.75" customHeight="1">
      <c r="A297" s="46" t="s">
        <v>269</v>
      </c>
      <c r="B297" s="51" t="s">
        <v>52</v>
      </c>
      <c r="C297" s="48">
        <v>495.0</v>
      </c>
      <c r="D297" s="71" t="s">
        <v>7</v>
      </c>
      <c r="E297" s="71" t="s">
        <v>7</v>
      </c>
      <c r="F297" s="71" t="s">
        <v>7</v>
      </c>
      <c r="G297" s="71" t="s">
        <v>7</v>
      </c>
      <c r="H297" s="71" t="s">
        <v>7</v>
      </c>
      <c r="I297" s="71" t="s">
        <v>7</v>
      </c>
      <c r="J297" s="71" t="s">
        <v>7</v>
      </c>
      <c r="K297" s="71" t="s">
        <v>7</v>
      </c>
      <c r="L297" s="71" t="s">
        <v>7</v>
      </c>
      <c r="M297" s="71" t="s">
        <v>7</v>
      </c>
      <c r="N297" s="71" t="s">
        <v>7</v>
      </c>
      <c r="O297" s="71" t="s">
        <v>7</v>
      </c>
      <c r="P297" s="71" t="s">
        <v>7</v>
      </c>
      <c r="Q297" s="71" t="s">
        <v>7</v>
      </c>
      <c r="R297" s="71" t="s">
        <v>7</v>
      </c>
      <c r="S297" s="71" t="s">
        <v>7</v>
      </c>
      <c r="T297" s="71" t="s">
        <v>7</v>
      </c>
      <c r="U297" s="84"/>
      <c r="V297" s="84"/>
      <c r="W297" s="84"/>
      <c r="X297" s="84"/>
      <c r="Y297" s="84"/>
      <c r="Z297" s="84"/>
      <c r="AA297" s="84"/>
      <c r="AB297" s="84"/>
      <c r="AC297" s="84"/>
      <c r="AD297" s="84"/>
      <c r="AE297" s="84"/>
      <c r="AF297" s="84"/>
      <c r="AG297" s="88"/>
      <c r="AH297" s="24"/>
    </row>
    <row r="298" ht="12.75" customHeight="1">
      <c r="A298" s="52" t="s">
        <v>257</v>
      </c>
      <c r="B298" s="58" t="s">
        <v>52</v>
      </c>
      <c r="C298" s="54">
        <v>230.0</v>
      </c>
      <c r="D298" s="256" t="s">
        <v>7</v>
      </c>
      <c r="E298" s="256" t="s">
        <v>7</v>
      </c>
      <c r="F298" s="256" t="s">
        <v>7</v>
      </c>
      <c r="G298" s="256" t="s">
        <v>7</v>
      </c>
      <c r="H298" s="256" t="s">
        <v>7</v>
      </c>
      <c r="I298" s="256" t="s">
        <v>7</v>
      </c>
      <c r="J298" s="256" t="s">
        <v>7</v>
      </c>
      <c r="K298" s="256" t="s">
        <v>7</v>
      </c>
      <c r="L298" s="256" t="s">
        <v>7</v>
      </c>
      <c r="M298" s="256" t="s">
        <v>7</v>
      </c>
      <c r="N298" s="256" t="s">
        <v>7</v>
      </c>
      <c r="O298" s="256" t="s">
        <v>7</v>
      </c>
      <c r="P298" s="256" t="s">
        <v>7</v>
      </c>
      <c r="Q298" s="256" t="s">
        <v>7</v>
      </c>
      <c r="R298" s="256" t="s">
        <v>7</v>
      </c>
      <c r="S298" s="256" t="s">
        <v>7</v>
      </c>
      <c r="T298" s="256" t="s">
        <v>7</v>
      </c>
      <c r="U298" s="98"/>
      <c r="V298" s="98"/>
      <c r="W298" s="98"/>
      <c r="X298" s="98"/>
      <c r="Y298" s="98"/>
      <c r="Z298" s="98"/>
      <c r="AA298" s="98"/>
      <c r="AB298" s="98"/>
      <c r="AC298" s="98"/>
      <c r="AD298" s="98"/>
      <c r="AE298" s="98"/>
      <c r="AF298" s="98"/>
      <c r="AG298" s="113"/>
      <c r="AH298" s="24"/>
    </row>
    <row r="299" ht="12.75" customHeight="1">
      <c r="A299" s="59" t="s">
        <v>44</v>
      </c>
      <c r="B299" s="60"/>
      <c r="C299" s="192">
        <f>C300+C301</f>
        <v>3407.663319</v>
      </c>
      <c r="D299" s="65" t="s">
        <v>7</v>
      </c>
      <c r="E299" s="65" t="s">
        <v>7</v>
      </c>
      <c r="F299" s="65" t="s">
        <v>7</v>
      </c>
      <c r="G299" s="65" t="s">
        <v>7</v>
      </c>
      <c r="H299" s="65" t="s">
        <v>7</v>
      </c>
      <c r="I299" s="65" t="s">
        <v>7</v>
      </c>
      <c r="J299" s="65" t="s">
        <v>7</v>
      </c>
      <c r="K299" s="65" t="s">
        <v>7</v>
      </c>
      <c r="L299" s="65" t="s">
        <v>7</v>
      </c>
      <c r="M299" s="65" t="s">
        <v>7</v>
      </c>
      <c r="N299" s="65" t="s">
        <v>7</v>
      </c>
      <c r="O299" s="65" t="s">
        <v>7</v>
      </c>
      <c r="P299" s="65" t="s">
        <v>7</v>
      </c>
      <c r="Q299" s="65" t="s">
        <v>7</v>
      </c>
      <c r="R299" s="65" t="s">
        <v>7</v>
      </c>
      <c r="S299" s="65" t="s">
        <v>7</v>
      </c>
      <c r="T299" s="65" t="s">
        <v>7</v>
      </c>
      <c r="U299" s="65"/>
      <c r="V299" s="65"/>
      <c r="W299" s="65"/>
      <c r="X299" s="65"/>
      <c r="Y299" s="65"/>
      <c r="Z299" s="65"/>
      <c r="AA299" s="65"/>
      <c r="AB299" s="65"/>
      <c r="AC299" s="65"/>
      <c r="AD299" s="65"/>
      <c r="AE299" s="65"/>
      <c r="AF299" s="65"/>
      <c r="AG299" s="69"/>
      <c r="AH299" s="24"/>
    </row>
    <row r="300" ht="12.75" customHeight="1">
      <c r="A300" s="46" t="s">
        <v>48</v>
      </c>
      <c r="B300" s="47"/>
      <c r="C300" s="48">
        <f>(220*125+190*90+88*700+(370*300-18000)+275*300)*365/325851</f>
        <v>315.544528</v>
      </c>
      <c r="D300" s="49" t="s">
        <v>7</v>
      </c>
      <c r="E300" s="49" t="s">
        <v>7</v>
      </c>
      <c r="F300" s="49" t="s">
        <v>7</v>
      </c>
      <c r="G300" s="49" t="s">
        <v>7</v>
      </c>
      <c r="H300" s="49" t="s">
        <v>7</v>
      </c>
      <c r="I300" s="49" t="s">
        <v>7</v>
      </c>
      <c r="J300" s="49" t="s">
        <v>7</v>
      </c>
      <c r="K300" s="49" t="s">
        <v>7</v>
      </c>
      <c r="L300" s="49" t="s">
        <v>7</v>
      </c>
      <c r="M300" s="49" t="s">
        <v>7</v>
      </c>
      <c r="N300" s="49" t="s">
        <v>7</v>
      </c>
      <c r="O300" s="49" t="s">
        <v>7</v>
      </c>
      <c r="P300" s="49" t="s">
        <v>7</v>
      </c>
      <c r="Q300" s="49" t="s">
        <v>7</v>
      </c>
      <c r="R300" s="49" t="s">
        <v>7</v>
      </c>
      <c r="S300" s="49" t="s">
        <v>7</v>
      </c>
      <c r="T300" s="49" t="s">
        <v>7</v>
      </c>
      <c r="U300" s="49"/>
      <c r="V300" s="49"/>
      <c r="W300" s="49"/>
      <c r="X300" s="49"/>
      <c r="Y300" s="49"/>
      <c r="Z300" s="49"/>
      <c r="AA300" s="49"/>
      <c r="AB300" s="49"/>
      <c r="AC300" s="49"/>
      <c r="AD300" s="49"/>
      <c r="AE300" s="49"/>
      <c r="AF300" s="49"/>
      <c r="AG300" s="51"/>
      <c r="AH300" s="24"/>
    </row>
    <row r="301" ht="12.75" customHeight="1">
      <c r="A301" s="74" t="s">
        <v>49</v>
      </c>
      <c r="B301" s="75"/>
      <c r="C301" s="76">
        <f>(163.98+19.05+15.62+689.72+100.8+18.4)*10^6/325851</f>
        <v>3092.11879</v>
      </c>
      <c r="D301" s="77" t="s">
        <v>7</v>
      </c>
      <c r="E301" s="77" t="s">
        <v>7</v>
      </c>
      <c r="F301" s="77" t="s">
        <v>7</v>
      </c>
      <c r="G301" s="77" t="s">
        <v>7</v>
      </c>
      <c r="H301" s="77" t="s">
        <v>7</v>
      </c>
      <c r="I301" s="77" t="s">
        <v>7</v>
      </c>
      <c r="J301" s="77" t="s">
        <v>7</v>
      </c>
      <c r="K301" s="77" t="s">
        <v>7</v>
      </c>
      <c r="L301" s="77" t="s">
        <v>7</v>
      </c>
      <c r="M301" s="77" t="s">
        <v>7</v>
      </c>
      <c r="N301" s="77" t="s">
        <v>7</v>
      </c>
      <c r="O301" s="77" t="s">
        <v>7</v>
      </c>
      <c r="P301" s="77" t="s">
        <v>7</v>
      </c>
      <c r="Q301" s="77" t="s">
        <v>7</v>
      </c>
      <c r="R301" s="77" t="s">
        <v>7</v>
      </c>
      <c r="S301" s="77" t="s">
        <v>7</v>
      </c>
      <c r="T301" s="77" t="s">
        <v>7</v>
      </c>
      <c r="U301" s="77"/>
      <c r="V301" s="77"/>
      <c r="W301" s="77"/>
      <c r="X301" s="77"/>
      <c r="Y301" s="77"/>
      <c r="Z301" s="77"/>
      <c r="AA301" s="77"/>
      <c r="AB301" s="77"/>
      <c r="AC301" s="77"/>
      <c r="AD301" s="77"/>
      <c r="AE301" s="77"/>
      <c r="AF301" s="77"/>
      <c r="AG301" s="81"/>
      <c r="AH301" s="24"/>
    </row>
    <row r="302" ht="12.75" customHeight="1">
      <c r="A302" s="164" t="s">
        <v>50</v>
      </c>
      <c r="B302" s="170"/>
      <c r="C302" s="197">
        <f t="shared" ref="C302:G302" si="51">C303+SUM(C305:C311)</f>
        <v>21587</v>
      </c>
      <c r="D302" s="197">
        <f t="shared" si="51"/>
        <v>21628</v>
      </c>
      <c r="E302" s="197">
        <f t="shared" si="51"/>
        <v>21859</v>
      </c>
      <c r="F302" s="197">
        <f t="shared" si="51"/>
        <v>21975</v>
      </c>
      <c r="G302" s="197">
        <f t="shared" si="51"/>
        <v>21999</v>
      </c>
      <c r="H302" s="197">
        <f t="shared" ref="H302:AG302" si="52">SUM(H303:H311)</f>
        <v>22840</v>
      </c>
      <c r="I302" s="197">
        <f t="shared" si="52"/>
        <v>23121</v>
      </c>
      <c r="J302" s="197">
        <f t="shared" si="52"/>
        <v>23593</v>
      </c>
      <c r="K302" s="197">
        <f t="shared" si="52"/>
        <v>24174</v>
      </c>
      <c r="L302" s="197">
        <f t="shared" si="52"/>
        <v>24592</v>
      </c>
      <c r="M302" s="197">
        <f t="shared" si="52"/>
        <v>24669</v>
      </c>
      <c r="N302" s="197">
        <f t="shared" si="52"/>
        <v>24770</v>
      </c>
      <c r="O302" s="197">
        <f t="shared" si="52"/>
        <v>24979</v>
      </c>
      <c r="P302" s="197">
        <f t="shared" si="52"/>
        <v>25136</v>
      </c>
      <c r="Q302" s="197">
        <f t="shared" si="52"/>
        <v>25192</v>
      </c>
      <c r="R302" s="197">
        <f t="shared" si="52"/>
        <v>25239</v>
      </c>
      <c r="S302" s="197">
        <f t="shared" si="52"/>
        <v>25212</v>
      </c>
      <c r="T302" s="197">
        <f t="shared" si="52"/>
        <v>25251</v>
      </c>
      <c r="U302" s="197">
        <f t="shared" si="52"/>
        <v>25265</v>
      </c>
      <c r="V302" s="197">
        <f t="shared" si="52"/>
        <v>0</v>
      </c>
      <c r="W302" s="197">
        <f t="shared" si="52"/>
        <v>0</v>
      </c>
      <c r="X302" s="197">
        <f t="shared" si="52"/>
        <v>0</v>
      </c>
      <c r="Y302" s="197">
        <f t="shared" si="52"/>
        <v>0</v>
      </c>
      <c r="Z302" s="197">
        <f t="shared" si="52"/>
        <v>0</v>
      </c>
      <c r="AA302" s="197">
        <f t="shared" si="52"/>
        <v>0</v>
      </c>
      <c r="AB302" s="197">
        <f t="shared" si="52"/>
        <v>0</v>
      </c>
      <c r="AC302" s="197">
        <f t="shared" si="52"/>
        <v>0</v>
      </c>
      <c r="AD302" s="197">
        <f t="shared" si="52"/>
        <v>0</v>
      </c>
      <c r="AE302" s="197">
        <f t="shared" si="52"/>
        <v>0</v>
      </c>
      <c r="AF302" s="197">
        <f t="shared" si="52"/>
        <v>0</v>
      </c>
      <c r="AG302" s="199">
        <f t="shared" si="52"/>
        <v>0</v>
      </c>
      <c r="AH302" s="24"/>
    </row>
    <row r="303" ht="12.75" customHeight="1">
      <c r="A303" s="46" t="s">
        <v>250</v>
      </c>
      <c r="B303" s="51" t="s">
        <v>51</v>
      </c>
      <c r="C303" s="84">
        <f>VLOOKUP($A303,'US Census Population Estimates'!$A$20:$AG$266,C$288,FALSE)</f>
        <v>118</v>
      </c>
      <c r="D303" s="84">
        <f>VLOOKUP($A303,'US Census Population Estimates'!$A$20:$AG$266,D$288,FALSE)</f>
        <v>120</v>
      </c>
      <c r="E303" s="84">
        <f>VLOOKUP($A303,'US Census Population Estimates'!$A$20:$AG$266,E$288,FALSE)</f>
        <v>122</v>
      </c>
      <c r="F303" s="84">
        <f>VLOOKUP($A303,'US Census Population Estimates'!$A$20:$AG$266,F$288,FALSE)</f>
        <v>124</v>
      </c>
      <c r="G303" s="84">
        <f>VLOOKUP($A303,'US Census Population Estimates'!$A$20:$AG$266,G$288,FALSE)</f>
        <v>125</v>
      </c>
      <c r="H303" s="84">
        <f>VLOOKUP($A303,'US Census Population Estimates'!$A$20:$AG$266,H$288,FALSE)</f>
        <v>127</v>
      </c>
      <c r="I303" s="84">
        <f>VLOOKUP($A303,'US Census Population Estimates'!$A$20:$AG$266,I$288,FALSE)</f>
        <v>130</v>
      </c>
      <c r="J303" s="84">
        <f>VLOOKUP($A303,'US Census Population Estimates'!$A$20:$AG$266,J$288,FALSE)</f>
        <v>133</v>
      </c>
      <c r="K303" s="84">
        <f>VLOOKUP($A303,'US Census Population Estimates'!$A$20:$AG$266,K$288,FALSE)</f>
        <v>137</v>
      </c>
      <c r="L303" s="84">
        <f>VLOOKUP($A303,'US Census Population Estimates'!$A$20:$AG$266,L$288,FALSE)</f>
        <v>141</v>
      </c>
      <c r="M303" s="84">
        <f>VLOOKUP($A303,'US Census Population Estimates'!$A$20:$AG$266,M$288,FALSE)</f>
        <v>141</v>
      </c>
      <c r="N303" s="84">
        <f>VLOOKUP($A303,'US Census Population Estimates'!$A$20:$AG$266,N$288,FALSE)</f>
        <v>143</v>
      </c>
      <c r="O303" s="84">
        <f>VLOOKUP($A303,'US Census Population Estimates'!$A$20:$AG$266,O$288,FALSE)</f>
        <v>142</v>
      </c>
      <c r="P303" s="84">
        <f>VLOOKUP($A303,'US Census Population Estimates'!$A$20:$AG$266,P$288,FALSE)</f>
        <v>144</v>
      </c>
      <c r="Q303" s="84">
        <f>VLOOKUP($A303,'US Census Population Estimates'!$A$20:$AG$266,Q$288,FALSE)</f>
        <v>145</v>
      </c>
      <c r="R303" s="84">
        <f>VLOOKUP($A303,'US Census Population Estimates'!$A$20:$AG$266,R$288,FALSE)</f>
        <v>144</v>
      </c>
      <c r="S303" s="84">
        <f>VLOOKUP($A303,'US Census Population Estimates'!$A$20:$AG$266,S$288,FALSE)</f>
        <v>146</v>
      </c>
      <c r="T303" s="84">
        <f>VLOOKUP($A303,'US Census Population Estimates'!$A$20:$AG$266,T$288,FALSE)</f>
        <v>147</v>
      </c>
      <c r="U303" s="84">
        <f>VLOOKUP($A303,'US Census Population Estimates'!$A$20:$AG$266,U$288,FALSE)</f>
        <v>150</v>
      </c>
      <c r="V303" s="84" t="str">
        <f>VLOOKUP($A303,'US Census Population Estimates'!$A$20:$AG$266,V$288,FALSE)</f>
        <v/>
      </c>
      <c r="W303" s="84" t="str">
        <f>VLOOKUP($A303,'US Census Population Estimates'!$A$20:$AG$266,W$288,FALSE)</f>
        <v/>
      </c>
      <c r="X303" s="84" t="str">
        <f>VLOOKUP($A303,'US Census Population Estimates'!$A$20:$AG$266,X$288,FALSE)</f>
        <v/>
      </c>
      <c r="Y303" s="84" t="str">
        <f>VLOOKUP($A303,'US Census Population Estimates'!$A$20:$AG$266,Y$288,FALSE)</f>
        <v/>
      </c>
      <c r="Z303" s="84" t="str">
        <f>VLOOKUP($A303,'US Census Population Estimates'!$A$20:$AG$266,Z$288,FALSE)</f>
        <v/>
      </c>
      <c r="AA303" s="84" t="str">
        <f>VLOOKUP($A303,'US Census Population Estimates'!$A$20:$AG$266,AA$288,FALSE)</f>
        <v/>
      </c>
      <c r="AB303" s="84" t="str">
        <f>VLOOKUP($A303,'US Census Population Estimates'!$A$20:$AG$266,AB$288,FALSE)</f>
        <v/>
      </c>
      <c r="AC303" s="84" t="str">
        <f>VLOOKUP($A303,'US Census Population Estimates'!$A$20:$AG$266,AC$288,FALSE)</f>
        <v/>
      </c>
      <c r="AD303" s="84" t="str">
        <f>VLOOKUP($A303,'US Census Population Estimates'!$A$20:$AG$266,AD$288,FALSE)</f>
        <v/>
      </c>
      <c r="AE303" s="84" t="str">
        <f>VLOOKUP($A303,'US Census Population Estimates'!$A$20:$AG$266,AE$288,FALSE)</f>
        <v/>
      </c>
      <c r="AF303" s="84" t="str">
        <f>VLOOKUP($A303,'US Census Population Estimates'!$A$20:$AG$266,AF$288,FALSE)</f>
        <v/>
      </c>
      <c r="AG303" s="88" t="str">
        <f>VLOOKUP($A303,'US Census Population Estimates'!$A$20:$AG$266,AG$288,FALSE)</f>
        <v/>
      </c>
      <c r="AH303" s="24"/>
    </row>
    <row r="304" ht="12.75" customHeight="1">
      <c r="A304" s="46" t="s">
        <v>253</v>
      </c>
      <c r="B304" s="51" t="s">
        <v>52</v>
      </c>
      <c r="C304" s="84">
        <f>VLOOKUP($A304,'US Census Population Estimates'!$A$20:$AG$266,C$288,FALSE)</f>
        <v>678</v>
      </c>
      <c r="D304" s="84">
        <f>VLOOKUP($A304,'US Census Population Estimates'!$A$20:$AG$266,D$288,FALSE)</f>
        <v>680</v>
      </c>
      <c r="E304" s="84">
        <f>VLOOKUP($A304,'US Census Population Estimates'!$A$20:$AG$266,E$288,FALSE)</f>
        <v>688</v>
      </c>
      <c r="F304" s="84">
        <f>VLOOKUP($A304,'US Census Population Estimates'!$A$20:$AG$266,F$288,FALSE)</f>
        <v>693</v>
      </c>
      <c r="G304" s="84">
        <f>VLOOKUP($A304,'US Census Population Estimates'!$A$20:$AG$266,G$288,FALSE)</f>
        <v>694</v>
      </c>
      <c r="H304" s="84">
        <f>VLOOKUP($A304,'US Census Population Estimates'!$A$20:$AG$266,H$288,FALSE)</f>
        <v>699</v>
      </c>
      <c r="I304" s="84">
        <f>VLOOKUP($A304,'US Census Population Estimates'!$A$20:$AG$266,I$288,FALSE)</f>
        <v>709</v>
      </c>
      <c r="J304" s="84">
        <f>VLOOKUP($A304,'US Census Population Estimates'!$A$20:$AG$266,J$288,FALSE)</f>
        <v>721</v>
      </c>
      <c r="K304" s="84">
        <f>VLOOKUP($A304,'US Census Population Estimates'!$A$20:$AG$266,K$288,FALSE)</f>
        <v>738</v>
      </c>
      <c r="L304" s="84">
        <f>VLOOKUP($A304,'US Census Population Estimates'!$A$20:$AG$266,L$288,FALSE)</f>
        <v>753</v>
      </c>
      <c r="M304" s="84">
        <f>VLOOKUP($A304,'US Census Population Estimates'!$A$20:$AG$266,M$288,FALSE)</f>
        <v>760</v>
      </c>
      <c r="N304" s="84">
        <f>VLOOKUP($A304,'US Census Population Estimates'!$A$20:$AG$266,N$288,FALSE)</f>
        <v>771</v>
      </c>
      <c r="O304" s="84">
        <f>VLOOKUP($A304,'US Census Population Estimates'!$A$20:$AG$266,O$288,FALSE)</f>
        <v>779</v>
      </c>
      <c r="P304" s="84">
        <f>VLOOKUP($A304,'US Census Population Estimates'!$A$20:$AG$266,P$288,FALSE)</f>
        <v>783</v>
      </c>
      <c r="Q304" s="84">
        <f>VLOOKUP($A304,'US Census Population Estimates'!$A$20:$AG$266,Q$288,FALSE)</f>
        <v>793</v>
      </c>
      <c r="R304" s="84">
        <f>VLOOKUP($A304,'US Census Population Estimates'!$A$20:$AG$266,R$288,FALSE)</f>
        <v>805</v>
      </c>
      <c r="S304" s="84">
        <f>VLOOKUP($A304,'US Census Population Estimates'!$A$20:$AG$266,S$288,FALSE)</f>
        <v>821</v>
      </c>
      <c r="T304" s="84">
        <f>VLOOKUP($A304,'US Census Population Estimates'!$A$20:$AG$266,T$288,FALSE)</f>
        <v>824</v>
      </c>
      <c r="U304" s="84">
        <f>VLOOKUP($A304,'US Census Population Estimates'!$A$20:$AG$266,U$288,FALSE)</f>
        <v>822</v>
      </c>
      <c r="V304" s="84" t="str">
        <f>VLOOKUP($A304,'US Census Population Estimates'!$A$20:$AG$266,V$288,FALSE)</f>
        <v/>
      </c>
      <c r="W304" s="84" t="str">
        <f>VLOOKUP($A304,'US Census Population Estimates'!$A$20:$AG$266,W$288,FALSE)</f>
        <v/>
      </c>
      <c r="X304" s="84" t="str">
        <f>VLOOKUP($A304,'US Census Population Estimates'!$A$20:$AG$266,X$288,FALSE)</f>
        <v/>
      </c>
      <c r="Y304" s="84" t="str">
        <f>VLOOKUP($A304,'US Census Population Estimates'!$A$20:$AG$266,Y$288,FALSE)</f>
        <v/>
      </c>
      <c r="Z304" s="84" t="str">
        <f>VLOOKUP($A304,'US Census Population Estimates'!$A$20:$AG$266,Z$288,FALSE)</f>
        <v/>
      </c>
      <c r="AA304" s="84" t="str">
        <f>VLOOKUP($A304,'US Census Population Estimates'!$A$20:$AG$266,AA$288,FALSE)</f>
        <v/>
      </c>
      <c r="AB304" s="84" t="str">
        <f>VLOOKUP($A304,'US Census Population Estimates'!$A$20:$AG$266,AB$288,FALSE)</f>
        <v/>
      </c>
      <c r="AC304" s="84" t="str">
        <f>VLOOKUP($A304,'US Census Population Estimates'!$A$20:$AG$266,AC$288,FALSE)</f>
        <v/>
      </c>
      <c r="AD304" s="84" t="str">
        <f>VLOOKUP($A304,'US Census Population Estimates'!$A$20:$AG$266,AD$288,FALSE)</f>
        <v/>
      </c>
      <c r="AE304" s="84" t="str">
        <f>VLOOKUP($A304,'US Census Population Estimates'!$A$20:$AG$266,AE$288,FALSE)</f>
        <v/>
      </c>
      <c r="AF304" s="84" t="str">
        <f>VLOOKUP($A304,'US Census Population Estimates'!$A$20:$AG$266,AF$288,FALSE)</f>
        <v/>
      </c>
      <c r="AG304" s="88" t="str">
        <f>VLOOKUP($A304,'US Census Population Estimates'!$A$20:$AG$266,AG$288,FALSE)</f>
        <v/>
      </c>
      <c r="AH304" s="24"/>
    </row>
    <row r="305" ht="12.75" customHeight="1">
      <c r="A305" s="46" t="s">
        <v>273</v>
      </c>
      <c r="B305" s="51" t="s">
        <v>52</v>
      </c>
      <c r="C305" s="84">
        <f>VLOOKUP($A305,'US Census Population Estimates'!$A$20:$AG$266,C$288,FALSE)</f>
        <v>710</v>
      </c>
      <c r="D305" s="84">
        <f>VLOOKUP($A305,'US Census Population Estimates'!$A$20:$AG$266,D$288,FALSE)</f>
        <v>718</v>
      </c>
      <c r="E305" s="84">
        <f>VLOOKUP($A305,'US Census Population Estimates'!$A$20:$AG$266,E$288,FALSE)</f>
        <v>733</v>
      </c>
      <c r="F305" s="84">
        <f>VLOOKUP($A305,'US Census Population Estimates'!$A$20:$AG$266,F$288,FALSE)</f>
        <v>744</v>
      </c>
      <c r="G305" s="84">
        <f>VLOOKUP($A305,'US Census Population Estimates'!$A$20:$AG$266,G$288,FALSE)</f>
        <v>751</v>
      </c>
      <c r="H305" s="84">
        <f>VLOOKUP($A305,'US Census Population Estimates'!$A$20:$AG$266,H$288,FALSE)</f>
        <v>763</v>
      </c>
      <c r="I305" s="84">
        <f>VLOOKUP($A305,'US Census Population Estimates'!$A$20:$AG$266,I$288,FALSE)</f>
        <v>780</v>
      </c>
      <c r="J305" s="84">
        <f>VLOOKUP($A305,'US Census Population Estimates'!$A$20:$AG$266,J$288,FALSE)</f>
        <v>799</v>
      </c>
      <c r="K305" s="84">
        <f>VLOOKUP($A305,'US Census Population Estimates'!$A$20:$AG$266,K$288,FALSE)</f>
        <v>823</v>
      </c>
      <c r="L305" s="84">
        <f>VLOOKUP($A305,'US Census Population Estimates'!$A$20:$AG$266,L$288,FALSE)</f>
        <v>846</v>
      </c>
      <c r="M305" s="84">
        <f>VLOOKUP($A305,'US Census Population Estimates'!$A$20:$AG$266,M$288,FALSE)</f>
        <v>861</v>
      </c>
      <c r="N305" s="84">
        <f>VLOOKUP($A305,'US Census Population Estimates'!$A$20:$AG$266,N$288,FALSE)</f>
        <v>876</v>
      </c>
      <c r="O305" s="84">
        <f>VLOOKUP($A305,'US Census Population Estimates'!$A$20:$AG$266,O$288,FALSE)</f>
        <v>898</v>
      </c>
      <c r="P305" s="84">
        <f>VLOOKUP($A305,'US Census Population Estimates'!$A$20:$AG$266,P$288,FALSE)</f>
        <v>917</v>
      </c>
      <c r="Q305" s="84">
        <f>VLOOKUP($A305,'US Census Population Estimates'!$A$20:$AG$266,Q$288,FALSE)</f>
        <v>938</v>
      </c>
      <c r="R305" s="84">
        <f>VLOOKUP($A305,'US Census Population Estimates'!$A$20:$AG$266,R$288,FALSE)</f>
        <v>940</v>
      </c>
      <c r="S305" s="84">
        <f>VLOOKUP($A305,'US Census Population Estimates'!$A$20:$AG$266,S$288,FALSE)</f>
        <v>941</v>
      </c>
      <c r="T305" s="84">
        <f>VLOOKUP($A305,'US Census Population Estimates'!$A$20:$AG$266,T$288,FALSE)</f>
        <v>974</v>
      </c>
      <c r="U305" s="84">
        <f>VLOOKUP($A305,'US Census Population Estimates'!$A$20:$AG$266,U$288,FALSE)</f>
        <v>1006</v>
      </c>
      <c r="V305" s="84" t="str">
        <f>VLOOKUP($A305,'US Census Population Estimates'!$A$20:$AG$266,V$288,FALSE)</f>
        <v/>
      </c>
      <c r="W305" s="84" t="str">
        <f>VLOOKUP($A305,'US Census Population Estimates'!$A$20:$AG$266,W$288,FALSE)</f>
        <v/>
      </c>
      <c r="X305" s="84" t="str">
        <f>VLOOKUP($A305,'US Census Population Estimates'!$A$20:$AG$266,X$288,FALSE)</f>
        <v/>
      </c>
      <c r="Y305" s="84" t="str">
        <f>VLOOKUP($A305,'US Census Population Estimates'!$A$20:$AG$266,Y$288,FALSE)</f>
        <v/>
      </c>
      <c r="Z305" s="84" t="str">
        <f>VLOOKUP($A305,'US Census Population Estimates'!$A$20:$AG$266,Z$288,FALSE)</f>
        <v/>
      </c>
      <c r="AA305" s="84" t="str">
        <f>VLOOKUP($A305,'US Census Population Estimates'!$A$20:$AG$266,AA$288,FALSE)</f>
        <v/>
      </c>
      <c r="AB305" s="84" t="str">
        <f>VLOOKUP($A305,'US Census Population Estimates'!$A$20:$AG$266,AB$288,FALSE)</f>
        <v/>
      </c>
      <c r="AC305" s="84" t="str">
        <f>VLOOKUP($A305,'US Census Population Estimates'!$A$20:$AG$266,AC$288,FALSE)</f>
        <v/>
      </c>
      <c r="AD305" s="84" t="str">
        <f>VLOOKUP($A305,'US Census Population Estimates'!$A$20:$AG$266,AD$288,FALSE)</f>
        <v/>
      </c>
      <c r="AE305" s="84" t="str">
        <f>VLOOKUP($A305,'US Census Population Estimates'!$A$20:$AG$266,AE$288,FALSE)</f>
        <v/>
      </c>
      <c r="AF305" s="84" t="str">
        <f>VLOOKUP($A305,'US Census Population Estimates'!$A$20:$AG$266,AF$288,FALSE)</f>
        <v/>
      </c>
      <c r="AG305" s="88" t="str">
        <f>VLOOKUP($A305,'US Census Population Estimates'!$A$20:$AG$266,AG$288,FALSE)</f>
        <v/>
      </c>
      <c r="AH305" s="24"/>
    </row>
    <row r="306" ht="12.75" customHeight="1">
      <c r="A306" s="46" t="s">
        <v>277</v>
      </c>
      <c r="B306" s="51" t="s">
        <v>52</v>
      </c>
      <c r="C306" s="84">
        <f>VLOOKUP($A306,'US Census Population Estimates'!$A$20:$AG$266,C$288,FALSE)</f>
        <v>16032</v>
      </c>
      <c r="D306" s="84">
        <f>VLOOKUP($A306,'US Census Population Estimates'!$A$20:$AG$266,D$288,FALSE)</f>
        <v>16045</v>
      </c>
      <c r="E306" s="84">
        <f>VLOOKUP($A306,'US Census Population Estimates'!$A$20:$AG$266,E$288,FALSE)</f>
        <v>16158</v>
      </c>
      <c r="F306" s="84">
        <f>VLOOKUP($A306,'US Census Population Estimates'!$A$20:$AG$266,F$288,FALSE)</f>
        <v>16203</v>
      </c>
      <c r="G306" s="84">
        <f>VLOOKUP($A306,'US Census Population Estimates'!$A$20:$AG$266,G$288,FALSE)</f>
        <v>16197</v>
      </c>
      <c r="H306" s="84">
        <f>VLOOKUP($A306,'US Census Population Estimates'!$A$20:$AG$266,H$288,FALSE)</f>
        <v>16263</v>
      </c>
      <c r="I306" s="84">
        <f>VLOOKUP($A306,'US Census Population Estimates'!$A$20:$AG$266,I$288,FALSE)</f>
        <v>16463</v>
      </c>
      <c r="J306" s="84">
        <f>VLOOKUP($A306,'US Census Population Estimates'!$A$20:$AG$266,J$288,FALSE)</f>
        <v>16707</v>
      </c>
      <c r="K306" s="84">
        <f>VLOOKUP($A306,'US Census Population Estimates'!$A$20:$AG$266,K$288,FALSE)</f>
        <v>17073</v>
      </c>
      <c r="L306" s="84">
        <f>VLOOKUP($A306,'US Census Population Estimates'!$A$20:$AG$266,L$288,FALSE)</f>
        <v>17395</v>
      </c>
      <c r="M306" s="84">
        <f>VLOOKUP($A306,'US Census Population Estimates'!$A$20:$AG$266,M$288,FALSE)</f>
        <v>17451</v>
      </c>
      <c r="N306" s="84">
        <f>VLOOKUP($A306,'US Census Population Estimates'!$A$20:$AG$266,N$288,FALSE)</f>
        <v>17484</v>
      </c>
      <c r="O306" s="84">
        <f>VLOOKUP($A306,'US Census Population Estimates'!$A$20:$AG$266,O$288,FALSE)</f>
        <v>17653</v>
      </c>
      <c r="P306" s="84">
        <f>VLOOKUP($A306,'US Census Population Estimates'!$A$20:$AG$266,P$288,FALSE)</f>
        <v>17767</v>
      </c>
      <c r="Q306" s="84">
        <f>VLOOKUP($A306,'US Census Population Estimates'!$A$20:$AG$266,Q$288,FALSE)</f>
        <v>17818</v>
      </c>
      <c r="R306" s="84">
        <f>VLOOKUP($A306,'US Census Population Estimates'!$A$20:$AG$266,R$288,FALSE)</f>
        <v>17822</v>
      </c>
      <c r="S306" s="84">
        <f>VLOOKUP($A306,'US Census Population Estimates'!$A$20:$AG$266,S$288,FALSE)</f>
        <v>17840</v>
      </c>
      <c r="T306" s="84">
        <f>VLOOKUP($A306,'US Census Population Estimates'!$A$20:$AG$266,T$288,FALSE)</f>
        <v>17860</v>
      </c>
      <c r="U306" s="84">
        <f>VLOOKUP($A306,'US Census Population Estimates'!$A$20:$AG$266,U$288,FALSE)</f>
        <v>17849</v>
      </c>
      <c r="V306" s="84" t="str">
        <f>VLOOKUP($A306,'US Census Population Estimates'!$A$20:$AG$266,V$288,FALSE)</f>
        <v/>
      </c>
      <c r="W306" s="84" t="str">
        <f>VLOOKUP($A306,'US Census Population Estimates'!$A$20:$AG$266,W$288,FALSE)</f>
        <v/>
      </c>
      <c r="X306" s="84" t="str">
        <f>VLOOKUP($A306,'US Census Population Estimates'!$A$20:$AG$266,X$288,FALSE)</f>
        <v/>
      </c>
      <c r="Y306" s="84" t="str">
        <f>VLOOKUP($A306,'US Census Population Estimates'!$A$20:$AG$266,Y$288,FALSE)</f>
        <v/>
      </c>
      <c r="Z306" s="84" t="str">
        <f>VLOOKUP($A306,'US Census Population Estimates'!$A$20:$AG$266,Z$288,FALSE)</f>
        <v/>
      </c>
      <c r="AA306" s="84" t="str">
        <f>VLOOKUP($A306,'US Census Population Estimates'!$A$20:$AG$266,AA$288,FALSE)</f>
        <v/>
      </c>
      <c r="AB306" s="84" t="str">
        <f>VLOOKUP($A306,'US Census Population Estimates'!$A$20:$AG$266,AB$288,FALSE)</f>
        <v/>
      </c>
      <c r="AC306" s="84" t="str">
        <f>VLOOKUP($A306,'US Census Population Estimates'!$A$20:$AG$266,AC$288,FALSE)</f>
        <v/>
      </c>
      <c r="AD306" s="84" t="str">
        <f>VLOOKUP($A306,'US Census Population Estimates'!$A$20:$AG$266,AD$288,FALSE)</f>
        <v/>
      </c>
      <c r="AE306" s="84" t="str">
        <f>VLOOKUP($A306,'US Census Population Estimates'!$A$20:$AG$266,AE$288,FALSE)</f>
        <v/>
      </c>
      <c r="AF306" s="84" t="str">
        <f>VLOOKUP($A306,'US Census Population Estimates'!$A$20:$AG$266,AF$288,FALSE)</f>
        <v/>
      </c>
      <c r="AG306" s="88" t="str">
        <f>VLOOKUP($A306,'US Census Population Estimates'!$A$20:$AG$266,AG$288,FALSE)</f>
        <v/>
      </c>
      <c r="AH306" s="24"/>
    </row>
    <row r="307" ht="12.75" customHeight="1">
      <c r="A307" s="46" t="s">
        <v>280</v>
      </c>
      <c r="B307" s="51" t="s">
        <v>52</v>
      </c>
      <c r="C307" s="84" t="s">
        <v>7</v>
      </c>
      <c r="D307" s="84" t="s">
        <v>7</v>
      </c>
      <c r="E307" s="84" t="s">
        <v>7</v>
      </c>
      <c r="F307" s="84" t="s">
        <v>7</v>
      </c>
      <c r="G307" s="84" t="s">
        <v>7</v>
      </c>
      <c r="H307" s="84" t="s">
        <v>7</v>
      </c>
      <c r="I307" s="84" t="s">
        <v>7</v>
      </c>
      <c r="J307" s="84" t="s">
        <v>7</v>
      </c>
      <c r="K307" s="84" t="s">
        <v>7</v>
      </c>
      <c r="L307" s="84" t="s">
        <v>7</v>
      </c>
      <c r="M307" s="84" t="s">
        <v>7</v>
      </c>
      <c r="N307" s="84" t="s">
        <v>7</v>
      </c>
      <c r="O307" s="84" t="s">
        <v>7</v>
      </c>
      <c r="P307" s="84" t="s">
        <v>7</v>
      </c>
      <c r="Q307" s="84" t="s">
        <v>7</v>
      </c>
      <c r="R307" s="84" t="s">
        <v>7</v>
      </c>
      <c r="S307" s="84" t="s">
        <v>7</v>
      </c>
      <c r="T307" s="84" t="s">
        <v>7</v>
      </c>
      <c r="U307" s="84" t="s">
        <v>7</v>
      </c>
      <c r="V307" s="84" t="s">
        <v>7</v>
      </c>
      <c r="W307" s="84" t="s">
        <v>7</v>
      </c>
      <c r="X307" s="84" t="s">
        <v>7</v>
      </c>
      <c r="Y307" s="84" t="s">
        <v>7</v>
      </c>
      <c r="Z307" s="84" t="s">
        <v>7</v>
      </c>
      <c r="AA307" s="84" t="s">
        <v>7</v>
      </c>
      <c r="AB307" s="84" t="s">
        <v>7</v>
      </c>
      <c r="AC307" s="84" t="s">
        <v>7</v>
      </c>
      <c r="AD307" s="84" t="s">
        <v>7</v>
      </c>
      <c r="AE307" s="84" t="s">
        <v>7</v>
      </c>
      <c r="AF307" s="84" t="s">
        <v>7</v>
      </c>
      <c r="AG307" s="88" t="s">
        <v>7</v>
      </c>
      <c r="AH307" s="24"/>
    </row>
    <row r="308" ht="12.75" customHeight="1">
      <c r="A308" s="46" t="s">
        <v>247</v>
      </c>
      <c r="B308" s="51" t="s">
        <v>52</v>
      </c>
      <c r="C308" s="84">
        <f>VLOOKUP($A308,'US Census Population Estimates'!$A$20:$AG$266,C$288,FALSE)</f>
        <v>3933</v>
      </c>
      <c r="D308" s="84">
        <f>VLOOKUP($A308,'US Census Population Estimates'!$A$20:$AG$266,D$288,FALSE)</f>
        <v>3951</v>
      </c>
      <c r="E308" s="84">
        <f>VLOOKUP($A308,'US Census Population Estimates'!$A$20:$AG$266,E$288,FALSE)</f>
        <v>4047</v>
      </c>
      <c r="F308" s="84">
        <f>VLOOKUP($A308,'US Census Population Estimates'!$A$20:$AG$266,F$288,FALSE)</f>
        <v>4101</v>
      </c>
      <c r="G308" s="84">
        <f>VLOOKUP($A308,'US Census Population Estimates'!$A$20:$AG$266,G$288,FALSE)</f>
        <v>4118</v>
      </c>
      <c r="H308" s="84">
        <f>VLOOKUP($A308,'US Census Population Estimates'!$A$20:$AG$266,H$288,FALSE)</f>
        <v>4175</v>
      </c>
      <c r="I308" s="84">
        <f>VLOOKUP($A308,'US Census Population Estimates'!$A$20:$AG$266,I$288,FALSE)</f>
        <v>4221</v>
      </c>
      <c r="J308" s="84">
        <f>VLOOKUP($A308,'US Census Population Estimates'!$A$20:$AG$266,J$288,FALSE)</f>
        <v>4395</v>
      </c>
      <c r="K308" s="84">
        <f>VLOOKUP($A308,'US Census Population Estimates'!$A$20:$AG$266,K$288,FALSE)</f>
        <v>4550</v>
      </c>
      <c r="L308" s="84">
        <f>VLOOKUP($A308,'US Census Population Estimates'!$A$20:$AG$266,L$288,FALSE)</f>
        <v>4593</v>
      </c>
      <c r="M308" s="84">
        <f>VLOOKUP($A308,'US Census Population Estimates'!$A$20:$AG$266,M$288,FALSE)</f>
        <v>4595</v>
      </c>
      <c r="N308" s="84">
        <f>VLOOKUP($A308,'US Census Population Estimates'!$A$20:$AG$266,N$288,FALSE)</f>
        <v>4637</v>
      </c>
      <c r="O308" s="84">
        <f>VLOOKUP($A308,'US Census Population Estimates'!$A$20:$AG$266,O$288,FALSE)</f>
        <v>4635</v>
      </c>
      <c r="P308" s="84">
        <f>VLOOKUP($A308,'US Census Population Estimates'!$A$20:$AG$266,P$288,FALSE)</f>
        <v>4637</v>
      </c>
      <c r="Q308" s="84">
        <f>VLOOKUP($A308,'US Census Population Estimates'!$A$20:$AG$266,Q$288,FALSE)</f>
        <v>4616</v>
      </c>
      <c r="R308" s="84">
        <f>VLOOKUP($A308,'US Census Population Estimates'!$A$20:$AG$266,R$288,FALSE)</f>
        <v>4642</v>
      </c>
      <c r="S308" s="84">
        <f>VLOOKUP($A308,'US Census Population Estimates'!$A$20:$AG$266,S$288,FALSE)</f>
        <v>4587</v>
      </c>
      <c r="T308" s="84">
        <f>VLOOKUP($A308,'US Census Population Estimates'!$A$20:$AG$266,T$288,FALSE)</f>
        <v>4584</v>
      </c>
      <c r="U308" s="84">
        <f>VLOOKUP($A308,'US Census Population Estimates'!$A$20:$AG$266,U$288,FALSE)</f>
        <v>4573</v>
      </c>
      <c r="V308" s="84" t="str">
        <f>VLOOKUP($A308,'US Census Population Estimates'!$A$20:$AG$266,V$288,FALSE)</f>
        <v/>
      </c>
      <c r="W308" s="84" t="str">
        <f>VLOOKUP($A308,'US Census Population Estimates'!$A$20:$AG$266,W$288,FALSE)</f>
        <v/>
      </c>
      <c r="X308" s="84" t="str">
        <f>VLOOKUP($A308,'US Census Population Estimates'!$A$20:$AG$266,X$288,FALSE)</f>
        <v/>
      </c>
      <c r="Y308" s="84" t="str">
        <f>VLOOKUP($A308,'US Census Population Estimates'!$A$20:$AG$266,Y$288,FALSE)</f>
        <v/>
      </c>
      <c r="Z308" s="84" t="str">
        <f>VLOOKUP($A308,'US Census Population Estimates'!$A$20:$AG$266,Z$288,FALSE)</f>
        <v/>
      </c>
      <c r="AA308" s="84" t="str">
        <f>VLOOKUP($A308,'US Census Population Estimates'!$A$20:$AG$266,AA$288,FALSE)</f>
        <v/>
      </c>
      <c r="AB308" s="84" t="str">
        <f>VLOOKUP($A308,'US Census Population Estimates'!$A$20:$AG$266,AB$288,FALSE)</f>
        <v/>
      </c>
      <c r="AC308" s="84" t="str">
        <f>VLOOKUP($A308,'US Census Population Estimates'!$A$20:$AG$266,AC$288,FALSE)</f>
        <v/>
      </c>
      <c r="AD308" s="84" t="str">
        <f>VLOOKUP($A308,'US Census Population Estimates'!$A$20:$AG$266,AD$288,FALSE)</f>
        <v/>
      </c>
      <c r="AE308" s="84" t="str">
        <f>VLOOKUP($A308,'US Census Population Estimates'!$A$20:$AG$266,AE$288,FALSE)</f>
        <v/>
      </c>
      <c r="AF308" s="84" t="str">
        <f>VLOOKUP($A308,'US Census Population Estimates'!$A$20:$AG$266,AF$288,FALSE)</f>
        <v/>
      </c>
      <c r="AG308" s="88" t="str">
        <f>VLOOKUP($A308,'US Census Population Estimates'!$A$20:$AG$266,AG$288,FALSE)</f>
        <v/>
      </c>
      <c r="AH308" s="24"/>
    </row>
    <row r="309" ht="12.75" customHeight="1">
      <c r="A309" s="46" t="s">
        <v>262</v>
      </c>
      <c r="B309" s="51" t="s">
        <v>51</v>
      </c>
      <c r="C309" s="84">
        <f>VLOOKUP($A309,'US Census Population Estimates'!$A$20:$AG$266,C$288,FALSE)</f>
        <v>242</v>
      </c>
      <c r="D309" s="84">
        <f>VLOOKUP($A309,'US Census Population Estimates'!$A$20:$AG$266,D$288,FALSE)</f>
        <v>241</v>
      </c>
      <c r="E309" s="84">
        <f>VLOOKUP($A309,'US Census Population Estimates'!$A$20:$AG$266,E$288,FALSE)</f>
        <v>245</v>
      </c>
      <c r="F309" s="84">
        <f>VLOOKUP($A309,'US Census Population Estimates'!$A$20:$AG$266,F$288,FALSE)</f>
        <v>246</v>
      </c>
      <c r="G309" s="84">
        <f>VLOOKUP($A309,'US Census Population Estimates'!$A$20:$AG$266,G$288,FALSE)</f>
        <v>246</v>
      </c>
      <c r="H309" s="84">
        <f>VLOOKUP($A309,'US Census Population Estimates'!$A$20:$AG$266,H$288,FALSE)</f>
        <v>247</v>
      </c>
      <c r="I309" s="84">
        <f>VLOOKUP($A309,'US Census Population Estimates'!$A$20:$AG$266,I$288,FALSE)</f>
        <v>248</v>
      </c>
      <c r="J309" s="84">
        <f>VLOOKUP($A309,'US Census Population Estimates'!$A$20:$AG$266,J$288,FALSE)</f>
        <v>257</v>
      </c>
      <c r="K309" s="84">
        <f>VLOOKUP($A309,'US Census Population Estimates'!$A$20:$AG$266,K$288,FALSE)</f>
        <v>264</v>
      </c>
      <c r="L309" s="84">
        <f>VLOOKUP($A309,'US Census Population Estimates'!$A$20:$AG$266,L$288,FALSE)</f>
        <v>265</v>
      </c>
      <c r="M309" s="84">
        <f>VLOOKUP($A309,'US Census Population Estimates'!$A$20:$AG$266,M$288,FALSE)</f>
        <v>264</v>
      </c>
      <c r="N309" s="84">
        <f>VLOOKUP($A309,'US Census Population Estimates'!$A$20:$AG$266,N$288,FALSE)</f>
        <v>265</v>
      </c>
      <c r="O309" s="84">
        <f>VLOOKUP($A309,'US Census Population Estimates'!$A$20:$AG$266,O$288,FALSE)</f>
        <v>264</v>
      </c>
      <c r="P309" s="84">
        <f>VLOOKUP($A309,'US Census Population Estimates'!$A$20:$AG$266,P$288,FALSE)</f>
        <v>266</v>
      </c>
      <c r="Q309" s="84">
        <f>VLOOKUP($A309,'US Census Population Estimates'!$A$20:$AG$266,Q$288,FALSE)</f>
        <v>265</v>
      </c>
      <c r="R309" s="84">
        <f>VLOOKUP($A309,'US Census Population Estimates'!$A$20:$AG$266,R$288,FALSE)</f>
        <v>268</v>
      </c>
      <c r="S309" s="84">
        <f>VLOOKUP($A309,'US Census Population Estimates'!$A$20:$AG$266,S$288,FALSE)</f>
        <v>270</v>
      </c>
      <c r="T309" s="84">
        <f>VLOOKUP($A309,'US Census Population Estimates'!$A$20:$AG$266,T$288,FALSE)</f>
        <v>269</v>
      </c>
      <c r="U309" s="84">
        <f>VLOOKUP($A309,'US Census Population Estimates'!$A$20:$AG$266,U$288,FALSE)</f>
        <v>274</v>
      </c>
      <c r="V309" s="84" t="str">
        <f>VLOOKUP($A309,'US Census Population Estimates'!$A$20:$AG$266,V$288,FALSE)</f>
        <v/>
      </c>
      <c r="W309" s="84" t="str">
        <f>VLOOKUP($A309,'US Census Population Estimates'!$A$20:$AG$266,W$288,FALSE)</f>
        <v/>
      </c>
      <c r="X309" s="84" t="str">
        <f>VLOOKUP($A309,'US Census Population Estimates'!$A$20:$AG$266,X$288,FALSE)</f>
        <v/>
      </c>
      <c r="Y309" s="84" t="str">
        <f>VLOOKUP($A309,'US Census Population Estimates'!$A$20:$AG$266,Y$288,FALSE)</f>
        <v/>
      </c>
      <c r="Z309" s="84" t="str">
        <f>VLOOKUP($A309,'US Census Population Estimates'!$A$20:$AG$266,Z$288,FALSE)</f>
        <v/>
      </c>
      <c r="AA309" s="84" t="str">
        <f>VLOOKUP($A309,'US Census Population Estimates'!$A$20:$AG$266,AA$288,FALSE)</f>
        <v/>
      </c>
      <c r="AB309" s="84" t="str">
        <f>VLOOKUP($A309,'US Census Population Estimates'!$A$20:$AG$266,AB$288,FALSE)</f>
        <v/>
      </c>
      <c r="AC309" s="84" t="str">
        <f>VLOOKUP($A309,'US Census Population Estimates'!$A$20:$AG$266,AC$288,FALSE)</f>
        <v/>
      </c>
      <c r="AD309" s="84" t="str">
        <f>VLOOKUP($A309,'US Census Population Estimates'!$A$20:$AG$266,AD$288,FALSE)</f>
        <v/>
      </c>
      <c r="AE309" s="84" t="str">
        <f>VLOOKUP($A309,'US Census Population Estimates'!$A$20:$AG$266,AE$288,FALSE)</f>
        <v/>
      </c>
      <c r="AF309" s="84" t="str">
        <f>VLOOKUP($A309,'US Census Population Estimates'!$A$20:$AG$266,AF$288,FALSE)</f>
        <v/>
      </c>
      <c r="AG309" s="88" t="str">
        <f>VLOOKUP($A309,'US Census Population Estimates'!$A$20:$AG$266,AG$288,FALSE)</f>
        <v/>
      </c>
      <c r="AH309" s="24"/>
    </row>
    <row r="310" ht="12.75" customHeight="1">
      <c r="A310" s="46" t="s">
        <v>269</v>
      </c>
      <c r="B310" s="51" t="s">
        <v>52</v>
      </c>
      <c r="C310" s="84">
        <f>VLOOKUP($A310,'US Census Population Estimates'!$A$20:$AG$266,C$288,FALSE)</f>
        <v>384</v>
      </c>
      <c r="D310" s="84">
        <f>VLOOKUP($A310,'US Census Population Estimates'!$A$20:$AG$266,D$288,FALSE)</f>
        <v>383</v>
      </c>
      <c r="E310" s="84">
        <f>VLOOKUP($A310,'US Census Population Estimates'!$A$20:$AG$266,E$288,FALSE)</f>
        <v>383</v>
      </c>
      <c r="F310" s="84">
        <f>VLOOKUP($A310,'US Census Population Estimates'!$A$20:$AG$266,F$288,FALSE)</f>
        <v>384</v>
      </c>
      <c r="G310" s="84">
        <f>VLOOKUP($A310,'US Census Population Estimates'!$A$20:$AG$266,G$288,FALSE)</f>
        <v>386</v>
      </c>
      <c r="H310" s="84">
        <f>VLOOKUP($A310,'US Census Population Estimates'!$A$20:$AG$266,H$288,FALSE)</f>
        <v>387</v>
      </c>
      <c r="I310" s="84">
        <f>VLOOKUP($A310,'US Census Population Estimates'!$A$20:$AG$266,I$288,FALSE)</f>
        <v>389</v>
      </c>
      <c r="J310" s="84">
        <f>VLOOKUP($A310,'US Census Population Estimates'!$A$20:$AG$266,J$288,FALSE)</f>
        <v>395</v>
      </c>
      <c r="K310" s="84">
        <f>VLOOKUP($A310,'US Census Population Estimates'!$A$20:$AG$266,K$288,FALSE)</f>
        <v>399</v>
      </c>
      <c r="L310" s="84">
        <f>VLOOKUP($A310,'US Census Population Estimates'!$A$20:$AG$266,L$288,FALSE)</f>
        <v>405</v>
      </c>
      <c r="M310" s="84">
        <f>VLOOKUP($A310,'US Census Population Estimates'!$A$20:$AG$266,M$288,FALSE)</f>
        <v>403</v>
      </c>
      <c r="N310" s="84">
        <f>VLOOKUP($A310,'US Census Population Estimates'!$A$20:$AG$266,N$288,FALSE)</f>
        <v>400</v>
      </c>
      <c r="O310" s="84">
        <f>VLOOKUP($A310,'US Census Population Estimates'!$A$20:$AG$266,O$288,FALSE)</f>
        <v>409</v>
      </c>
      <c r="P310" s="84">
        <f>VLOOKUP($A310,'US Census Population Estimates'!$A$20:$AG$266,P$288,FALSE)</f>
        <v>420</v>
      </c>
      <c r="Q310" s="84">
        <f>VLOOKUP($A310,'US Census Population Estimates'!$A$20:$AG$266,Q$288,FALSE)</f>
        <v>415</v>
      </c>
      <c r="R310" s="84">
        <f>VLOOKUP($A310,'US Census Population Estimates'!$A$20:$AG$266,R$288,FALSE)</f>
        <v>415</v>
      </c>
      <c r="S310" s="84">
        <f>VLOOKUP($A310,'US Census Population Estimates'!$A$20:$AG$266,S$288,FALSE)</f>
        <v>406</v>
      </c>
      <c r="T310" s="84">
        <f>VLOOKUP($A310,'US Census Population Estimates'!$A$20:$AG$266,T$288,FALSE)</f>
        <v>395</v>
      </c>
      <c r="U310" s="84">
        <f>VLOOKUP($A310,'US Census Population Estimates'!$A$20:$AG$266,U$288,FALSE)</f>
        <v>390</v>
      </c>
      <c r="V310" s="84" t="str">
        <f>VLOOKUP($A310,'US Census Population Estimates'!$A$20:$AG$266,V$288,FALSE)</f>
        <v/>
      </c>
      <c r="W310" s="84" t="str">
        <f>VLOOKUP($A310,'US Census Population Estimates'!$A$20:$AG$266,W$288,FALSE)</f>
        <v/>
      </c>
      <c r="X310" s="84" t="str">
        <f>VLOOKUP($A310,'US Census Population Estimates'!$A$20:$AG$266,X$288,FALSE)</f>
        <v/>
      </c>
      <c r="Y310" s="84" t="str">
        <f>VLOOKUP($A310,'US Census Population Estimates'!$A$20:$AG$266,Y$288,FALSE)</f>
        <v/>
      </c>
      <c r="Z310" s="84" t="str">
        <f>VLOOKUP($A310,'US Census Population Estimates'!$A$20:$AG$266,Z$288,FALSE)</f>
        <v/>
      </c>
      <c r="AA310" s="84" t="str">
        <f>VLOOKUP($A310,'US Census Population Estimates'!$A$20:$AG$266,AA$288,FALSE)</f>
        <v/>
      </c>
      <c r="AB310" s="84" t="str">
        <f>VLOOKUP($A310,'US Census Population Estimates'!$A$20:$AG$266,AB$288,FALSE)</f>
        <v/>
      </c>
      <c r="AC310" s="84" t="str">
        <f>VLOOKUP($A310,'US Census Population Estimates'!$A$20:$AG$266,AC$288,FALSE)</f>
        <v/>
      </c>
      <c r="AD310" s="84" t="str">
        <f>VLOOKUP($A310,'US Census Population Estimates'!$A$20:$AG$266,AD$288,FALSE)</f>
        <v/>
      </c>
      <c r="AE310" s="84" t="str">
        <f>VLOOKUP($A310,'US Census Population Estimates'!$A$20:$AG$266,AE$288,FALSE)</f>
        <v/>
      </c>
      <c r="AF310" s="84" t="str">
        <f>VLOOKUP($A310,'US Census Population Estimates'!$A$20:$AG$266,AF$288,FALSE)</f>
        <v/>
      </c>
      <c r="AG310" s="88" t="str">
        <f>VLOOKUP($A310,'US Census Population Estimates'!$A$20:$AG$266,AG$288,FALSE)</f>
        <v/>
      </c>
      <c r="AH310" s="24"/>
    </row>
    <row r="311" ht="12.75" customHeight="1">
      <c r="A311" s="52" t="s">
        <v>257</v>
      </c>
      <c r="B311" s="58" t="s">
        <v>52</v>
      </c>
      <c r="C311" s="240">
        <f>VLOOKUP($A311,'US Census Population Estimates'!$A$20:$AG$266,C$288,FALSE)</f>
        <v>168</v>
      </c>
      <c r="D311" s="98">
        <f>VLOOKUP($A311,'US Census Population Estimates'!$A$20:$AG$266,D$288,FALSE)</f>
        <v>170</v>
      </c>
      <c r="E311" s="98">
        <f>VLOOKUP($A311,'US Census Population Estimates'!$A$20:$AG$266,E$288,FALSE)</f>
        <v>171</v>
      </c>
      <c r="F311" s="98">
        <f>VLOOKUP($A311,'US Census Population Estimates'!$A$20:$AG$266,F$288,FALSE)</f>
        <v>173</v>
      </c>
      <c r="G311" s="98">
        <f>VLOOKUP($A311,'US Census Population Estimates'!$A$20:$AG$266,G$288,FALSE)</f>
        <v>176</v>
      </c>
      <c r="H311" s="98">
        <f>VLOOKUP($A311,'US Census Population Estimates'!$A$20:$AG$266,H$288,FALSE)</f>
        <v>179</v>
      </c>
      <c r="I311" s="98">
        <f>VLOOKUP($A311,'US Census Population Estimates'!$A$20:$AG$266,I$288,FALSE)</f>
        <v>181</v>
      </c>
      <c r="J311" s="98">
        <f>VLOOKUP($A311,'US Census Population Estimates'!$A$20:$AG$266,J$288,FALSE)</f>
        <v>186</v>
      </c>
      <c r="K311" s="98">
        <f>VLOOKUP($A311,'US Census Population Estimates'!$A$20:$AG$266,K$288,FALSE)</f>
        <v>190</v>
      </c>
      <c r="L311" s="98">
        <f>VLOOKUP($A311,'US Census Population Estimates'!$A$20:$AG$266,L$288,FALSE)</f>
        <v>194</v>
      </c>
      <c r="M311" s="98">
        <f>VLOOKUP($A311,'US Census Population Estimates'!$A$20:$AG$266,M$288,FALSE)</f>
        <v>194</v>
      </c>
      <c r="N311" s="98">
        <f>VLOOKUP($A311,'US Census Population Estimates'!$A$20:$AG$266,N$288,FALSE)</f>
        <v>194</v>
      </c>
      <c r="O311" s="98">
        <f>VLOOKUP($A311,'US Census Population Estimates'!$A$20:$AG$266,O$288,FALSE)</f>
        <v>199</v>
      </c>
      <c r="P311" s="98">
        <f>VLOOKUP($A311,'US Census Population Estimates'!$A$20:$AG$266,P$288,FALSE)</f>
        <v>202</v>
      </c>
      <c r="Q311" s="98">
        <f>VLOOKUP($A311,'US Census Population Estimates'!$A$20:$AG$266,Q$288,FALSE)</f>
        <v>202</v>
      </c>
      <c r="R311" s="98">
        <f>VLOOKUP($A311,'US Census Population Estimates'!$A$20:$AG$266,R$288,FALSE)</f>
        <v>203</v>
      </c>
      <c r="S311" s="98">
        <f>VLOOKUP($A311,'US Census Population Estimates'!$A$20:$AG$266,S$288,FALSE)</f>
        <v>201</v>
      </c>
      <c r="T311" s="98">
        <f>VLOOKUP($A311,'US Census Population Estimates'!$A$20:$AG$266,T$288,FALSE)</f>
        <v>198</v>
      </c>
      <c r="U311" s="98">
        <f>VLOOKUP($A311,'US Census Population Estimates'!$A$20:$AG$266,U$288,FALSE)</f>
        <v>201</v>
      </c>
      <c r="V311" s="98" t="str">
        <f>VLOOKUP($A311,'US Census Population Estimates'!$A$20:$AG$266,V$288,FALSE)</f>
        <v/>
      </c>
      <c r="W311" s="98" t="str">
        <f>VLOOKUP($A311,'US Census Population Estimates'!$A$20:$AG$266,W$288,FALSE)</f>
        <v/>
      </c>
      <c r="X311" s="98" t="str">
        <f>VLOOKUP($A311,'US Census Population Estimates'!$A$20:$AG$266,X$288,FALSE)</f>
        <v/>
      </c>
      <c r="Y311" s="98" t="str">
        <f>VLOOKUP($A311,'US Census Population Estimates'!$A$20:$AG$266,Y$288,FALSE)</f>
        <v/>
      </c>
      <c r="Z311" s="98" t="str">
        <f>VLOOKUP($A311,'US Census Population Estimates'!$A$20:$AG$266,Z$288,FALSE)</f>
        <v/>
      </c>
      <c r="AA311" s="98" t="str">
        <f>VLOOKUP($A311,'US Census Population Estimates'!$A$20:$AG$266,AA$288,FALSE)</f>
        <v/>
      </c>
      <c r="AB311" s="98" t="str">
        <f>VLOOKUP($A311,'US Census Population Estimates'!$A$20:$AG$266,AB$288,FALSE)</f>
        <v/>
      </c>
      <c r="AC311" s="98" t="str">
        <f>VLOOKUP($A311,'US Census Population Estimates'!$A$20:$AG$266,AC$288,FALSE)</f>
        <v/>
      </c>
      <c r="AD311" s="98" t="str">
        <f>VLOOKUP($A311,'US Census Population Estimates'!$A$20:$AG$266,AD$288,FALSE)</f>
        <v/>
      </c>
      <c r="AE311" s="98" t="str">
        <f>VLOOKUP($A311,'US Census Population Estimates'!$A$20:$AG$266,AE$288,FALSE)</f>
        <v/>
      </c>
      <c r="AF311" s="98" t="str">
        <f>VLOOKUP($A311,'US Census Population Estimates'!$A$20:$AG$266,AF$288,FALSE)</f>
        <v/>
      </c>
      <c r="AG311" s="113" t="str">
        <f>VLOOKUP($A311,'US Census Population Estimates'!$A$20:$AG$266,AG$288,FALSE)</f>
        <v/>
      </c>
      <c r="AH311" s="24"/>
    </row>
    <row r="312" ht="12.75" customHeight="1">
      <c r="A312" s="59" t="s">
        <v>61</v>
      </c>
      <c r="B312" s="60"/>
      <c r="C312" s="115">
        <f t="shared" ref="C312:T312" si="53">C313+C314</f>
        <v>3407.663319</v>
      </c>
      <c r="D312" s="115">
        <f t="shared" si="53"/>
        <v>3414.468568</v>
      </c>
      <c r="E312" s="115">
        <f t="shared" si="53"/>
        <v>3452.618019</v>
      </c>
      <c r="F312" s="115">
        <f t="shared" si="53"/>
        <v>3471.904486</v>
      </c>
      <c r="G312" s="115">
        <f t="shared" si="53"/>
        <v>3476.319778</v>
      </c>
      <c r="H312" s="115">
        <f t="shared" si="53"/>
        <v>3599.414035</v>
      </c>
      <c r="I312" s="115">
        <f t="shared" si="53"/>
        <v>3643.170485</v>
      </c>
      <c r="J312" s="115">
        <f t="shared" si="53"/>
        <v>3721.297849</v>
      </c>
      <c r="K312" s="115">
        <f t="shared" si="53"/>
        <v>3814.161844</v>
      </c>
      <c r="L312" s="115">
        <f t="shared" si="53"/>
        <v>3878.418667</v>
      </c>
      <c r="M312" s="115">
        <f t="shared" si="53"/>
        <v>3888.571623</v>
      </c>
      <c r="N312" s="115">
        <f t="shared" si="53"/>
        <v>3905.668387</v>
      </c>
      <c r="O312" s="115">
        <f t="shared" si="53"/>
        <v>3933.852492</v>
      </c>
      <c r="P312" s="115">
        <f t="shared" si="53"/>
        <v>3959.847199</v>
      </c>
      <c r="Q312" s="115">
        <f t="shared" si="53"/>
        <v>3967.868631</v>
      </c>
      <c r="R312" s="115">
        <f t="shared" si="53"/>
        <v>3976.35393</v>
      </c>
      <c r="S312" s="115">
        <f t="shared" si="53"/>
        <v>3975.992504</v>
      </c>
      <c r="T312" s="115">
        <f t="shared" si="53"/>
        <v>3981.578858</v>
      </c>
      <c r="U312" s="243"/>
      <c r="V312" s="243"/>
      <c r="W312" s="243"/>
      <c r="X312" s="243"/>
      <c r="Y312" s="243"/>
      <c r="Z312" s="243"/>
      <c r="AA312" s="243"/>
      <c r="AB312" s="243"/>
      <c r="AC312" s="243"/>
      <c r="AD312" s="243"/>
      <c r="AE312" s="243"/>
      <c r="AF312" s="243"/>
      <c r="AG312" s="244"/>
      <c r="AH312" s="24"/>
    </row>
    <row r="313" ht="12.75" customHeight="1">
      <c r="A313" s="46" t="s">
        <v>48</v>
      </c>
      <c r="B313" s="47"/>
      <c r="C313" s="84">
        <f t="shared" ref="C313:C314" si="55">C300</f>
        <v>315.544528</v>
      </c>
      <c r="D313" s="84">
        <f t="shared" ref="D313:AG313" si="54">$C$313*SUM(D303,D309)/SUM($C$303,$C$309)</f>
        <v>316.4210406</v>
      </c>
      <c r="E313" s="84">
        <f t="shared" si="54"/>
        <v>321.6801161</v>
      </c>
      <c r="F313" s="84">
        <f t="shared" si="54"/>
        <v>324.3096538</v>
      </c>
      <c r="G313" s="84">
        <f t="shared" si="54"/>
        <v>325.1861664</v>
      </c>
      <c r="H313" s="84">
        <f t="shared" si="54"/>
        <v>327.8157041</v>
      </c>
      <c r="I313" s="84">
        <f t="shared" si="54"/>
        <v>331.3217544</v>
      </c>
      <c r="J313" s="84">
        <f t="shared" si="54"/>
        <v>341.8399054</v>
      </c>
      <c r="K313" s="84">
        <f t="shared" si="54"/>
        <v>351.4815437</v>
      </c>
      <c r="L313" s="84">
        <f t="shared" si="54"/>
        <v>355.8641066</v>
      </c>
      <c r="M313" s="84">
        <f t="shared" si="54"/>
        <v>354.987594</v>
      </c>
      <c r="N313" s="84">
        <f t="shared" si="54"/>
        <v>357.6171318</v>
      </c>
      <c r="O313" s="84">
        <f t="shared" si="54"/>
        <v>355.8641066</v>
      </c>
      <c r="P313" s="84">
        <f t="shared" si="54"/>
        <v>359.3701569</v>
      </c>
      <c r="Q313" s="84">
        <f t="shared" si="54"/>
        <v>359.3701569</v>
      </c>
      <c r="R313" s="84">
        <f t="shared" si="54"/>
        <v>361.1231821</v>
      </c>
      <c r="S313" s="84">
        <f t="shared" si="54"/>
        <v>364.6292324</v>
      </c>
      <c r="T313" s="84">
        <f t="shared" si="54"/>
        <v>364.6292324</v>
      </c>
      <c r="U313" s="84">
        <f t="shared" si="54"/>
        <v>371.641333</v>
      </c>
      <c r="V313" s="84">
        <f t="shared" si="54"/>
        <v>0</v>
      </c>
      <c r="W313" s="84">
        <f t="shared" si="54"/>
        <v>0</v>
      </c>
      <c r="X313" s="84">
        <f t="shared" si="54"/>
        <v>0</v>
      </c>
      <c r="Y313" s="84">
        <f t="shared" si="54"/>
        <v>0</v>
      </c>
      <c r="Z313" s="84">
        <f t="shared" si="54"/>
        <v>0</v>
      </c>
      <c r="AA313" s="84">
        <f t="shared" si="54"/>
        <v>0</v>
      </c>
      <c r="AB313" s="84">
        <f t="shared" si="54"/>
        <v>0</v>
      </c>
      <c r="AC313" s="84">
        <f t="shared" si="54"/>
        <v>0</v>
      </c>
      <c r="AD313" s="84">
        <f t="shared" si="54"/>
        <v>0</v>
      </c>
      <c r="AE313" s="84">
        <f t="shared" si="54"/>
        <v>0</v>
      </c>
      <c r="AF313" s="84">
        <f t="shared" si="54"/>
        <v>0</v>
      </c>
      <c r="AG313" s="88">
        <f t="shared" si="54"/>
        <v>0</v>
      </c>
      <c r="AH313" s="24"/>
    </row>
    <row r="314" ht="12.75" customHeight="1">
      <c r="A314" s="74" t="s">
        <v>49</v>
      </c>
      <c r="B314" s="75"/>
      <c r="C314" s="126">
        <f t="shared" si="55"/>
        <v>3092.11879</v>
      </c>
      <c r="D314" s="126">
        <f t="shared" ref="D314:F314" si="56">$C$314*SUM(D304:D306,D308,D310:D311)/SUM($C$304:$C$306,$C$308,$C$310:$C$311)</f>
        <v>3098.047528</v>
      </c>
      <c r="E314" s="126">
        <f t="shared" si="56"/>
        <v>3130.937903</v>
      </c>
      <c r="F314" s="321">
        <f t="shared" si="56"/>
        <v>3147.594832</v>
      </c>
      <c r="G314" s="126">
        <f t="shared" ref="G314:AG314" si="57">$C$314*G302/$C$302</f>
        <v>3151.133612</v>
      </c>
      <c r="H314" s="126">
        <f t="shared" si="57"/>
        <v>3271.598331</v>
      </c>
      <c r="I314" s="126">
        <f t="shared" si="57"/>
        <v>3311.848731</v>
      </c>
      <c r="J314" s="126">
        <f t="shared" si="57"/>
        <v>3379.457943</v>
      </c>
      <c r="K314" s="126">
        <f t="shared" si="57"/>
        <v>3462.6803</v>
      </c>
      <c r="L314" s="126">
        <f t="shared" si="57"/>
        <v>3522.55456</v>
      </c>
      <c r="M314" s="126">
        <f t="shared" si="57"/>
        <v>3533.584029</v>
      </c>
      <c r="N314" s="126">
        <f t="shared" si="57"/>
        <v>3548.051255</v>
      </c>
      <c r="O314" s="126">
        <f t="shared" si="57"/>
        <v>3577.988385</v>
      </c>
      <c r="P314" s="126">
        <f t="shared" si="57"/>
        <v>3600.477043</v>
      </c>
      <c r="Q314" s="126">
        <f t="shared" si="57"/>
        <v>3608.498475</v>
      </c>
      <c r="R314" s="126">
        <f t="shared" si="57"/>
        <v>3615.230748</v>
      </c>
      <c r="S314" s="126">
        <f t="shared" si="57"/>
        <v>3611.363272</v>
      </c>
      <c r="T314" s="126">
        <f t="shared" si="57"/>
        <v>3616.949626</v>
      </c>
      <c r="U314" s="126">
        <f t="shared" si="57"/>
        <v>3618.954984</v>
      </c>
      <c r="V314" s="126">
        <f t="shared" si="57"/>
        <v>0</v>
      </c>
      <c r="W314" s="126">
        <f t="shared" si="57"/>
        <v>0</v>
      </c>
      <c r="X314" s="126">
        <f t="shared" si="57"/>
        <v>0</v>
      </c>
      <c r="Y314" s="126">
        <f t="shared" si="57"/>
        <v>0</v>
      </c>
      <c r="Z314" s="126">
        <f t="shared" si="57"/>
        <v>0</v>
      </c>
      <c r="AA314" s="126">
        <f t="shared" si="57"/>
        <v>0</v>
      </c>
      <c r="AB314" s="126">
        <f t="shared" si="57"/>
        <v>0</v>
      </c>
      <c r="AC314" s="126">
        <f t="shared" si="57"/>
        <v>0</v>
      </c>
      <c r="AD314" s="126">
        <f t="shared" si="57"/>
        <v>0</v>
      </c>
      <c r="AE314" s="126">
        <f t="shared" si="57"/>
        <v>0</v>
      </c>
      <c r="AF314" s="126">
        <f t="shared" si="57"/>
        <v>0</v>
      </c>
      <c r="AG314" s="129">
        <f t="shared" si="57"/>
        <v>0</v>
      </c>
      <c r="AH314" s="24"/>
    </row>
    <row r="315" ht="12.75" customHeight="1">
      <c r="A315" s="130" t="s">
        <v>63</v>
      </c>
      <c r="B315" s="131"/>
      <c r="C315" s="132"/>
      <c r="D315" s="132"/>
      <c r="E315" s="132"/>
      <c r="F315" s="132"/>
      <c r="G315" s="132"/>
      <c r="H315" s="132"/>
      <c r="I315" s="132"/>
      <c r="J315" s="132"/>
      <c r="K315" s="132"/>
      <c r="L315" s="132"/>
      <c r="M315" s="132"/>
      <c r="N315" s="132"/>
      <c r="O315" s="134"/>
      <c r="P315" s="134"/>
      <c r="Q315" s="134"/>
      <c r="R315" s="134"/>
      <c r="S315" s="134"/>
      <c r="T315" s="134"/>
      <c r="U315" s="134"/>
      <c r="V315" s="134"/>
      <c r="W315" s="134"/>
      <c r="X315" s="134"/>
      <c r="Y315" s="134"/>
      <c r="Z315" s="134"/>
      <c r="AA315" s="134"/>
      <c r="AB315" s="134"/>
      <c r="AC315" s="134"/>
      <c r="AD315" s="134"/>
      <c r="AE315" s="134"/>
      <c r="AF315" s="134"/>
      <c r="AG315" s="135"/>
      <c r="AH315" s="24"/>
    </row>
    <row r="316" ht="12.75" customHeight="1">
      <c r="A316" s="46" t="s">
        <v>353</v>
      </c>
      <c r="B316" s="51" t="s">
        <v>51</v>
      </c>
      <c r="C316" s="48">
        <v>4040.0</v>
      </c>
      <c r="D316" s="71" t="s">
        <v>7</v>
      </c>
      <c r="E316" s="71" t="s">
        <v>7</v>
      </c>
      <c r="F316" s="71" t="s">
        <v>7</v>
      </c>
      <c r="G316" s="71" t="s">
        <v>7</v>
      </c>
      <c r="H316" s="71" t="s">
        <v>7</v>
      </c>
      <c r="I316" s="71" t="s">
        <v>7</v>
      </c>
      <c r="J316" s="71" t="s">
        <v>7</v>
      </c>
      <c r="K316" s="71" t="s">
        <v>7</v>
      </c>
      <c r="L316" s="71" t="s">
        <v>7</v>
      </c>
      <c r="M316" s="71" t="s">
        <v>7</v>
      </c>
      <c r="N316" s="71" t="s">
        <v>7</v>
      </c>
      <c r="O316" s="71" t="s">
        <v>7</v>
      </c>
      <c r="P316" s="71" t="s">
        <v>7</v>
      </c>
      <c r="Q316" s="71" t="s">
        <v>7</v>
      </c>
      <c r="R316" s="71" t="s">
        <v>7</v>
      </c>
      <c r="S316" s="71" t="s">
        <v>7</v>
      </c>
      <c r="T316" s="71" t="s">
        <v>7</v>
      </c>
      <c r="U316" s="24"/>
      <c r="V316" s="24"/>
      <c r="W316" s="24"/>
      <c r="X316" s="24"/>
      <c r="Y316" s="24"/>
      <c r="Z316" s="24"/>
      <c r="AA316" s="24"/>
      <c r="AB316" s="24"/>
      <c r="AC316" s="24"/>
      <c r="AD316" s="24"/>
      <c r="AE316" s="24"/>
      <c r="AF316" s="24"/>
      <c r="AG316" s="272"/>
      <c r="AH316" s="24"/>
    </row>
    <row r="317" ht="12.75" customHeight="1">
      <c r="A317" s="325"/>
      <c r="B317" s="136" t="s">
        <v>65</v>
      </c>
      <c r="C317" s="48">
        <v>75.0</v>
      </c>
      <c r="D317" s="71" t="s">
        <v>7</v>
      </c>
      <c r="E317" s="71" t="s">
        <v>7</v>
      </c>
      <c r="F317" s="71" t="s">
        <v>7</v>
      </c>
      <c r="G317" s="71" t="s">
        <v>7</v>
      </c>
      <c r="H317" s="71" t="s">
        <v>7</v>
      </c>
      <c r="I317" s="71" t="s">
        <v>7</v>
      </c>
      <c r="J317" s="71" t="s">
        <v>7</v>
      </c>
      <c r="K317" s="71" t="s">
        <v>7</v>
      </c>
      <c r="L317" s="71" t="s">
        <v>7</v>
      </c>
      <c r="M317" s="71" t="s">
        <v>7</v>
      </c>
      <c r="N317" s="71" t="s">
        <v>7</v>
      </c>
      <c r="O317" s="71" t="s">
        <v>7</v>
      </c>
      <c r="P317" s="71" t="s">
        <v>7</v>
      </c>
      <c r="Q317" s="71" t="s">
        <v>7</v>
      </c>
      <c r="R317" s="71" t="s">
        <v>7</v>
      </c>
      <c r="S317" s="71" t="s">
        <v>7</v>
      </c>
      <c r="T317" s="71" t="s">
        <v>7</v>
      </c>
      <c r="U317" s="24"/>
      <c r="V317" s="24"/>
      <c r="W317" s="24"/>
      <c r="X317" s="24"/>
      <c r="Y317" s="24"/>
      <c r="Z317" s="24"/>
      <c r="AA317" s="24"/>
      <c r="AB317" s="24"/>
      <c r="AC317" s="24"/>
      <c r="AD317" s="24"/>
      <c r="AE317" s="24"/>
      <c r="AF317" s="24"/>
      <c r="AG317" s="272"/>
      <c r="AH317" s="24"/>
    </row>
    <row r="318" ht="12.75" customHeight="1">
      <c r="A318" s="46" t="s">
        <v>64</v>
      </c>
      <c r="B318" s="51" t="s">
        <v>51</v>
      </c>
      <c r="C318" s="48">
        <v>11938.0</v>
      </c>
      <c r="D318" s="49" t="s">
        <v>7</v>
      </c>
      <c r="E318" s="49" t="s">
        <v>7</v>
      </c>
      <c r="F318" s="49" t="s">
        <v>7</v>
      </c>
      <c r="G318" s="49" t="s">
        <v>7</v>
      </c>
      <c r="H318" s="49" t="s">
        <v>7</v>
      </c>
      <c r="I318" s="49" t="s">
        <v>7</v>
      </c>
      <c r="J318" s="49" t="s">
        <v>7</v>
      </c>
      <c r="K318" s="49" t="s">
        <v>7</v>
      </c>
      <c r="L318" s="49" t="s">
        <v>7</v>
      </c>
      <c r="M318" s="49" t="s">
        <v>7</v>
      </c>
      <c r="N318" s="49" t="s">
        <v>7</v>
      </c>
      <c r="O318" s="49" t="s">
        <v>7</v>
      </c>
      <c r="P318" s="49" t="s">
        <v>7</v>
      </c>
      <c r="Q318" s="49" t="s">
        <v>7</v>
      </c>
      <c r="R318" s="49" t="s">
        <v>7</v>
      </c>
      <c r="S318" s="49" t="s">
        <v>7</v>
      </c>
      <c r="T318" s="49" t="s">
        <v>7</v>
      </c>
      <c r="U318" s="49"/>
      <c r="V318" s="49"/>
      <c r="W318" s="49"/>
      <c r="X318" s="49"/>
      <c r="Y318" s="49"/>
      <c r="Z318" s="49"/>
      <c r="AA318" s="49"/>
      <c r="AB318" s="49"/>
      <c r="AC318" s="49"/>
      <c r="AD318" s="49"/>
      <c r="AE318" s="49"/>
      <c r="AF318" s="49"/>
      <c r="AG318" s="51"/>
      <c r="AH318" s="24"/>
    </row>
    <row r="319" ht="12.75" customHeight="1">
      <c r="A319" s="52" t="s">
        <v>65</v>
      </c>
      <c r="B319" s="53"/>
      <c r="C319" s="54" t="s">
        <v>122</v>
      </c>
      <c r="D319" s="55" t="s">
        <v>7</v>
      </c>
      <c r="E319" s="55" t="s">
        <v>7</v>
      </c>
      <c r="F319" s="55" t="s">
        <v>7</v>
      </c>
      <c r="G319" s="55" t="s">
        <v>7</v>
      </c>
      <c r="H319" s="55" t="s">
        <v>7</v>
      </c>
      <c r="I319" s="55" t="s">
        <v>7</v>
      </c>
      <c r="J319" s="55" t="s">
        <v>7</v>
      </c>
      <c r="K319" s="55" t="s">
        <v>7</v>
      </c>
      <c r="L319" s="55" t="s">
        <v>7</v>
      </c>
      <c r="M319" s="55" t="s">
        <v>7</v>
      </c>
      <c r="N319" s="55" t="s">
        <v>7</v>
      </c>
      <c r="O319" s="55" t="s">
        <v>7</v>
      </c>
      <c r="P319" s="55" t="s">
        <v>7</v>
      </c>
      <c r="Q319" s="55" t="s">
        <v>7</v>
      </c>
      <c r="R319" s="55" t="s">
        <v>7</v>
      </c>
      <c r="S319" s="55" t="s">
        <v>7</v>
      </c>
      <c r="T319" s="55" t="s">
        <v>7</v>
      </c>
      <c r="U319" s="55"/>
      <c r="V319" s="55"/>
      <c r="W319" s="55"/>
      <c r="X319" s="55"/>
      <c r="Y319" s="55"/>
      <c r="Z319" s="55"/>
      <c r="AA319" s="55"/>
      <c r="AB319" s="55"/>
      <c r="AC319" s="55"/>
      <c r="AD319" s="55"/>
      <c r="AE319" s="55"/>
      <c r="AF319" s="55"/>
      <c r="AG319" s="58"/>
      <c r="AH319" s="24"/>
    </row>
    <row r="320" ht="12.75" customHeight="1">
      <c r="A320" s="130" t="s">
        <v>66</v>
      </c>
      <c r="B320" s="131"/>
      <c r="C320" s="250"/>
      <c r="D320" s="132"/>
      <c r="E320" s="132"/>
      <c r="F320" s="132"/>
      <c r="G320" s="132"/>
      <c r="H320" s="138"/>
      <c r="I320" s="138"/>
      <c r="J320" s="138"/>
      <c r="K320" s="138"/>
      <c r="L320" s="132"/>
      <c r="M320" s="132"/>
      <c r="N320" s="132"/>
      <c r="O320" s="132"/>
      <c r="P320" s="132"/>
      <c r="Q320" s="132"/>
      <c r="R320" s="132"/>
      <c r="S320" s="132"/>
      <c r="T320" s="132"/>
      <c r="U320" s="140"/>
      <c r="V320" s="140"/>
      <c r="W320" s="140"/>
      <c r="X320" s="140"/>
      <c r="Y320" s="140"/>
      <c r="Z320" s="140"/>
      <c r="AA320" s="140"/>
      <c r="AB320" s="140"/>
      <c r="AC320" s="140"/>
      <c r="AD320" s="140"/>
      <c r="AE320" s="140"/>
      <c r="AF320" s="140"/>
      <c r="AG320" s="142"/>
      <c r="AH320" s="24"/>
    </row>
    <row r="321" ht="12.75" customHeight="1">
      <c r="A321" s="46" t="s">
        <v>354</v>
      </c>
      <c r="B321" s="47"/>
      <c r="C321" s="252">
        <f>C316+C318</f>
        <v>15978</v>
      </c>
      <c r="D321" s="84">
        <f t="shared" ref="D321:AG321" si="58">$C$321*D302/$C$302</f>
        <v>16008.34688</v>
      </c>
      <c r="E321" s="84">
        <f t="shared" si="58"/>
        <v>16179.32561</v>
      </c>
      <c r="F321" s="84">
        <f t="shared" si="58"/>
        <v>16265.18507</v>
      </c>
      <c r="G321" s="84">
        <f t="shared" si="58"/>
        <v>16282.94909</v>
      </c>
      <c r="H321" s="84">
        <f t="shared" si="58"/>
        <v>16905.43012</v>
      </c>
      <c r="I321" s="84">
        <f t="shared" si="58"/>
        <v>17113.41724</v>
      </c>
      <c r="J321" s="84">
        <f t="shared" si="58"/>
        <v>17462.77639</v>
      </c>
      <c r="K321" s="84">
        <f t="shared" si="58"/>
        <v>17892.81382</v>
      </c>
      <c r="L321" s="84">
        <f t="shared" si="58"/>
        <v>18202.20392</v>
      </c>
      <c r="M321" s="84">
        <f t="shared" si="58"/>
        <v>18259.19683</v>
      </c>
      <c r="N321" s="84">
        <f t="shared" si="58"/>
        <v>18333.95377</v>
      </c>
      <c r="O321" s="84">
        <f t="shared" si="58"/>
        <v>18488.64882</v>
      </c>
      <c r="P321" s="84">
        <f t="shared" si="58"/>
        <v>18604.85514</v>
      </c>
      <c r="Q321" s="84">
        <f t="shared" si="58"/>
        <v>18646.30454</v>
      </c>
      <c r="R321" s="84">
        <f t="shared" si="58"/>
        <v>18681.09242</v>
      </c>
      <c r="S321" s="84">
        <f t="shared" si="58"/>
        <v>18661.10789</v>
      </c>
      <c r="T321" s="84">
        <f t="shared" si="58"/>
        <v>18689.97443</v>
      </c>
      <c r="U321" s="84">
        <f t="shared" si="58"/>
        <v>18700.33678</v>
      </c>
      <c r="V321" s="84">
        <f t="shared" si="58"/>
        <v>0</v>
      </c>
      <c r="W321" s="84">
        <f t="shared" si="58"/>
        <v>0</v>
      </c>
      <c r="X321" s="84">
        <f t="shared" si="58"/>
        <v>0</v>
      </c>
      <c r="Y321" s="84">
        <f t="shared" si="58"/>
        <v>0</v>
      </c>
      <c r="Z321" s="84">
        <f t="shared" si="58"/>
        <v>0</v>
      </c>
      <c r="AA321" s="84">
        <f t="shared" si="58"/>
        <v>0</v>
      </c>
      <c r="AB321" s="84">
        <f t="shared" si="58"/>
        <v>0</v>
      </c>
      <c r="AC321" s="84">
        <f t="shared" si="58"/>
        <v>0</v>
      </c>
      <c r="AD321" s="84">
        <f t="shared" si="58"/>
        <v>0</v>
      </c>
      <c r="AE321" s="84">
        <f t="shared" si="58"/>
        <v>0</v>
      </c>
      <c r="AF321" s="84">
        <f t="shared" si="58"/>
        <v>0</v>
      </c>
      <c r="AG321" s="88">
        <f t="shared" si="58"/>
        <v>0</v>
      </c>
      <c r="AH321" s="24"/>
    </row>
    <row r="322" ht="12.75" customHeight="1">
      <c r="A322" s="46" t="s">
        <v>71</v>
      </c>
      <c r="B322" s="51" t="s">
        <v>52</v>
      </c>
      <c r="C322" s="50">
        <v>0.0</v>
      </c>
      <c r="D322" s="84">
        <f t="shared" ref="D322:AF322" si="59">$C$322*D321/$C$321</f>
        <v>0</v>
      </c>
      <c r="E322" s="84">
        <f t="shared" si="59"/>
        <v>0</v>
      </c>
      <c r="F322" s="84">
        <f t="shared" si="59"/>
        <v>0</v>
      </c>
      <c r="G322" s="84">
        <f t="shared" si="59"/>
        <v>0</v>
      </c>
      <c r="H322" s="84">
        <f t="shared" si="59"/>
        <v>0</v>
      </c>
      <c r="I322" s="84">
        <f t="shared" si="59"/>
        <v>0</v>
      </c>
      <c r="J322" s="84">
        <f t="shared" si="59"/>
        <v>0</v>
      </c>
      <c r="K322" s="84">
        <f t="shared" si="59"/>
        <v>0</v>
      </c>
      <c r="L322" s="84">
        <f t="shared" si="59"/>
        <v>0</v>
      </c>
      <c r="M322" s="84">
        <f t="shared" si="59"/>
        <v>0</v>
      </c>
      <c r="N322" s="84">
        <f t="shared" si="59"/>
        <v>0</v>
      </c>
      <c r="O322" s="84">
        <f t="shared" si="59"/>
        <v>0</v>
      </c>
      <c r="P322" s="84">
        <f t="shared" si="59"/>
        <v>0</v>
      </c>
      <c r="Q322" s="84">
        <f t="shared" si="59"/>
        <v>0</v>
      </c>
      <c r="R322" s="84">
        <f t="shared" si="59"/>
        <v>0</v>
      </c>
      <c r="S322" s="84">
        <f t="shared" si="59"/>
        <v>0</v>
      </c>
      <c r="T322" s="84">
        <f t="shared" si="59"/>
        <v>0</v>
      </c>
      <c r="U322" s="84">
        <f t="shared" si="59"/>
        <v>0</v>
      </c>
      <c r="V322" s="84">
        <f t="shared" si="59"/>
        <v>0</v>
      </c>
      <c r="W322" s="84">
        <f t="shared" si="59"/>
        <v>0</v>
      </c>
      <c r="X322" s="84">
        <f t="shared" si="59"/>
        <v>0</v>
      </c>
      <c r="Y322" s="84">
        <f t="shared" si="59"/>
        <v>0</v>
      </c>
      <c r="Z322" s="84">
        <f t="shared" si="59"/>
        <v>0</v>
      </c>
      <c r="AA322" s="84">
        <f t="shared" si="59"/>
        <v>0</v>
      </c>
      <c r="AB322" s="84">
        <f t="shared" si="59"/>
        <v>0</v>
      </c>
      <c r="AC322" s="84">
        <f t="shared" si="59"/>
        <v>0</v>
      </c>
      <c r="AD322" s="84">
        <f t="shared" si="59"/>
        <v>0</v>
      </c>
      <c r="AE322" s="84">
        <f t="shared" si="59"/>
        <v>0</v>
      </c>
      <c r="AF322" s="84">
        <f t="shared" si="59"/>
        <v>0</v>
      </c>
      <c r="AG322" s="88">
        <f>$C$322*AF321/$C$321</f>
        <v>0</v>
      </c>
      <c r="AH322" s="24"/>
    </row>
    <row r="323" ht="12.75" customHeight="1">
      <c r="A323" s="46" t="s">
        <v>128</v>
      </c>
      <c r="B323" s="51" t="s">
        <v>51</v>
      </c>
      <c r="C323" s="48">
        <f>(C316*C317+C318*300)*365/325851</f>
        <v>4351.086846</v>
      </c>
      <c r="D323" s="84">
        <f t="shared" ref="D323:AG323" si="60">$C$323*D302/$C$302</f>
        <v>4359.350828</v>
      </c>
      <c r="E323" s="84">
        <f t="shared" si="60"/>
        <v>4405.911307</v>
      </c>
      <c r="F323" s="84">
        <f t="shared" si="60"/>
        <v>4429.292326</v>
      </c>
      <c r="G323" s="84">
        <f t="shared" si="60"/>
        <v>4434.129779</v>
      </c>
      <c r="H323" s="84">
        <f t="shared" si="60"/>
        <v>4603.642172</v>
      </c>
      <c r="I323" s="84">
        <f t="shared" si="60"/>
        <v>4660.280677</v>
      </c>
      <c r="J323" s="84">
        <f t="shared" si="60"/>
        <v>4755.41724</v>
      </c>
      <c r="K323" s="84">
        <f t="shared" si="60"/>
        <v>4872.5239</v>
      </c>
      <c r="L323" s="84">
        <f t="shared" si="60"/>
        <v>4956.776195</v>
      </c>
      <c r="M323" s="84">
        <f t="shared" si="60"/>
        <v>4972.296355</v>
      </c>
      <c r="N323" s="84">
        <f t="shared" si="60"/>
        <v>4992.653967</v>
      </c>
      <c r="O323" s="84">
        <f t="shared" si="60"/>
        <v>5034.780115</v>
      </c>
      <c r="P323" s="84">
        <f t="shared" si="60"/>
        <v>5066.425116</v>
      </c>
      <c r="Q323" s="84">
        <f t="shared" si="60"/>
        <v>5077.712505</v>
      </c>
      <c r="R323" s="84">
        <f t="shared" si="60"/>
        <v>5087.185849</v>
      </c>
      <c r="S323" s="84">
        <f t="shared" si="60"/>
        <v>5081.743715</v>
      </c>
      <c r="T323" s="84">
        <f t="shared" si="60"/>
        <v>5089.604575</v>
      </c>
      <c r="U323" s="84">
        <f t="shared" si="60"/>
        <v>5092.426422</v>
      </c>
      <c r="V323" s="84">
        <f t="shared" si="60"/>
        <v>0</v>
      </c>
      <c r="W323" s="84">
        <f t="shared" si="60"/>
        <v>0</v>
      </c>
      <c r="X323" s="84">
        <f t="shared" si="60"/>
        <v>0</v>
      </c>
      <c r="Y323" s="84">
        <f t="shared" si="60"/>
        <v>0</v>
      </c>
      <c r="Z323" s="84">
        <f t="shared" si="60"/>
        <v>0</v>
      </c>
      <c r="AA323" s="84">
        <f t="shared" si="60"/>
        <v>0</v>
      </c>
      <c r="AB323" s="84">
        <f t="shared" si="60"/>
        <v>0</v>
      </c>
      <c r="AC323" s="84">
        <f t="shared" si="60"/>
        <v>0</v>
      </c>
      <c r="AD323" s="84">
        <f t="shared" si="60"/>
        <v>0</v>
      </c>
      <c r="AE323" s="84">
        <f t="shared" si="60"/>
        <v>0</v>
      </c>
      <c r="AF323" s="84">
        <f t="shared" si="60"/>
        <v>0</v>
      </c>
      <c r="AG323" s="88">
        <f t="shared" si="60"/>
        <v>0</v>
      </c>
      <c r="AH323" s="24"/>
    </row>
    <row r="324" ht="12.75" customHeight="1">
      <c r="A324" s="153" t="s">
        <v>133</v>
      </c>
      <c r="B324" s="215" t="s">
        <v>51</v>
      </c>
      <c r="C324" s="253">
        <f>(C316*C317+C318*150)*365/325851</f>
        <v>2345.245219</v>
      </c>
      <c r="D324" s="157">
        <f t="shared" ref="D324:AG324" si="61">$C$324*D302/$C$302</f>
        <v>2349.699523</v>
      </c>
      <c r="E324" s="157">
        <f t="shared" si="61"/>
        <v>2374.795722</v>
      </c>
      <c r="F324" s="157">
        <f t="shared" si="61"/>
        <v>2387.398142</v>
      </c>
      <c r="G324" s="157">
        <f t="shared" si="61"/>
        <v>2390.00554</v>
      </c>
      <c r="H324" s="157">
        <f t="shared" si="61"/>
        <v>2481.373086</v>
      </c>
      <c r="I324" s="157">
        <f t="shared" si="61"/>
        <v>2511.901363</v>
      </c>
      <c r="J324" s="157">
        <f t="shared" si="61"/>
        <v>2563.180176</v>
      </c>
      <c r="K324" s="157">
        <f t="shared" si="61"/>
        <v>2626.300919</v>
      </c>
      <c r="L324" s="157">
        <f t="shared" si="61"/>
        <v>2671.713088</v>
      </c>
      <c r="M324" s="157">
        <f t="shared" si="61"/>
        <v>2680.078488</v>
      </c>
      <c r="N324" s="157">
        <f t="shared" si="61"/>
        <v>2691.051285</v>
      </c>
      <c r="O324" s="157">
        <f t="shared" si="61"/>
        <v>2713.75737</v>
      </c>
      <c r="P324" s="157">
        <f t="shared" si="61"/>
        <v>2730.814093</v>
      </c>
      <c r="Q324" s="157">
        <f t="shared" si="61"/>
        <v>2736.89802</v>
      </c>
      <c r="R324" s="157">
        <f t="shared" si="61"/>
        <v>2742.004174</v>
      </c>
      <c r="S324" s="157">
        <f t="shared" si="61"/>
        <v>2739.070852</v>
      </c>
      <c r="T324" s="157">
        <f t="shared" si="61"/>
        <v>2743.307872</v>
      </c>
      <c r="U324" s="157">
        <f t="shared" si="61"/>
        <v>2744.828854</v>
      </c>
      <c r="V324" s="157">
        <f t="shared" si="61"/>
        <v>0</v>
      </c>
      <c r="W324" s="157">
        <f t="shared" si="61"/>
        <v>0</v>
      </c>
      <c r="X324" s="157">
        <f t="shared" si="61"/>
        <v>0</v>
      </c>
      <c r="Y324" s="157">
        <f t="shared" si="61"/>
        <v>0</v>
      </c>
      <c r="Z324" s="157">
        <f t="shared" si="61"/>
        <v>0</v>
      </c>
      <c r="AA324" s="157">
        <f t="shared" si="61"/>
        <v>0</v>
      </c>
      <c r="AB324" s="157">
        <f t="shared" si="61"/>
        <v>0</v>
      </c>
      <c r="AC324" s="157">
        <f t="shared" si="61"/>
        <v>0</v>
      </c>
      <c r="AD324" s="157">
        <f t="shared" si="61"/>
        <v>0</v>
      </c>
      <c r="AE324" s="157">
        <f t="shared" si="61"/>
        <v>0</v>
      </c>
      <c r="AF324" s="157">
        <f t="shared" si="61"/>
        <v>0</v>
      </c>
      <c r="AG324" s="158">
        <f t="shared" si="61"/>
        <v>0</v>
      </c>
      <c r="AH324" s="24"/>
    </row>
    <row r="325" ht="12.75" customHeight="1">
      <c r="A325" s="46"/>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row>
    <row r="326" ht="12.75" customHeight="1">
      <c r="A326" s="46"/>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row>
    <row r="327" ht="12.75" customHeight="1">
      <c r="A327" s="30" t="s">
        <v>359</v>
      </c>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2"/>
      <c r="AH327" s="24"/>
    </row>
    <row r="328" ht="12.75" customHeight="1">
      <c r="A328" s="33" t="s">
        <v>37</v>
      </c>
      <c r="B328" s="34"/>
      <c r="C328" s="35">
        <v>2000.0</v>
      </c>
      <c r="D328" s="35">
        <v>2001.0</v>
      </c>
      <c r="E328" s="35">
        <v>2002.0</v>
      </c>
      <c r="F328" s="35">
        <v>2003.0</v>
      </c>
      <c r="G328" s="35">
        <v>2004.0</v>
      </c>
      <c r="H328" s="35">
        <v>2005.0</v>
      </c>
      <c r="I328" s="35">
        <v>2006.0</v>
      </c>
      <c r="J328" s="35">
        <v>2007.0</v>
      </c>
      <c r="K328" s="35">
        <v>2008.0</v>
      </c>
      <c r="L328" s="35">
        <v>2009.0</v>
      </c>
      <c r="M328" s="35">
        <v>2010.0</v>
      </c>
      <c r="N328" s="35">
        <v>2011.0</v>
      </c>
      <c r="O328" s="35">
        <v>2012.0</v>
      </c>
      <c r="P328" s="35">
        <v>2013.0</v>
      </c>
      <c r="Q328" s="35">
        <v>2014.0</v>
      </c>
      <c r="R328" s="35">
        <v>2015.0</v>
      </c>
      <c r="S328" s="35">
        <v>2016.0</v>
      </c>
      <c r="T328" s="35">
        <v>2017.0</v>
      </c>
      <c r="U328" s="35">
        <v>2018.0</v>
      </c>
      <c r="V328" s="35">
        <v>2019.0</v>
      </c>
      <c r="W328" s="35">
        <v>2020.0</v>
      </c>
      <c r="X328" s="35">
        <v>2021.0</v>
      </c>
      <c r="Y328" s="35">
        <v>2022.0</v>
      </c>
      <c r="Z328" s="35">
        <v>2023.0</v>
      </c>
      <c r="AA328" s="35">
        <v>2024.0</v>
      </c>
      <c r="AB328" s="35">
        <v>2025.0</v>
      </c>
      <c r="AC328" s="35">
        <v>2026.0</v>
      </c>
      <c r="AD328" s="35">
        <v>2027.0</v>
      </c>
      <c r="AE328" s="35">
        <v>2028.0</v>
      </c>
      <c r="AF328" s="35">
        <v>2029.0</v>
      </c>
      <c r="AG328" s="36">
        <v>2030.0</v>
      </c>
      <c r="AH328" s="24"/>
    </row>
    <row r="329" ht="12.75" customHeight="1">
      <c r="A329" s="37" t="s">
        <v>38</v>
      </c>
      <c r="B329" s="38"/>
      <c r="C329" s="39">
        <v>3.0</v>
      </c>
      <c r="D329" s="39">
        <v>4.0</v>
      </c>
      <c r="E329" s="39">
        <v>5.0</v>
      </c>
      <c r="F329" s="39">
        <v>6.0</v>
      </c>
      <c r="G329" s="39">
        <v>7.0</v>
      </c>
      <c r="H329" s="39">
        <v>8.0</v>
      </c>
      <c r="I329" s="39">
        <v>9.0</v>
      </c>
      <c r="J329" s="39">
        <v>10.0</v>
      </c>
      <c r="K329" s="39">
        <v>11.0</v>
      </c>
      <c r="L329" s="39">
        <v>12.0</v>
      </c>
      <c r="M329" s="39">
        <v>13.0</v>
      </c>
      <c r="N329" s="39">
        <v>14.0</v>
      </c>
      <c r="O329" s="39">
        <v>15.0</v>
      </c>
      <c r="P329" s="39">
        <v>16.0</v>
      </c>
      <c r="Q329" s="39">
        <v>17.0</v>
      </c>
      <c r="R329" s="39">
        <v>18.0</v>
      </c>
      <c r="S329" s="39">
        <v>19.0</v>
      </c>
      <c r="T329" s="39">
        <v>20.0</v>
      </c>
      <c r="U329" s="39">
        <v>21.0</v>
      </c>
      <c r="V329" s="39">
        <v>22.0</v>
      </c>
      <c r="W329" s="39">
        <v>23.0</v>
      </c>
      <c r="X329" s="39">
        <v>24.0</v>
      </c>
      <c r="Y329" s="39">
        <v>25.0</v>
      </c>
      <c r="Z329" s="39">
        <v>26.0</v>
      </c>
      <c r="AA329" s="39">
        <v>27.0</v>
      </c>
      <c r="AB329" s="39">
        <v>28.0</v>
      </c>
      <c r="AC329" s="39">
        <v>29.0</v>
      </c>
      <c r="AD329" s="39">
        <v>30.0</v>
      </c>
      <c r="AE329" s="39">
        <v>31.0</v>
      </c>
      <c r="AF329" s="39">
        <v>32.0</v>
      </c>
      <c r="AG329" s="40">
        <v>33.0</v>
      </c>
      <c r="AH329" s="24"/>
    </row>
    <row r="330" ht="12.75" customHeight="1">
      <c r="A330" s="164" t="s">
        <v>39</v>
      </c>
      <c r="B330" s="170"/>
      <c r="C330" s="335" t="s">
        <v>7</v>
      </c>
      <c r="D330" s="172" t="s">
        <v>7</v>
      </c>
      <c r="E330" s="172"/>
      <c r="F330" s="172" t="s">
        <v>7</v>
      </c>
      <c r="G330" s="172" t="s">
        <v>7</v>
      </c>
      <c r="H330" s="172" t="s">
        <v>7</v>
      </c>
      <c r="I330" s="172" t="s">
        <v>7</v>
      </c>
      <c r="J330" s="172" t="s">
        <v>7</v>
      </c>
      <c r="K330" s="172" t="s">
        <v>7</v>
      </c>
      <c r="L330" s="172" t="s">
        <v>7</v>
      </c>
      <c r="M330" s="172" t="s">
        <v>7</v>
      </c>
      <c r="N330" s="172" t="s">
        <v>7</v>
      </c>
      <c r="O330" s="172" t="s">
        <v>7</v>
      </c>
      <c r="P330" s="172" t="s">
        <v>7</v>
      </c>
      <c r="Q330" s="172" t="s">
        <v>7</v>
      </c>
      <c r="R330" s="172" t="s">
        <v>7</v>
      </c>
      <c r="S330" s="172" t="s">
        <v>7</v>
      </c>
      <c r="T330" s="172" t="s">
        <v>7</v>
      </c>
      <c r="U330" s="176"/>
      <c r="V330" s="176"/>
      <c r="W330" s="176"/>
      <c r="X330" s="176"/>
      <c r="Y330" s="176"/>
      <c r="Z330" s="176"/>
      <c r="AA330" s="176"/>
      <c r="AB330" s="176"/>
      <c r="AC330" s="176"/>
      <c r="AD330" s="176"/>
      <c r="AE330" s="176"/>
      <c r="AF330" s="176"/>
      <c r="AG330" s="177"/>
      <c r="AH330" s="24"/>
    </row>
    <row r="331" ht="12.75" customHeight="1">
      <c r="A331" s="46" t="s">
        <v>240</v>
      </c>
      <c r="B331" s="51" t="s">
        <v>51</v>
      </c>
      <c r="C331" s="50">
        <v>1640.0</v>
      </c>
      <c r="D331" s="71" t="s">
        <v>7</v>
      </c>
      <c r="E331" s="71" t="s">
        <v>7</v>
      </c>
      <c r="F331" s="71" t="s">
        <v>7</v>
      </c>
      <c r="G331" s="71" t="s">
        <v>7</v>
      </c>
      <c r="H331" s="71" t="s">
        <v>7</v>
      </c>
      <c r="I331" s="71" t="s">
        <v>7</v>
      </c>
      <c r="J331" s="71" t="s">
        <v>7</v>
      </c>
      <c r="K331" s="71" t="s">
        <v>7</v>
      </c>
      <c r="L331" s="71" t="s">
        <v>7</v>
      </c>
      <c r="M331" s="71" t="s">
        <v>7</v>
      </c>
      <c r="N331" s="71" t="s">
        <v>7</v>
      </c>
      <c r="O331" s="50">
        <v>1818.0</v>
      </c>
      <c r="P331" s="71" t="s">
        <v>7</v>
      </c>
      <c r="Q331" s="71" t="s">
        <v>7</v>
      </c>
      <c r="R331" s="71" t="s">
        <v>7</v>
      </c>
      <c r="S331" s="71" t="s">
        <v>7</v>
      </c>
      <c r="T331" s="71" t="s">
        <v>7</v>
      </c>
      <c r="U331" s="84"/>
      <c r="V331" s="84"/>
      <c r="W331" s="84"/>
      <c r="X331" s="84"/>
      <c r="Y331" s="84"/>
      <c r="Z331" s="84"/>
      <c r="AA331" s="84"/>
      <c r="AB331" s="84"/>
      <c r="AC331" s="84"/>
      <c r="AD331" s="84"/>
      <c r="AE331" s="84"/>
      <c r="AF331" s="84"/>
      <c r="AG331" s="88"/>
      <c r="AH331" s="24"/>
    </row>
    <row r="332" ht="12.75" customHeight="1">
      <c r="A332" s="46" t="s">
        <v>243</v>
      </c>
      <c r="B332" s="51" t="s">
        <v>51</v>
      </c>
      <c r="C332" s="50">
        <v>288.0</v>
      </c>
      <c r="D332" s="71" t="s">
        <v>7</v>
      </c>
      <c r="E332" s="71" t="s">
        <v>7</v>
      </c>
      <c r="F332" s="71" t="s">
        <v>7</v>
      </c>
      <c r="G332" s="71" t="s">
        <v>7</v>
      </c>
      <c r="H332" s="71" t="s">
        <v>7</v>
      </c>
      <c r="I332" s="71" t="s">
        <v>7</v>
      </c>
      <c r="J332" s="71" t="s">
        <v>7</v>
      </c>
      <c r="K332" s="71" t="s">
        <v>7</v>
      </c>
      <c r="L332" s="71" t="s">
        <v>7</v>
      </c>
      <c r="M332" s="71" t="s">
        <v>7</v>
      </c>
      <c r="N332" s="71" t="s">
        <v>7</v>
      </c>
      <c r="O332" s="50">
        <v>700.0</v>
      </c>
      <c r="P332" s="71" t="s">
        <v>7</v>
      </c>
      <c r="Q332" s="71" t="s">
        <v>7</v>
      </c>
      <c r="R332" s="71" t="s">
        <v>7</v>
      </c>
      <c r="S332" s="71" t="s">
        <v>7</v>
      </c>
      <c r="T332" s="71" t="s">
        <v>7</v>
      </c>
      <c r="U332" s="84"/>
      <c r="V332" s="84"/>
      <c r="W332" s="84"/>
      <c r="X332" s="84"/>
      <c r="Y332" s="84"/>
      <c r="Z332" s="84"/>
      <c r="AA332" s="84"/>
      <c r="AB332" s="84"/>
      <c r="AC332" s="84"/>
      <c r="AD332" s="84"/>
      <c r="AE332" s="84"/>
      <c r="AF332" s="84"/>
      <c r="AG332" s="88"/>
      <c r="AH332" s="24"/>
    </row>
    <row r="333" ht="12.75" customHeight="1">
      <c r="A333" s="46" t="s">
        <v>261</v>
      </c>
      <c r="B333" s="51" t="s">
        <v>51</v>
      </c>
      <c r="C333" s="50">
        <v>8500.0</v>
      </c>
      <c r="D333" s="71" t="s">
        <v>7</v>
      </c>
      <c r="E333" s="71" t="s">
        <v>7</v>
      </c>
      <c r="F333" s="71" t="s">
        <v>7</v>
      </c>
      <c r="G333" s="71" t="s">
        <v>7</v>
      </c>
      <c r="H333" s="71" t="s">
        <v>7</v>
      </c>
      <c r="I333" s="71" t="s">
        <v>7</v>
      </c>
      <c r="J333" s="71" t="s">
        <v>7</v>
      </c>
      <c r="K333" s="71" t="s">
        <v>7</v>
      </c>
      <c r="L333" s="71" t="s">
        <v>7</v>
      </c>
      <c r="M333" s="71" t="s">
        <v>7</v>
      </c>
      <c r="N333" s="71" t="s">
        <v>7</v>
      </c>
      <c r="O333" s="50">
        <v>12000.0</v>
      </c>
      <c r="P333" s="71" t="s">
        <v>7</v>
      </c>
      <c r="Q333" s="71" t="s">
        <v>7</v>
      </c>
      <c r="R333" s="71" t="s">
        <v>7</v>
      </c>
      <c r="S333" s="71" t="s">
        <v>7</v>
      </c>
      <c r="T333" s="71" t="s">
        <v>7</v>
      </c>
      <c r="U333" s="84"/>
      <c r="V333" s="84"/>
      <c r="W333" s="84"/>
      <c r="X333" s="84"/>
      <c r="Y333" s="84"/>
      <c r="Z333" s="84"/>
      <c r="AA333" s="84"/>
      <c r="AB333" s="84"/>
      <c r="AC333" s="84"/>
      <c r="AD333" s="84"/>
      <c r="AE333" s="84"/>
      <c r="AF333" s="84"/>
      <c r="AG333" s="88"/>
      <c r="AH333" s="24"/>
    </row>
    <row r="334" ht="12.75" customHeight="1">
      <c r="A334" s="46" t="s">
        <v>279</v>
      </c>
      <c r="B334" s="51" t="s">
        <v>51</v>
      </c>
      <c r="C334" s="50">
        <v>1800.0</v>
      </c>
      <c r="D334" s="71" t="s">
        <v>7</v>
      </c>
      <c r="E334" s="71" t="s">
        <v>7</v>
      </c>
      <c r="F334" s="71" t="s">
        <v>7</v>
      </c>
      <c r="G334" s="71" t="s">
        <v>7</v>
      </c>
      <c r="H334" s="71" t="s">
        <v>7</v>
      </c>
      <c r="I334" s="71" t="s">
        <v>7</v>
      </c>
      <c r="J334" s="71" t="s">
        <v>7</v>
      </c>
      <c r="K334" s="71" t="s">
        <v>7</v>
      </c>
      <c r="L334" s="71" t="s">
        <v>7</v>
      </c>
      <c r="M334" s="71" t="s">
        <v>7</v>
      </c>
      <c r="N334" s="71" t="s">
        <v>7</v>
      </c>
      <c r="O334" s="50">
        <v>1334.0</v>
      </c>
      <c r="P334" s="71" t="s">
        <v>7</v>
      </c>
      <c r="Q334" s="71" t="s">
        <v>7</v>
      </c>
      <c r="R334" s="71" t="s">
        <v>7</v>
      </c>
      <c r="S334" s="71" t="s">
        <v>7</v>
      </c>
      <c r="T334" s="71" t="s">
        <v>7</v>
      </c>
      <c r="U334" s="84"/>
      <c r="V334" s="84"/>
      <c r="W334" s="84"/>
      <c r="X334" s="84"/>
      <c r="Y334" s="84"/>
      <c r="Z334" s="84"/>
      <c r="AA334" s="84"/>
      <c r="AB334" s="84"/>
      <c r="AC334" s="84"/>
      <c r="AD334" s="84"/>
      <c r="AE334" s="84"/>
      <c r="AF334" s="84"/>
      <c r="AG334" s="88"/>
      <c r="AH334" s="24"/>
    </row>
    <row r="335" ht="12.75" customHeight="1">
      <c r="A335" s="52" t="s">
        <v>282</v>
      </c>
      <c r="B335" s="58" t="s">
        <v>51</v>
      </c>
      <c r="C335" s="56">
        <v>318.0</v>
      </c>
      <c r="D335" s="256" t="s">
        <v>7</v>
      </c>
      <c r="E335" s="256" t="s">
        <v>7</v>
      </c>
      <c r="F335" s="256" t="s">
        <v>7</v>
      </c>
      <c r="G335" s="256" t="s">
        <v>7</v>
      </c>
      <c r="H335" s="256" t="s">
        <v>7</v>
      </c>
      <c r="I335" s="256" t="s">
        <v>7</v>
      </c>
      <c r="J335" s="256" t="s">
        <v>7</v>
      </c>
      <c r="K335" s="256" t="s">
        <v>7</v>
      </c>
      <c r="L335" s="256" t="s">
        <v>7</v>
      </c>
      <c r="M335" s="256" t="s">
        <v>7</v>
      </c>
      <c r="N335" s="256" t="s">
        <v>7</v>
      </c>
      <c r="O335" s="56">
        <v>351.0</v>
      </c>
      <c r="P335" s="256" t="s">
        <v>7</v>
      </c>
      <c r="Q335" s="256" t="s">
        <v>7</v>
      </c>
      <c r="R335" s="256" t="s">
        <v>7</v>
      </c>
      <c r="S335" s="256" t="s">
        <v>7</v>
      </c>
      <c r="T335" s="256" t="s">
        <v>7</v>
      </c>
      <c r="U335" s="98"/>
      <c r="V335" s="98"/>
      <c r="W335" s="98"/>
      <c r="X335" s="98"/>
      <c r="Y335" s="98"/>
      <c r="Z335" s="98"/>
      <c r="AA335" s="98"/>
      <c r="AB335" s="98"/>
      <c r="AC335" s="98"/>
      <c r="AD335" s="98"/>
      <c r="AE335" s="98"/>
      <c r="AF335" s="98"/>
      <c r="AG335" s="113"/>
      <c r="AH335" s="24"/>
    </row>
    <row r="336" ht="12.75" customHeight="1">
      <c r="A336" s="59" t="s">
        <v>44</v>
      </c>
      <c r="B336" s="60"/>
      <c r="C336" s="278"/>
      <c r="D336" s="65" t="s">
        <v>7</v>
      </c>
      <c r="E336" s="65" t="s">
        <v>7</v>
      </c>
      <c r="F336" s="65" t="s">
        <v>7</v>
      </c>
      <c r="G336" s="65" t="s">
        <v>7</v>
      </c>
      <c r="H336" s="65" t="s">
        <v>7</v>
      </c>
      <c r="I336" s="65" t="s">
        <v>7</v>
      </c>
      <c r="J336" s="65" t="s">
        <v>7</v>
      </c>
      <c r="K336" s="65" t="s">
        <v>7</v>
      </c>
      <c r="L336" s="65" t="s">
        <v>7</v>
      </c>
      <c r="M336" s="65" t="s">
        <v>7</v>
      </c>
      <c r="N336" s="65" t="s">
        <v>7</v>
      </c>
      <c r="O336" s="67">
        <f>SUM(O337:O338)</f>
        <v>7790</v>
      </c>
      <c r="P336" s="65" t="s">
        <v>7</v>
      </c>
      <c r="Q336" s="65" t="s">
        <v>7</v>
      </c>
      <c r="R336" s="65" t="s">
        <v>7</v>
      </c>
      <c r="S336" s="65" t="s">
        <v>7</v>
      </c>
      <c r="T336" s="65" t="s">
        <v>7</v>
      </c>
      <c r="U336" s="65"/>
      <c r="V336" s="65"/>
      <c r="W336" s="65"/>
      <c r="X336" s="65"/>
      <c r="Y336" s="65"/>
      <c r="Z336" s="65"/>
      <c r="AA336" s="65"/>
      <c r="AB336" s="65"/>
      <c r="AC336" s="65"/>
      <c r="AD336" s="65"/>
      <c r="AE336" s="65"/>
      <c r="AF336" s="65"/>
      <c r="AG336" s="69"/>
      <c r="AH336" s="24"/>
    </row>
    <row r="337" ht="12.75" customHeight="1">
      <c r="A337" s="46" t="s">
        <v>48</v>
      </c>
      <c r="B337" s="47"/>
      <c r="C337" s="50">
        <f>((2.92*10^6)*365+(456.25+59.62+383.25+146)*10^6)/325851</f>
        <v>6478.175608</v>
      </c>
      <c r="D337" s="49" t="s">
        <v>7</v>
      </c>
      <c r="E337" s="49" t="s">
        <v>7</v>
      </c>
      <c r="F337" s="49" t="s">
        <v>7</v>
      </c>
      <c r="G337" s="49" t="s">
        <v>7</v>
      </c>
      <c r="H337" s="49" t="s">
        <v>7</v>
      </c>
      <c r="I337" s="49" t="s">
        <v>7</v>
      </c>
      <c r="J337" s="49" t="s">
        <v>7</v>
      </c>
      <c r="K337" s="49" t="s">
        <v>7</v>
      </c>
      <c r="L337" s="49" t="s">
        <v>7</v>
      </c>
      <c r="M337" s="49" t="s">
        <v>7</v>
      </c>
      <c r="N337" s="49" t="s">
        <v>7</v>
      </c>
      <c r="O337" s="50">
        <v>7790.0</v>
      </c>
      <c r="P337" s="49" t="s">
        <v>7</v>
      </c>
      <c r="Q337" s="49" t="s">
        <v>7</v>
      </c>
      <c r="R337" s="49" t="s">
        <v>7</v>
      </c>
      <c r="S337" s="49" t="s">
        <v>7</v>
      </c>
      <c r="T337" s="49" t="s">
        <v>7</v>
      </c>
      <c r="U337" s="49"/>
      <c r="V337" s="49"/>
      <c r="W337" s="49"/>
      <c r="X337" s="49"/>
      <c r="Y337" s="49"/>
      <c r="Z337" s="49"/>
      <c r="AA337" s="49"/>
      <c r="AB337" s="49"/>
      <c r="AC337" s="49"/>
      <c r="AD337" s="49"/>
      <c r="AE337" s="49"/>
      <c r="AF337" s="49"/>
      <c r="AG337" s="51"/>
      <c r="AH337" s="24"/>
    </row>
    <row r="338" ht="12.75" customHeight="1">
      <c r="A338" s="74" t="s">
        <v>49</v>
      </c>
      <c r="B338" s="75"/>
      <c r="C338" s="196">
        <v>0.0</v>
      </c>
      <c r="D338" s="77" t="s">
        <v>7</v>
      </c>
      <c r="E338" s="77" t="s">
        <v>7</v>
      </c>
      <c r="F338" s="77" t="s">
        <v>7</v>
      </c>
      <c r="G338" s="77" t="s">
        <v>7</v>
      </c>
      <c r="H338" s="77" t="s">
        <v>7</v>
      </c>
      <c r="I338" s="77" t="s">
        <v>7</v>
      </c>
      <c r="J338" s="77" t="s">
        <v>7</v>
      </c>
      <c r="K338" s="77" t="s">
        <v>7</v>
      </c>
      <c r="L338" s="77" t="s">
        <v>7</v>
      </c>
      <c r="M338" s="77" t="s">
        <v>7</v>
      </c>
      <c r="N338" s="77" t="s">
        <v>7</v>
      </c>
      <c r="O338" s="196">
        <v>0.0</v>
      </c>
      <c r="P338" s="77" t="s">
        <v>7</v>
      </c>
      <c r="Q338" s="77" t="s">
        <v>7</v>
      </c>
      <c r="R338" s="77" t="s">
        <v>7</v>
      </c>
      <c r="S338" s="77" t="s">
        <v>7</v>
      </c>
      <c r="T338" s="77" t="s">
        <v>7</v>
      </c>
      <c r="U338" s="77"/>
      <c r="V338" s="77"/>
      <c r="W338" s="77"/>
      <c r="X338" s="77"/>
      <c r="Y338" s="77"/>
      <c r="Z338" s="77"/>
      <c r="AA338" s="77"/>
      <c r="AB338" s="77"/>
      <c r="AC338" s="77"/>
      <c r="AD338" s="77"/>
      <c r="AE338" s="77"/>
      <c r="AF338" s="77"/>
      <c r="AG338" s="81"/>
      <c r="AH338" s="24"/>
    </row>
    <row r="339" ht="12.75" customHeight="1">
      <c r="A339" s="164" t="s">
        <v>50</v>
      </c>
      <c r="B339" s="170"/>
      <c r="C339" s="197">
        <f t="shared" ref="C339:AG339" si="62">SUM(C340:C344)</f>
        <v>12192</v>
      </c>
      <c r="D339" s="197">
        <f t="shared" si="62"/>
        <v>12315</v>
      </c>
      <c r="E339" s="197">
        <f t="shared" si="62"/>
        <v>12417</v>
      </c>
      <c r="F339" s="197">
        <f t="shared" si="62"/>
        <v>12565</v>
      </c>
      <c r="G339" s="197">
        <f t="shared" si="62"/>
        <v>12831</v>
      </c>
      <c r="H339" s="197">
        <f t="shared" si="62"/>
        <v>12978</v>
      </c>
      <c r="I339" s="197">
        <f t="shared" si="62"/>
        <v>13262</v>
      </c>
      <c r="J339" s="197">
        <f t="shared" si="62"/>
        <v>13595</v>
      </c>
      <c r="K339" s="197">
        <f t="shared" si="62"/>
        <v>13962</v>
      </c>
      <c r="L339" s="197">
        <f t="shared" si="62"/>
        <v>14165</v>
      </c>
      <c r="M339" s="197">
        <f t="shared" si="62"/>
        <v>14217</v>
      </c>
      <c r="N339" s="197">
        <f t="shared" si="62"/>
        <v>14293</v>
      </c>
      <c r="O339" s="197">
        <f t="shared" si="62"/>
        <v>14426</v>
      </c>
      <c r="P339" s="197">
        <f t="shared" si="62"/>
        <v>14809</v>
      </c>
      <c r="Q339" s="197">
        <f t="shared" si="62"/>
        <v>15096</v>
      </c>
      <c r="R339" s="197">
        <f t="shared" si="62"/>
        <v>15201</v>
      </c>
      <c r="S339" s="197">
        <f t="shared" si="62"/>
        <v>15320</v>
      </c>
      <c r="T339" s="197">
        <f t="shared" si="62"/>
        <v>15366</v>
      </c>
      <c r="U339" s="197">
        <f t="shared" si="62"/>
        <v>15293</v>
      </c>
      <c r="V339" s="197">
        <f t="shared" si="62"/>
        <v>0</v>
      </c>
      <c r="W339" s="197">
        <f t="shared" si="62"/>
        <v>0</v>
      </c>
      <c r="X339" s="197">
        <f t="shared" si="62"/>
        <v>0</v>
      </c>
      <c r="Y339" s="197">
        <f t="shared" si="62"/>
        <v>0</v>
      </c>
      <c r="Z339" s="197">
        <f t="shared" si="62"/>
        <v>0</v>
      </c>
      <c r="AA339" s="197">
        <f t="shared" si="62"/>
        <v>0</v>
      </c>
      <c r="AB339" s="197">
        <f t="shared" si="62"/>
        <v>0</v>
      </c>
      <c r="AC339" s="197">
        <f t="shared" si="62"/>
        <v>0</v>
      </c>
      <c r="AD339" s="197">
        <f t="shared" si="62"/>
        <v>0</v>
      </c>
      <c r="AE339" s="197">
        <f t="shared" si="62"/>
        <v>0</v>
      </c>
      <c r="AF339" s="197">
        <f t="shared" si="62"/>
        <v>0</v>
      </c>
      <c r="AG339" s="199">
        <f t="shared" si="62"/>
        <v>0</v>
      </c>
      <c r="AH339" s="24"/>
    </row>
    <row r="340" ht="12.75" customHeight="1">
      <c r="A340" s="46" t="s">
        <v>240</v>
      </c>
      <c r="B340" s="51" t="s">
        <v>51</v>
      </c>
      <c r="C340" s="84">
        <f>VLOOKUP($A340,'US Census Population Estimates'!$A$20:$AG$266,C$93,FALSE)</f>
        <v>1855</v>
      </c>
      <c r="D340" s="84">
        <f>VLOOKUP($A340,'US Census Population Estimates'!$A$20:$AG$266,D$93,FALSE)</f>
        <v>1826</v>
      </c>
      <c r="E340" s="84">
        <f>VLOOKUP($A340,'US Census Population Estimates'!$A$20:$AG$266,E$93,FALSE)</f>
        <v>1809</v>
      </c>
      <c r="F340" s="84">
        <f>VLOOKUP($A340,'US Census Population Estimates'!$A$20:$AG$266,F$93,FALSE)</f>
        <v>1803</v>
      </c>
      <c r="G340" s="84">
        <f>VLOOKUP($A340,'US Census Population Estimates'!$A$20:$AG$266,G$93,FALSE)</f>
        <v>1818</v>
      </c>
      <c r="H340" s="84">
        <f>VLOOKUP($A340,'US Census Population Estimates'!$A$20:$AG$266,H$93,FALSE)</f>
        <v>1827</v>
      </c>
      <c r="I340" s="84">
        <f>VLOOKUP($A340,'US Census Population Estimates'!$A$20:$AG$266,I$93,FALSE)</f>
        <v>1852</v>
      </c>
      <c r="J340" s="84">
        <f>VLOOKUP($A340,'US Census Population Estimates'!$A$20:$AG$266,J$93,FALSE)</f>
        <v>1884</v>
      </c>
      <c r="K340" s="84">
        <f>VLOOKUP($A340,'US Census Population Estimates'!$A$20:$AG$266,K$93,FALSE)</f>
        <v>1917</v>
      </c>
      <c r="L340" s="84">
        <f>VLOOKUP($A340,'US Census Population Estimates'!$A$20:$AG$266,L$93,FALSE)</f>
        <v>1933</v>
      </c>
      <c r="M340" s="84">
        <f>VLOOKUP($A340,'US Census Population Estimates'!$A$20:$AG$266,M$93,FALSE)</f>
        <v>1918</v>
      </c>
      <c r="N340" s="84">
        <f>VLOOKUP($A340,'US Census Population Estimates'!$A$20:$AG$266,N$93,FALSE)</f>
        <v>1910</v>
      </c>
      <c r="O340" s="84">
        <f>VLOOKUP($A340,'US Census Population Estimates'!$A$20:$AG$266,O$93,FALSE)</f>
        <v>1906</v>
      </c>
      <c r="P340" s="84">
        <f>VLOOKUP($A340,'US Census Population Estimates'!$A$20:$AG$266,P$93,FALSE)</f>
        <v>1941</v>
      </c>
      <c r="Q340" s="84">
        <f>VLOOKUP($A340,'US Census Population Estimates'!$A$20:$AG$266,Q$93,FALSE)</f>
        <v>1963</v>
      </c>
      <c r="R340" s="84">
        <f>VLOOKUP($A340,'US Census Population Estimates'!$A$20:$AG$266,R$93,FALSE)</f>
        <v>1969</v>
      </c>
      <c r="S340" s="84">
        <f>VLOOKUP($A340,'US Census Population Estimates'!$A$20:$AG$266,S$93,FALSE)</f>
        <v>1986</v>
      </c>
      <c r="T340" s="84">
        <f>VLOOKUP($A340,'US Census Population Estimates'!$A$20:$AG$266,T$93,FALSE)</f>
        <v>2005</v>
      </c>
      <c r="U340" s="84">
        <f>VLOOKUP($A340,'US Census Population Estimates'!$A$20:$AG$266,U$93,FALSE)</f>
        <v>2006</v>
      </c>
      <c r="V340" s="84" t="str">
        <f>VLOOKUP($A340,'US Census Population Estimates'!$A$20:$AG$266,V$93,FALSE)</f>
        <v/>
      </c>
      <c r="W340" s="84" t="str">
        <f>VLOOKUP($A340,'US Census Population Estimates'!$A$20:$AG$266,W$93,FALSE)</f>
        <v/>
      </c>
      <c r="X340" s="84" t="str">
        <f>VLOOKUP($A340,'US Census Population Estimates'!$A$20:$AG$266,X$93,FALSE)</f>
        <v/>
      </c>
      <c r="Y340" s="84" t="str">
        <f>VLOOKUP($A340,'US Census Population Estimates'!$A$20:$AG$266,Y$93,FALSE)</f>
        <v/>
      </c>
      <c r="Z340" s="84" t="str">
        <f>VLOOKUP($A340,'US Census Population Estimates'!$A$20:$AG$266,Z$93,FALSE)</f>
        <v/>
      </c>
      <c r="AA340" s="84" t="str">
        <f>VLOOKUP($A340,'US Census Population Estimates'!$A$20:$AG$266,AA$93,FALSE)</f>
        <v/>
      </c>
      <c r="AB340" s="84" t="str">
        <f>VLOOKUP($A340,'US Census Population Estimates'!$A$20:$AG$266,AB$93,FALSE)</f>
        <v/>
      </c>
      <c r="AC340" s="84" t="str">
        <f>VLOOKUP($A340,'US Census Population Estimates'!$A$20:$AG$266,AC$93,FALSE)</f>
        <v/>
      </c>
      <c r="AD340" s="84" t="str">
        <f>VLOOKUP($A340,'US Census Population Estimates'!$A$20:$AG$266,AD$93,FALSE)</f>
        <v/>
      </c>
      <c r="AE340" s="84" t="str">
        <f>VLOOKUP($A340,'US Census Population Estimates'!$A$20:$AG$266,AE$93,FALSE)</f>
        <v/>
      </c>
      <c r="AF340" s="84" t="str">
        <f>VLOOKUP($A340,'US Census Population Estimates'!$A$20:$AG$266,AF$93,FALSE)</f>
        <v/>
      </c>
      <c r="AG340" s="88" t="str">
        <f>VLOOKUP($A340,'US Census Population Estimates'!$A$20:$AG$266,AG$93,FALSE)</f>
        <v/>
      </c>
      <c r="AH340" s="24"/>
    </row>
    <row r="341" ht="12.75" customHeight="1">
      <c r="A341" s="46" t="s">
        <v>243</v>
      </c>
      <c r="B341" s="51" t="s">
        <v>51</v>
      </c>
      <c r="C341" s="84">
        <f>VLOOKUP($A341,'US Census Population Estimates'!$A$20:$AG$266,C$93,FALSE)</f>
        <v>562</v>
      </c>
      <c r="D341" s="84">
        <f>VLOOKUP($A341,'US Census Population Estimates'!$A$20:$AG$266,D$93,FALSE)</f>
        <v>578</v>
      </c>
      <c r="E341" s="84">
        <f>VLOOKUP($A341,'US Census Population Estimates'!$A$20:$AG$266,E$93,FALSE)</f>
        <v>597</v>
      </c>
      <c r="F341" s="84">
        <f>VLOOKUP($A341,'US Census Population Estimates'!$A$20:$AG$266,F$93,FALSE)</f>
        <v>620</v>
      </c>
      <c r="G341" s="84">
        <f>VLOOKUP($A341,'US Census Population Estimates'!$A$20:$AG$266,G$93,FALSE)</f>
        <v>649</v>
      </c>
      <c r="H341" s="84">
        <f>VLOOKUP($A341,'US Census Population Estimates'!$A$20:$AG$266,H$93,FALSE)</f>
        <v>677</v>
      </c>
      <c r="I341" s="84">
        <f>VLOOKUP($A341,'US Census Population Estimates'!$A$20:$AG$266,I$93,FALSE)</f>
        <v>711</v>
      </c>
      <c r="J341" s="84">
        <f>VLOOKUP($A341,'US Census Population Estimates'!$A$20:$AG$266,J$93,FALSE)</f>
        <v>748</v>
      </c>
      <c r="K341" s="84">
        <f>VLOOKUP($A341,'US Census Population Estimates'!$A$20:$AG$266,K$93,FALSE)</f>
        <v>787</v>
      </c>
      <c r="L341" s="84">
        <f>VLOOKUP($A341,'US Census Population Estimates'!$A$20:$AG$266,L$93,FALSE)</f>
        <v>818</v>
      </c>
      <c r="M341" s="84">
        <f>VLOOKUP($A341,'US Census Population Estimates'!$A$20:$AG$266,M$93,FALSE)</f>
        <v>826</v>
      </c>
      <c r="N341" s="84">
        <f>VLOOKUP($A341,'US Census Population Estimates'!$A$20:$AG$266,N$93,FALSE)</f>
        <v>821</v>
      </c>
      <c r="O341" s="84">
        <f>VLOOKUP($A341,'US Census Population Estimates'!$A$20:$AG$266,O$93,FALSE)</f>
        <v>814</v>
      </c>
      <c r="P341" s="84">
        <f>VLOOKUP($A341,'US Census Population Estimates'!$A$20:$AG$266,P$93,FALSE)</f>
        <v>828</v>
      </c>
      <c r="Q341" s="84">
        <f>VLOOKUP($A341,'US Census Population Estimates'!$A$20:$AG$266,Q$93,FALSE)</f>
        <v>837</v>
      </c>
      <c r="R341" s="84">
        <f>VLOOKUP($A341,'US Census Population Estimates'!$A$20:$AG$266,R$93,FALSE)</f>
        <v>842</v>
      </c>
      <c r="S341" s="84">
        <f>VLOOKUP($A341,'US Census Population Estimates'!$A$20:$AG$266,S$93,FALSE)</f>
        <v>855</v>
      </c>
      <c r="T341" s="84">
        <f>VLOOKUP($A341,'US Census Population Estimates'!$A$20:$AG$266,T$93,FALSE)</f>
        <v>866</v>
      </c>
      <c r="U341" s="84">
        <f>VLOOKUP($A341,'US Census Population Estimates'!$A$20:$AG$266,U$93,FALSE)</f>
        <v>878</v>
      </c>
      <c r="V341" s="84" t="str">
        <f>VLOOKUP($A341,'US Census Population Estimates'!$A$20:$AG$266,V$93,FALSE)</f>
        <v/>
      </c>
      <c r="W341" s="84" t="str">
        <f>VLOOKUP($A341,'US Census Population Estimates'!$A$20:$AG$266,W$93,FALSE)</f>
        <v/>
      </c>
      <c r="X341" s="84" t="str">
        <f>VLOOKUP($A341,'US Census Population Estimates'!$A$20:$AG$266,X$93,FALSE)</f>
        <v/>
      </c>
      <c r="Y341" s="84" t="str">
        <f>VLOOKUP($A341,'US Census Population Estimates'!$A$20:$AG$266,Y$93,FALSE)</f>
        <v/>
      </c>
      <c r="Z341" s="84" t="str">
        <f>VLOOKUP($A341,'US Census Population Estimates'!$A$20:$AG$266,Z$93,FALSE)</f>
        <v/>
      </c>
      <c r="AA341" s="84" t="str">
        <f>VLOOKUP($A341,'US Census Population Estimates'!$A$20:$AG$266,AA$93,FALSE)</f>
        <v/>
      </c>
      <c r="AB341" s="84" t="str">
        <f>VLOOKUP($A341,'US Census Population Estimates'!$A$20:$AG$266,AB$93,FALSE)</f>
        <v/>
      </c>
      <c r="AC341" s="84" t="str">
        <f>VLOOKUP($A341,'US Census Population Estimates'!$A$20:$AG$266,AC$93,FALSE)</f>
        <v/>
      </c>
      <c r="AD341" s="84" t="str">
        <f>VLOOKUP($A341,'US Census Population Estimates'!$A$20:$AG$266,AD$93,FALSE)</f>
        <v/>
      </c>
      <c r="AE341" s="84" t="str">
        <f>VLOOKUP($A341,'US Census Population Estimates'!$A$20:$AG$266,AE$93,FALSE)</f>
        <v/>
      </c>
      <c r="AF341" s="84" t="str">
        <f>VLOOKUP($A341,'US Census Population Estimates'!$A$20:$AG$266,AF$93,FALSE)</f>
        <v/>
      </c>
      <c r="AG341" s="88" t="str">
        <f>VLOOKUP($A341,'US Census Population Estimates'!$A$20:$AG$266,AG$93,FALSE)</f>
        <v/>
      </c>
      <c r="AH341" s="24"/>
    </row>
    <row r="342" ht="12.75" customHeight="1">
      <c r="A342" s="46" t="s">
        <v>261</v>
      </c>
      <c r="B342" s="51" t="s">
        <v>51</v>
      </c>
      <c r="C342" s="84">
        <f>VLOOKUP($A342,'US Census Population Estimates'!$A$20:$AG$266,C$93,FALSE)</f>
        <v>8737</v>
      </c>
      <c r="D342" s="84">
        <f>VLOOKUP($A342,'US Census Population Estimates'!$A$20:$AG$266,D$93,FALSE)</f>
        <v>8810</v>
      </c>
      <c r="E342" s="84">
        <f>VLOOKUP($A342,'US Census Population Estimates'!$A$20:$AG$266,E$93,FALSE)</f>
        <v>8842</v>
      </c>
      <c r="F342" s="84">
        <f>VLOOKUP($A342,'US Census Population Estimates'!$A$20:$AG$266,F$93,FALSE)</f>
        <v>8897</v>
      </c>
      <c r="G342" s="84">
        <f>VLOOKUP($A342,'US Census Population Estimates'!$A$20:$AG$266,G$93,FALSE)</f>
        <v>9030</v>
      </c>
      <c r="H342" s="84">
        <f>VLOOKUP($A342,'US Census Population Estimates'!$A$20:$AG$266,H$93,FALSE)</f>
        <v>9055</v>
      </c>
      <c r="I342" s="84">
        <f>VLOOKUP($A342,'US Census Population Estimates'!$A$20:$AG$266,I$93,FALSE)</f>
        <v>9181</v>
      </c>
      <c r="J342" s="84">
        <f>VLOOKUP($A342,'US Census Population Estimates'!$A$20:$AG$266,J$93,FALSE)</f>
        <v>9340</v>
      </c>
      <c r="K342" s="84">
        <f>VLOOKUP($A342,'US Census Population Estimates'!$A$20:$AG$266,K$93,FALSE)</f>
        <v>9524</v>
      </c>
      <c r="L342" s="84">
        <f>VLOOKUP($A342,'US Census Population Estimates'!$A$20:$AG$266,L$93,FALSE)</f>
        <v>9585</v>
      </c>
      <c r="M342" s="84">
        <f>VLOOKUP($A342,'US Census Population Estimates'!$A$20:$AG$266,M$93,FALSE)</f>
        <v>9609</v>
      </c>
      <c r="N342" s="84">
        <f>VLOOKUP($A342,'US Census Population Estimates'!$A$20:$AG$266,N$93,FALSE)</f>
        <v>9707</v>
      </c>
      <c r="O342" s="84">
        <f>VLOOKUP($A342,'US Census Population Estimates'!$A$20:$AG$266,O$93,FALSE)</f>
        <v>9857</v>
      </c>
      <c r="P342" s="84">
        <f>VLOOKUP($A342,'US Census Population Estimates'!$A$20:$AG$266,P$93,FALSE)</f>
        <v>10154</v>
      </c>
      <c r="Q342" s="84">
        <f>VLOOKUP($A342,'US Census Population Estimates'!$A$20:$AG$266,Q$93,FALSE)</f>
        <v>10388</v>
      </c>
      <c r="R342" s="84">
        <f>VLOOKUP($A342,'US Census Population Estimates'!$A$20:$AG$266,R$93,FALSE)</f>
        <v>10473</v>
      </c>
      <c r="S342" s="84">
        <f>VLOOKUP($A342,'US Census Population Estimates'!$A$20:$AG$266,S$93,FALSE)</f>
        <v>10539</v>
      </c>
      <c r="T342" s="84">
        <f>VLOOKUP($A342,'US Census Population Estimates'!$A$20:$AG$266,T$93,FALSE)</f>
        <v>10532</v>
      </c>
      <c r="U342" s="84">
        <f>VLOOKUP($A342,'US Census Population Estimates'!$A$20:$AG$266,U$93,FALSE)</f>
        <v>10429</v>
      </c>
      <c r="V342" s="84" t="str">
        <f>VLOOKUP($A342,'US Census Population Estimates'!$A$20:$AG$266,V$93,FALSE)</f>
        <v/>
      </c>
      <c r="W342" s="84" t="str">
        <f>VLOOKUP($A342,'US Census Population Estimates'!$A$20:$AG$266,W$93,FALSE)</f>
        <v/>
      </c>
      <c r="X342" s="84" t="str">
        <f>VLOOKUP($A342,'US Census Population Estimates'!$A$20:$AG$266,X$93,FALSE)</f>
        <v/>
      </c>
      <c r="Y342" s="84" t="str">
        <f>VLOOKUP($A342,'US Census Population Estimates'!$A$20:$AG$266,Y$93,FALSE)</f>
        <v/>
      </c>
      <c r="Z342" s="84" t="str">
        <f>VLOOKUP($A342,'US Census Population Estimates'!$A$20:$AG$266,Z$93,FALSE)</f>
        <v/>
      </c>
      <c r="AA342" s="84" t="str">
        <f>VLOOKUP($A342,'US Census Population Estimates'!$A$20:$AG$266,AA$93,FALSE)</f>
        <v/>
      </c>
      <c r="AB342" s="84" t="str">
        <f>VLOOKUP($A342,'US Census Population Estimates'!$A$20:$AG$266,AB$93,FALSE)</f>
        <v/>
      </c>
      <c r="AC342" s="84" t="str">
        <f>VLOOKUP($A342,'US Census Population Estimates'!$A$20:$AG$266,AC$93,FALSE)</f>
        <v/>
      </c>
      <c r="AD342" s="84" t="str">
        <f>VLOOKUP($A342,'US Census Population Estimates'!$A$20:$AG$266,AD$93,FALSE)</f>
        <v/>
      </c>
      <c r="AE342" s="84" t="str">
        <f>VLOOKUP($A342,'US Census Population Estimates'!$A$20:$AG$266,AE$93,FALSE)</f>
        <v/>
      </c>
      <c r="AF342" s="84" t="str">
        <f>VLOOKUP($A342,'US Census Population Estimates'!$A$20:$AG$266,AF$93,FALSE)</f>
        <v/>
      </c>
      <c r="AG342" s="88" t="str">
        <f>VLOOKUP($A342,'US Census Population Estimates'!$A$20:$AG$266,AG$93,FALSE)</f>
        <v/>
      </c>
      <c r="AH342" s="24"/>
    </row>
    <row r="343" ht="12.75" customHeight="1">
      <c r="A343" s="46" t="s">
        <v>279</v>
      </c>
      <c r="B343" s="51" t="s">
        <v>51</v>
      </c>
      <c r="C343" s="84">
        <f>VLOOKUP($A343,'US Census Population Estimates'!$A$20:$AG$266,C$93,FALSE)</f>
        <v>690</v>
      </c>
      <c r="D343" s="84">
        <f>VLOOKUP($A343,'US Census Population Estimates'!$A$20:$AG$266,D$93,FALSE)</f>
        <v>758</v>
      </c>
      <c r="E343" s="84">
        <f>VLOOKUP($A343,'US Census Population Estimates'!$A$20:$AG$266,E$93,FALSE)</f>
        <v>829</v>
      </c>
      <c r="F343" s="84">
        <f>VLOOKUP($A343,'US Census Population Estimates'!$A$20:$AG$266,F$93,FALSE)</f>
        <v>905</v>
      </c>
      <c r="G343" s="84">
        <f>VLOOKUP($A343,'US Census Population Estimates'!$A$20:$AG$266,G$93,FALSE)</f>
        <v>990</v>
      </c>
      <c r="H343" s="84">
        <f>VLOOKUP($A343,'US Census Population Estimates'!$A$20:$AG$266,H$93,FALSE)</f>
        <v>1073</v>
      </c>
      <c r="I343" s="84">
        <f>VLOOKUP($A343,'US Census Population Estimates'!$A$20:$AG$266,I$93,FALSE)</f>
        <v>1166</v>
      </c>
      <c r="J343" s="84">
        <f>VLOOKUP($A343,'US Census Population Estimates'!$A$20:$AG$266,J$93,FALSE)</f>
        <v>1265</v>
      </c>
      <c r="K343" s="84">
        <f>VLOOKUP($A343,'US Census Population Estimates'!$A$20:$AG$266,K$93,FALSE)</f>
        <v>1368</v>
      </c>
      <c r="L343" s="84">
        <f>VLOOKUP($A343,'US Census Population Estimates'!$A$20:$AG$266,L$93,FALSE)</f>
        <v>1460</v>
      </c>
      <c r="M343" s="84">
        <f>VLOOKUP($A343,'US Census Population Estimates'!$A$20:$AG$266,M$93,FALSE)</f>
        <v>1499</v>
      </c>
      <c r="N343" s="84">
        <f>VLOOKUP($A343,'US Census Population Estimates'!$A$20:$AG$266,N$93,FALSE)</f>
        <v>1492</v>
      </c>
      <c r="O343" s="84">
        <f>VLOOKUP($A343,'US Census Population Estimates'!$A$20:$AG$266,O$93,FALSE)</f>
        <v>1488</v>
      </c>
      <c r="P343" s="84">
        <f>VLOOKUP($A343,'US Census Population Estimates'!$A$20:$AG$266,P$93,FALSE)</f>
        <v>1519</v>
      </c>
      <c r="Q343" s="84">
        <f>VLOOKUP($A343,'US Census Population Estimates'!$A$20:$AG$266,Q$93,FALSE)</f>
        <v>1538</v>
      </c>
      <c r="R343" s="84">
        <f>VLOOKUP($A343,'US Census Population Estimates'!$A$20:$AG$266,R$93,FALSE)</f>
        <v>1546</v>
      </c>
      <c r="S343" s="84">
        <f>VLOOKUP($A343,'US Census Population Estimates'!$A$20:$AG$266,S$93,FALSE)</f>
        <v>1564</v>
      </c>
      <c r="T343" s="84">
        <f>VLOOKUP($A343,'US Census Population Estimates'!$A$20:$AG$266,T$93,FALSE)</f>
        <v>1581</v>
      </c>
      <c r="U343" s="84">
        <f>VLOOKUP($A343,'US Census Population Estimates'!$A$20:$AG$266,U$93,FALSE)</f>
        <v>1597</v>
      </c>
      <c r="V343" s="84" t="str">
        <f>VLOOKUP($A343,'US Census Population Estimates'!$A$20:$AG$266,V$93,FALSE)</f>
        <v/>
      </c>
      <c r="W343" s="84" t="str">
        <f>VLOOKUP($A343,'US Census Population Estimates'!$A$20:$AG$266,W$93,FALSE)</f>
        <v/>
      </c>
      <c r="X343" s="84" t="str">
        <f>VLOOKUP($A343,'US Census Population Estimates'!$A$20:$AG$266,X$93,FALSE)</f>
        <v/>
      </c>
      <c r="Y343" s="84" t="str">
        <f>VLOOKUP($A343,'US Census Population Estimates'!$A$20:$AG$266,Y$93,FALSE)</f>
        <v/>
      </c>
      <c r="Z343" s="84" t="str">
        <f>VLOOKUP($A343,'US Census Population Estimates'!$A$20:$AG$266,Z$93,FALSE)</f>
        <v/>
      </c>
      <c r="AA343" s="84" t="str">
        <f>VLOOKUP($A343,'US Census Population Estimates'!$A$20:$AG$266,AA$93,FALSE)</f>
        <v/>
      </c>
      <c r="AB343" s="84" t="str">
        <f>VLOOKUP($A343,'US Census Population Estimates'!$A$20:$AG$266,AB$93,FALSE)</f>
        <v/>
      </c>
      <c r="AC343" s="84" t="str">
        <f>VLOOKUP($A343,'US Census Population Estimates'!$A$20:$AG$266,AC$93,FALSE)</f>
        <v/>
      </c>
      <c r="AD343" s="84" t="str">
        <f>VLOOKUP($A343,'US Census Population Estimates'!$A$20:$AG$266,AD$93,FALSE)</f>
        <v/>
      </c>
      <c r="AE343" s="84" t="str">
        <f>VLOOKUP($A343,'US Census Population Estimates'!$A$20:$AG$266,AE$93,FALSE)</f>
        <v/>
      </c>
      <c r="AF343" s="84" t="str">
        <f>VLOOKUP($A343,'US Census Population Estimates'!$A$20:$AG$266,AF$93,FALSE)</f>
        <v/>
      </c>
      <c r="AG343" s="88" t="str">
        <f>VLOOKUP($A343,'US Census Population Estimates'!$A$20:$AG$266,AG$93,FALSE)</f>
        <v/>
      </c>
      <c r="AH343" s="24"/>
    </row>
    <row r="344" ht="12.75" customHeight="1">
      <c r="A344" s="52" t="s">
        <v>282</v>
      </c>
      <c r="B344" s="58" t="s">
        <v>51</v>
      </c>
      <c r="C344" s="98">
        <f>VLOOKUP($A344,'US Census Population Estimates'!$A$20:$AG$266,C$93,FALSE)</f>
        <v>348</v>
      </c>
      <c r="D344" s="98">
        <f>VLOOKUP($A344,'US Census Population Estimates'!$A$20:$AG$266,D$93,FALSE)</f>
        <v>343</v>
      </c>
      <c r="E344" s="98">
        <f>VLOOKUP($A344,'US Census Population Estimates'!$A$20:$AG$266,E$93,FALSE)</f>
        <v>340</v>
      </c>
      <c r="F344" s="98">
        <f>VLOOKUP($A344,'US Census Population Estimates'!$A$20:$AG$266,F$93,FALSE)</f>
        <v>340</v>
      </c>
      <c r="G344" s="98">
        <f>VLOOKUP($A344,'US Census Population Estimates'!$A$20:$AG$266,G$93,FALSE)</f>
        <v>344</v>
      </c>
      <c r="H344" s="98">
        <f>VLOOKUP($A344,'US Census Population Estimates'!$A$20:$AG$266,H$93,FALSE)</f>
        <v>346</v>
      </c>
      <c r="I344" s="98">
        <f>VLOOKUP($A344,'US Census Population Estimates'!$A$20:$AG$266,I$93,FALSE)</f>
        <v>352</v>
      </c>
      <c r="J344" s="98">
        <f>VLOOKUP($A344,'US Census Population Estimates'!$A$20:$AG$266,J$93,FALSE)</f>
        <v>358</v>
      </c>
      <c r="K344" s="98">
        <f>VLOOKUP($A344,'US Census Population Estimates'!$A$20:$AG$266,K$93,FALSE)</f>
        <v>366</v>
      </c>
      <c r="L344" s="98">
        <f>VLOOKUP($A344,'US Census Population Estimates'!$A$20:$AG$266,L$93,FALSE)</f>
        <v>369</v>
      </c>
      <c r="M344" s="98">
        <f>VLOOKUP($A344,'US Census Population Estimates'!$A$20:$AG$266,M$93,FALSE)</f>
        <v>365</v>
      </c>
      <c r="N344" s="98">
        <f>VLOOKUP($A344,'US Census Population Estimates'!$A$20:$AG$266,N$93,FALSE)</f>
        <v>363</v>
      </c>
      <c r="O344" s="98">
        <f>VLOOKUP($A344,'US Census Population Estimates'!$A$20:$AG$266,O$93,FALSE)</f>
        <v>361</v>
      </c>
      <c r="P344" s="98">
        <f>VLOOKUP($A344,'US Census Population Estimates'!$A$20:$AG$266,P$93,FALSE)</f>
        <v>367</v>
      </c>
      <c r="Q344" s="98">
        <f>VLOOKUP($A344,'US Census Population Estimates'!$A$20:$AG$266,Q$93,FALSE)</f>
        <v>370</v>
      </c>
      <c r="R344" s="98">
        <f>VLOOKUP($A344,'US Census Population Estimates'!$A$20:$AG$266,R$93,FALSE)</f>
        <v>371</v>
      </c>
      <c r="S344" s="98">
        <f>VLOOKUP($A344,'US Census Population Estimates'!$A$20:$AG$266,S$93,FALSE)</f>
        <v>376</v>
      </c>
      <c r="T344" s="98">
        <f>VLOOKUP($A344,'US Census Population Estimates'!$A$20:$AG$266,T$93,FALSE)</f>
        <v>382</v>
      </c>
      <c r="U344" s="98">
        <f>VLOOKUP($A344,'US Census Population Estimates'!$A$20:$AG$266,U$93,FALSE)</f>
        <v>383</v>
      </c>
      <c r="V344" s="98" t="str">
        <f>VLOOKUP($A344,'US Census Population Estimates'!$A$20:$AG$266,V$93,FALSE)</f>
        <v/>
      </c>
      <c r="W344" s="98" t="str">
        <f>VLOOKUP($A344,'US Census Population Estimates'!$A$20:$AG$266,W$93,FALSE)</f>
        <v/>
      </c>
      <c r="X344" s="98" t="str">
        <f>VLOOKUP($A344,'US Census Population Estimates'!$A$20:$AG$266,X$93,FALSE)</f>
        <v/>
      </c>
      <c r="Y344" s="98" t="str">
        <f>VLOOKUP($A344,'US Census Population Estimates'!$A$20:$AG$266,Y$93,FALSE)</f>
        <v/>
      </c>
      <c r="Z344" s="98" t="str">
        <f>VLOOKUP($A344,'US Census Population Estimates'!$A$20:$AG$266,Z$93,FALSE)</f>
        <v/>
      </c>
      <c r="AA344" s="98" t="str">
        <f>VLOOKUP($A344,'US Census Population Estimates'!$A$20:$AG$266,AA$93,FALSE)</f>
        <v/>
      </c>
      <c r="AB344" s="98" t="str">
        <f>VLOOKUP($A344,'US Census Population Estimates'!$A$20:$AG$266,AB$93,FALSE)</f>
        <v/>
      </c>
      <c r="AC344" s="98" t="str">
        <f>VLOOKUP($A344,'US Census Population Estimates'!$A$20:$AG$266,AC$93,FALSE)</f>
        <v/>
      </c>
      <c r="AD344" s="98" t="str">
        <f>VLOOKUP($A344,'US Census Population Estimates'!$A$20:$AG$266,AD$93,FALSE)</f>
        <v/>
      </c>
      <c r="AE344" s="98" t="str">
        <f>VLOOKUP($A344,'US Census Population Estimates'!$A$20:$AG$266,AE$93,FALSE)</f>
        <v/>
      </c>
      <c r="AF344" s="98" t="str">
        <f>VLOOKUP($A344,'US Census Population Estimates'!$A$20:$AG$266,AF$93,FALSE)</f>
        <v/>
      </c>
      <c r="AG344" s="113" t="str">
        <f>VLOOKUP($A344,'US Census Population Estimates'!$A$20:$AG$266,AG$93,FALSE)</f>
        <v/>
      </c>
      <c r="AH344" s="24"/>
    </row>
    <row r="345" ht="12.75" customHeight="1">
      <c r="A345" s="59" t="s">
        <v>61</v>
      </c>
      <c r="B345" s="60"/>
      <c r="C345" s="115">
        <f t="shared" ref="C345:D345" si="63">C346+C347</f>
        <v>6478.175608</v>
      </c>
      <c r="D345" s="115">
        <f t="shared" si="63"/>
        <v>6543.531218</v>
      </c>
      <c r="E345" s="115">
        <f>C346+E347</f>
        <v>6478.175608</v>
      </c>
      <c r="F345" s="115">
        <f t="shared" ref="F345:T345" si="64">F346+F347</f>
        <v>6676.367824</v>
      </c>
      <c r="G345" s="115">
        <f t="shared" si="64"/>
        <v>6817.705973</v>
      </c>
      <c r="H345" s="115">
        <f t="shared" si="64"/>
        <v>6895.813898</v>
      </c>
      <c r="I345" s="115">
        <f t="shared" si="64"/>
        <v>7046.716282</v>
      </c>
      <c r="J345" s="115">
        <f t="shared" si="64"/>
        <v>7223.654641</v>
      </c>
      <c r="K345" s="115">
        <f t="shared" si="64"/>
        <v>7418.658779</v>
      </c>
      <c r="L345" s="115">
        <f t="shared" si="64"/>
        <v>7526.522103</v>
      </c>
      <c r="M345" s="115">
        <f t="shared" si="64"/>
        <v>7554.152118</v>
      </c>
      <c r="N345" s="115">
        <f t="shared" si="64"/>
        <v>7594.534446</v>
      </c>
      <c r="O345" s="115">
        <f t="shared" si="64"/>
        <v>7790</v>
      </c>
      <c r="P345" s="115">
        <f t="shared" si="64"/>
        <v>7996.818938</v>
      </c>
      <c r="Q345" s="115">
        <f t="shared" si="64"/>
        <v>8151.798142</v>
      </c>
      <c r="R345" s="115">
        <f t="shared" si="64"/>
        <v>8208.497851</v>
      </c>
      <c r="S345" s="115">
        <f t="shared" si="64"/>
        <v>8272.757521</v>
      </c>
      <c r="T345" s="115">
        <f t="shared" si="64"/>
        <v>8297.597394</v>
      </c>
      <c r="U345" s="243"/>
      <c r="V345" s="243"/>
      <c r="W345" s="243"/>
      <c r="X345" s="243"/>
      <c r="Y345" s="243"/>
      <c r="Z345" s="243"/>
      <c r="AA345" s="243"/>
      <c r="AB345" s="243"/>
      <c r="AC345" s="243"/>
      <c r="AD345" s="243"/>
      <c r="AE345" s="243"/>
      <c r="AF345" s="243"/>
      <c r="AG345" s="244"/>
      <c r="AH345" s="24"/>
    </row>
    <row r="346" ht="12.75" customHeight="1">
      <c r="A346" s="46" t="s">
        <v>48</v>
      </c>
      <c r="B346" s="47"/>
      <c r="C346" s="84">
        <f>C337</f>
        <v>6478.175608</v>
      </c>
      <c r="D346" s="84">
        <f t="shared" ref="D346:N346" si="65">$C$346*D339/$C$339</f>
        <v>6543.531218</v>
      </c>
      <c r="E346" s="84">
        <f t="shared" si="65"/>
        <v>6597.728553</v>
      </c>
      <c r="F346" s="84">
        <f t="shared" si="65"/>
        <v>6676.367824</v>
      </c>
      <c r="G346" s="84">
        <f t="shared" si="65"/>
        <v>6817.705973</v>
      </c>
      <c r="H346" s="84">
        <f t="shared" si="65"/>
        <v>6895.813898</v>
      </c>
      <c r="I346" s="84">
        <f t="shared" si="65"/>
        <v>7046.716282</v>
      </c>
      <c r="J346" s="84">
        <f t="shared" si="65"/>
        <v>7223.654641</v>
      </c>
      <c r="K346" s="84">
        <f t="shared" si="65"/>
        <v>7418.658779</v>
      </c>
      <c r="L346" s="84">
        <f t="shared" si="65"/>
        <v>7526.522103</v>
      </c>
      <c r="M346" s="84">
        <f t="shared" si="65"/>
        <v>7554.152118</v>
      </c>
      <c r="N346" s="84">
        <f t="shared" si="65"/>
        <v>7594.534446</v>
      </c>
      <c r="O346" s="84">
        <f t="shared" ref="O346:O347" si="68">O337</f>
        <v>7790</v>
      </c>
      <c r="P346" s="84">
        <f t="shared" ref="P346:AG346" si="66">$O$346*P339/$O$339</f>
        <v>7996.818938</v>
      </c>
      <c r="Q346" s="84">
        <f t="shared" si="66"/>
        <v>8151.798142</v>
      </c>
      <c r="R346" s="84">
        <f t="shared" si="66"/>
        <v>8208.497851</v>
      </c>
      <c r="S346" s="84">
        <f t="shared" si="66"/>
        <v>8272.757521</v>
      </c>
      <c r="T346" s="84">
        <f t="shared" si="66"/>
        <v>8297.597394</v>
      </c>
      <c r="U346" s="84">
        <f t="shared" si="66"/>
        <v>8258.177596</v>
      </c>
      <c r="V346" s="84">
        <f t="shared" si="66"/>
        <v>0</v>
      </c>
      <c r="W346" s="84">
        <f t="shared" si="66"/>
        <v>0</v>
      </c>
      <c r="X346" s="84">
        <f t="shared" si="66"/>
        <v>0</v>
      </c>
      <c r="Y346" s="84">
        <f t="shared" si="66"/>
        <v>0</v>
      </c>
      <c r="Z346" s="84">
        <f t="shared" si="66"/>
        <v>0</v>
      </c>
      <c r="AA346" s="84">
        <f t="shared" si="66"/>
        <v>0</v>
      </c>
      <c r="AB346" s="84">
        <f t="shared" si="66"/>
        <v>0</v>
      </c>
      <c r="AC346" s="84">
        <f t="shared" si="66"/>
        <v>0</v>
      </c>
      <c r="AD346" s="84">
        <f t="shared" si="66"/>
        <v>0</v>
      </c>
      <c r="AE346" s="84">
        <f t="shared" si="66"/>
        <v>0</v>
      </c>
      <c r="AF346" s="84">
        <f t="shared" si="66"/>
        <v>0</v>
      </c>
      <c r="AG346" s="88">
        <f t="shared" si="66"/>
        <v>0</v>
      </c>
      <c r="AH346" s="24"/>
    </row>
    <row r="347" ht="12.75" customHeight="1">
      <c r="A347" s="74" t="s">
        <v>49</v>
      </c>
      <c r="B347" s="75"/>
      <c r="C347" s="126"/>
      <c r="D347" s="126"/>
      <c r="E347" s="126">
        <f>C338</f>
        <v>0</v>
      </c>
      <c r="F347" s="126">
        <f t="shared" ref="F347:N347" si="67">$E$347*F339/$E$339</f>
        <v>0</v>
      </c>
      <c r="G347" s="126">
        <f t="shared" si="67"/>
        <v>0</v>
      </c>
      <c r="H347" s="126">
        <f t="shared" si="67"/>
        <v>0</v>
      </c>
      <c r="I347" s="126">
        <f t="shared" si="67"/>
        <v>0</v>
      </c>
      <c r="J347" s="126">
        <f t="shared" si="67"/>
        <v>0</v>
      </c>
      <c r="K347" s="126">
        <f t="shared" si="67"/>
        <v>0</v>
      </c>
      <c r="L347" s="126">
        <f t="shared" si="67"/>
        <v>0</v>
      </c>
      <c r="M347" s="126">
        <f t="shared" si="67"/>
        <v>0</v>
      </c>
      <c r="N347" s="126">
        <f t="shared" si="67"/>
        <v>0</v>
      </c>
      <c r="O347" s="126">
        <f t="shared" si="68"/>
        <v>0</v>
      </c>
      <c r="P347" s="126">
        <f t="shared" ref="P347:AG347" si="69">$O$347*P339/$O$339</f>
        <v>0</v>
      </c>
      <c r="Q347" s="126">
        <f t="shared" si="69"/>
        <v>0</v>
      </c>
      <c r="R347" s="126">
        <f t="shared" si="69"/>
        <v>0</v>
      </c>
      <c r="S347" s="126">
        <f t="shared" si="69"/>
        <v>0</v>
      </c>
      <c r="T347" s="126">
        <f t="shared" si="69"/>
        <v>0</v>
      </c>
      <c r="U347" s="126">
        <f t="shared" si="69"/>
        <v>0</v>
      </c>
      <c r="V347" s="126">
        <f t="shared" si="69"/>
        <v>0</v>
      </c>
      <c r="W347" s="126">
        <f t="shared" si="69"/>
        <v>0</v>
      </c>
      <c r="X347" s="126">
        <f t="shared" si="69"/>
        <v>0</v>
      </c>
      <c r="Y347" s="126">
        <f t="shared" si="69"/>
        <v>0</v>
      </c>
      <c r="Z347" s="126">
        <f t="shared" si="69"/>
        <v>0</v>
      </c>
      <c r="AA347" s="126">
        <f t="shared" si="69"/>
        <v>0</v>
      </c>
      <c r="AB347" s="126">
        <f t="shared" si="69"/>
        <v>0</v>
      </c>
      <c r="AC347" s="126">
        <f t="shared" si="69"/>
        <v>0</v>
      </c>
      <c r="AD347" s="126">
        <f t="shared" si="69"/>
        <v>0</v>
      </c>
      <c r="AE347" s="126">
        <f t="shared" si="69"/>
        <v>0</v>
      </c>
      <c r="AF347" s="126">
        <f t="shared" si="69"/>
        <v>0</v>
      </c>
      <c r="AG347" s="129">
        <f t="shared" si="69"/>
        <v>0</v>
      </c>
      <c r="AH347" s="24"/>
    </row>
    <row r="348" ht="12.75" customHeight="1">
      <c r="A348" s="130" t="s">
        <v>63</v>
      </c>
      <c r="B348" s="131"/>
      <c r="C348" s="132"/>
      <c r="D348" s="132"/>
      <c r="E348" s="132"/>
      <c r="F348" s="132"/>
      <c r="G348" s="132"/>
      <c r="H348" s="132"/>
      <c r="I348" s="132"/>
      <c r="J348" s="132"/>
      <c r="K348" s="132"/>
      <c r="L348" s="132"/>
      <c r="M348" s="132"/>
      <c r="N348" s="132"/>
      <c r="O348" s="134"/>
      <c r="P348" s="134"/>
      <c r="Q348" s="134"/>
      <c r="R348" s="134"/>
      <c r="S348" s="134"/>
      <c r="T348" s="134"/>
      <c r="U348" s="134"/>
      <c r="V348" s="134"/>
      <c r="W348" s="134"/>
      <c r="X348" s="134"/>
      <c r="Y348" s="134"/>
      <c r="Z348" s="134"/>
      <c r="AA348" s="134"/>
      <c r="AB348" s="134"/>
      <c r="AC348" s="134"/>
      <c r="AD348" s="134"/>
      <c r="AE348" s="134"/>
      <c r="AF348" s="134"/>
      <c r="AG348" s="135"/>
      <c r="AH348" s="24"/>
    </row>
    <row r="349" ht="12.75" customHeight="1">
      <c r="A349" s="46" t="s">
        <v>406</v>
      </c>
      <c r="B349" s="396" t="s">
        <v>51</v>
      </c>
      <c r="C349" s="48">
        <f>2980+1768</f>
        <v>4748</v>
      </c>
      <c r="D349" s="71" t="s">
        <v>7</v>
      </c>
      <c r="E349" s="24"/>
      <c r="F349" s="84"/>
      <c r="G349" s="84"/>
      <c r="H349" s="84"/>
      <c r="I349" s="84"/>
      <c r="J349" s="84"/>
      <c r="K349" s="84"/>
      <c r="L349" s="84"/>
      <c r="M349" s="84"/>
      <c r="N349" s="84"/>
      <c r="O349" s="50">
        <v>7929.0</v>
      </c>
      <c r="P349" s="24"/>
      <c r="Q349" s="24"/>
      <c r="R349" s="24"/>
      <c r="S349" s="24"/>
      <c r="T349" s="24"/>
      <c r="U349" s="24"/>
      <c r="V349" s="24"/>
      <c r="W349" s="24"/>
      <c r="X349" s="24"/>
      <c r="Y349" s="24"/>
      <c r="Z349" s="24"/>
      <c r="AA349" s="24"/>
      <c r="AB349" s="24"/>
      <c r="AC349" s="24"/>
      <c r="AD349" s="24"/>
      <c r="AE349" s="24"/>
      <c r="AF349" s="24"/>
      <c r="AG349" s="272"/>
      <c r="AH349" s="24"/>
    </row>
    <row r="350" ht="12.75" customHeight="1">
      <c r="A350" s="52" t="s">
        <v>407</v>
      </c>
      <c r="B350" s="53"/>
      <c r="C350" s="56">
        <v>450.0</v>
      </c>
      <c r="D350" s="55" t="s">
        <v>7</v>
      </c>
      <c r="E350" s="249"/>
      <c r="F350" s="55" t="s">
        <v>7</v>
      </c>
      <c r="G350" s="55" t="s">
        <v>7</v>
      </c>
      <c r="H350" s="55" t="s">
        <v>7</v>
      </c>
      <c r="I350" s="55" t="s">
        <v>7</v>
      </c>
      <c r="J350" s="55" t="s">
        <v>7</v>
      </c>
      <c r="K350" s="55" t="s">
        <v>7</v>
      </c>
      <c r="L350" s="55" t="s">
        <v>7</v>
      </c>
      <c r="M350" s="55" t="s">
        <v>7</v>
      </c>
      <c r="N350" s="55" t="s">
        <v>7</v>
      </c>
      <c r="O350" s="56">
        <v>121.0</v>
      </c>
      <c r="P350" s="55" t="s">
        <v>7</v>
      </c>
      <c r="Q350" s="55" t="s">
        <v>7</v>
      </c>
      <c r="R350" s="55" t="s">
        <v>7</v>
      </c>
      <c r="S350" s="55" t="s">
        <v>7</v>
      </c>
      <c r="T350" s="55" t="s">
        <v>7</v>
      </c>
      <c r="U350" s="55"/>
      <c r="V350" s="55"/>
      <c r="W350" s="55"/>
      <c r="X350" s="55"/>
      <c r="Y350" s="55"/>
      <c r="Z350" s="55"/>
      <c r="AA350" s="55"/>
      <c r="AB350" s="55"/>
      <c r="AC350" s="55"/>
      <c r="AD350" s="55"/>
      <c r="AE350" s="55"/>
      <c r="AF350" s="55"/>
      <c r="AG350" s="58"/>
      <c r="AH350" s="24"/>
    </row>
    <row r="351" ht="12.75" customHeight="1">
      <c r="A351" s="130" t="s">
        <v>66</v>
      </c>
      <c r="B351" s="131"/>
      <c r="C351" s="250"/>
      <c r="D351" s="132"/>
      <c r="E351" s="132"/>
      <c r="F351" s="132"/>
      <c r="G351" s="132"/>
      <c r="H351" s="138"/>
      <c r="I351" s="138"/>
      <c r="J351" s="138"/>
      <c r="K351" s="138"/>
      <c r="L351" s="132"/>
      <c r="M351" s="132"/>
      <c r="N351" s="132"/>
      <c r="O351" s="250"/>
      <c r="P351" s="132"/>
      <c r="Q351" s="132"/>
      <c r="R351" s="132"/>
      <c r="S351" s="132"/>
      <c r="T351" s="132"/>
      <c r="U351" s="140"/>
      <c r="V351" s="140"/>
      <c r="W351" s="140"/>
      <c r="X351" s="140"/>
      <c r="Y351" s="140"/>
      <c r="Z351" s="140"/>
      <c r="AA351" s="140"/>
      <c r="AB351" s="140"/>
      <c r="AC351" s="140"/>
      <c r="AD351" s="140"/>
      <c r="AE351" s="140"/>
      <c r="AF351" s="140"/>
      <c r="AG351" s="142"/>
      <c r="AH351" s="24"/>
    </row>
    <row r="352" ht="12.75" customHeight="1">
      <c r="A352" s="46" t="s">
        <v>408</v>
      </c>
      <c r="B352" s="47"/>
      <c r="C352" s="48">
        <f>C349</f>
        <v>4748</v>
      </c>
      <c r="D352" s="84">
        <f t="shared" ref="D352:N352" si="70">$C$352*D339/$C$339</f>
        <v>4795.900591</v>
      </c>
      <c r="E352" s="84">
        <f t="shared" si="70"/>
        <v>4835.623031</v>
      </c>
      <c r="F352" s="84">
        <f t="shared" si="70"/>
        <v>4893.259514</v>
      </c>
      <c r="G352" s="84">
        <f t="shared" si="70"/>
        <v>4996.849409</v>
      </c>
      <c r="H352" s="84">
        <f t="shared" si="70"/>
        <v>5054.096457</v>
      </c>
      <c r="I352" s="84">
        <f t="shared" si="70"/>
        <v>5164.696194</v>
      </c>
      <c r="J352" s="84">
        <f t="shared" si="70"/>
        <v>5294.378281</v>
      </c>
      <c r="K352" s="84">
        <f t="shared" si="70"/>
        <v>5437.301181</v>
      </c>
      <c r="L352" s="84">
        <f t="shared" si="70"/>
        <v>5516.356627</v>
      </c>
      <c r="M352" s="84">
        <f t="shared" si="70"/>
        <v>5536.607283</v>
      </c>
      <c r="N352" s="84">
        <f t="shared" si="70"/>
        <v>5566.204396</v>
      </c>
      <c r="O352" s="48">
        <f>O349</f>
        <v>7929</v>
      </c>
      <c r="P352" s="71">
        <f t="shared" ref="P352:AG352" si="71">$O$352*P339/$O$339</f>
        <v>8139.509289</v>
      </c>
      <c r="Q352" s="71">
        <f t="shared" si="71"/>
        <v>8297.253847</v>
      </c>
      <c r="R352" s="71">
        <f t="shared" si="71"/>
        <v>8354.965271</v>
      </c>
      <c r="S352" s="71">
        <f t="shared" si="71"/>
        <v>8420.371551</v>
      </c>
      <c r="T352" s="71">
        <f t="shared" si="71"/>
        <v>8445.654651</v>
      </c>
      <c r="U352" s="71">
        <f t="shared" si="71"/>
        <v>8405.531471</v>
      </c>
      <c r="V352" s="71">
        <f t="shared" si="71"/>
        <v>0</v>
      </c>
      <c r="W352" s="71">
        <f t="shared" si="71"/>
        <v>0</v>
      </c>
      <c r="X352" s="71">
        <f t="shared" si="71"/>
        <v>0</v>
      </c>
      <c r="Y352" s="71">
        <f t="shared" si="71"/>
        <v>0</v>
      </c>
      <c r="Z352" s="71">
        <f t="shared" si="71"/>
        <v>0</v>
      </c>
      <c r="AA352" s="71">
        <f t="shared" si="71"/>
        <v>0</v>
      </c>
      <c r="AB352" s="71">
        <f t="shared" si="71"/>
        <v>0</v>
      </c>
      <c r="AC352" s="71">
        <f t="shared" si="71"/>
        <v>0</v>
      </c>
      <c r="AD352" s="71">
        <f t="shared" si="71"/>
        <v>0</v>
      </c>
      <c r="AE352" s="71">
        <f t="shared" si="71"/>
        <v>0</v>
      </c>
      <c r="AF352" s="71">
        <f t="shared" si="71"/>
        <v>0</v>
      </c>
      <c r="AG352" s="358">
        <f t="shared" si="71"/>
        <v>0</v>
      </c>
      <c r="AH352" s="24"/>
    </row>
    <row r="353" ht="12.75" customHeight="1">
      <c r="A353" s="153" t="s">
        <v>410</v>
      </c>
      <c r="B353" s="215" t="s">
        <v>51</v>
      </c>
      <c r="C353" s="254">
        <f>2241000*365/325851</f>
        <v>2510.242411</v>
      </c>
      <c r="D353" s="157">
        <f t="shared" ref="D353:N353" si="72">$C$353*D339/$C$339</f>
        <v>2535.5672</v>
      </c>
      <c r="E353" s="157">
        <f t="shared" si="72"/>
        <v>2556.568243</v>
      </c>
      <c r="F353" s="157">
        <f t="shared" si="72"/>
        <v>2587.040346</v>
      </c>
      <c r="G353" s="157">
        <f t="shared" si="72"/>
        <v>2641.807774</v>
      </c>
      <c r="H353" s="157">
        <f t="shared" si="72"/>
        <v>2672.073984</v>
      </c>
      <c r="I353" s="157">
        <f t="shared" si="72"/>
        <v>2730.547479</v>
      </c>
      <c r="J353" s="157">
        <f t="shared" si="72"/>
        <v>2799.10971</v>
      </c>
      <c r="K353" s="157">
        <f t="shared" si="72"/>
        <v>2874.672289</v>
      </c>
      <c r="L353" s="157">
        <f t="shared" si="72"/>
        <v>2916.468484</v>
      </c>
      <c r="M353" s="157">
        <f t="shared" si="72"/>
        <v>2927.174899</v>
      </c>
      <c r="N353" s="157">
        <f t="shared" si="72"/>
        <v>2942.822735</v>
      </c>
      <c r="O353" s="254">
        <f>O352*O350*365/325851</f>
        <v>1074.67611</v>
      </c>
      <c r="P353" s="157">
        <f t="shared" ref="P353:AG353" si="73">$O$353*P339/$O$339</f>
        <v>1103.207993</v>
      </c>
      <c r="Q353" s="157">
        <f t="shared" si="73"/>
        <v>1124.588282</v>
      </c>
      <c r="R353" s="157">
        <f t="shared" si="73"/>
        <v>1132.410338</v>
      </c>
      <c r="S353" s="157">
        <f t="shared" si="73"/>
        <v>1141.275336</v>
      </c>
      <c r="T353" s="157">
        <f t="shared" si="73"/>
        <v>1144.702142</v>
      </c>
      <c r="U353" s="157">
        <f t="shared" si="73"/>
        <v>1139.26395</v>
      </c>
      <c r="V353" s="157">
        <f t="shared" si="73"/>
        <v>0</v>
      </c>
      <c r="W353" s="157">
        <f t="shared" si="73"/>
        <v>0</v>
      </c>
      <c r="X353" s="157">
        <f t="shared" si="73"/>
        <v>0</v>
      </c>
      <c r="Y353" s="157">
        <f t="shared" si="73"/>
        <v>0</v>
      </c>
      <c r="Z353" s="157">
        <f t="shared" si="73"/>
        <v>0</v>
      </c>
      <c r="AA353" s="157">
        <f t="shared" si="73"/>
        <v>0</v>
      </c>
      <c r="AB353" s="157">
        <f t="shared" si="73"/>
        <v>0</v>
      </c>
      <c r="AC353" s="157">
        <f t="shared" si="73"/>
        <v>0</v>
      </c>
      <c r="AD353" s="157">
        <f t="shared" si="73"/>
        <v>0</v>
      </c>
      <c r="AE353" s="157">
        <f t="shared" si="73"/>
        <v>0</v>
      </c>
      <c r="AF353" s="157">
        <f t="shared" si="73"/>
        <v>0</v>
      </c>
      <c r="AG353" s="158">
        <f t="shared" si="73"/>
        <v>0</v>
      </c>
      <c r="AH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row>
    <row r="356" ht="12.75" customHeight="1">
      <c r="A356" s="30" t="s">
        <v>411</v>
      </c>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2"/>
      <c r="AH356" s="24"/>
    </row>
    <row r="357" ht="12.75" customHeight="1">
      <c r="A357" s="33" t="s">
        <v>37</v>
      </c>
      <c r="B357" s="34"/>
      <c r="C357" s="35">
        <v>2000.0</v>
      </c>
      <c r="D357" s="35">
        <v>2001.0</v>
      </c>
      <c r="E357" s="35">
        <v>2002.0</v>
      </c>
      <c r="F357" s="35">
        <v>2003.0</v>
      </c>
      <c r="G357" s="35">
        <v>2004.0</v>
      </c>
      <c r="H357" s="35">
        <v>2005.0</v>
      </c>
      <c r="I357" s="35">
        <v>2006.0</v>
      </c>
      <c r="J357" s="35">
        <v>2007.0</v>
      </c>
      <c r="K357" s="35">
        <v>2008.0</v>
      </c>
      <c r="L357" s="35">
        <v>2009.0</v>
      </c>
      <c r="M357" s="35">
        <v>2010.0</v>
      </c>
      <c r="N357" s="35">
        <v>2011.0</v>
      </c>
      <c r="O357" s="35">
        <v>2012.0</v>
      </c>
      <c r="P357" s="35">
        <v>2013.0</v>
      </c>
      <c r="Q357" s="35">
        <v>2014.0</v>
      </c>
      <c r="R357" s="35">
        <v>2015.0</v>
      </c>
      <c r="S357" s="35">
        <v>2016.0</v>
      </c>
      <c r="T357" s="35">
        <v>2017.0</v>
      </c>
      <c r="U357" s="35">
        <v>2018.0</v>
      </c>
      <c r="V357" s="35">
        <v>2019.0</v>
      </c>
      <c r="W357" s="35">
        <v>2020.0</v>
      </c>
      <c r="X357" s="35">
        <v>2021.0</v>
      </c>
      <c r="Y357" s="35">
        <v>2022.0</v>
      </c>
      <c r="Z357" s="35">
        <v>2023.0</v>
      </c>
      <c r="AA357" s="35">
        <v>2024.0</v>
      </c>
      <c r="AB357" s="35">
        <v>2025.0</v>
      </c>
      <c r="AC357" s="35">
        <v>2026.0</v>
      </c>
      <c r="AD357" s="35">
        <v>2027.0</v>
      </c>
      <c r="AE357" s="35">
        <v>2028.0</v>
      </c>
      <c r="AF357" s="35">
        <v>2029.0</v>
      </c>
      <c r="AG357" s="36">
        <v>2030.0</v>
      </c>
      <c r="AH357" s="24"/>
    </row>
    <row r="358" ht="12.75" customHeight="1">
      <c r="A358" s="37" t="s">
        <v>38</v>
      </c>
      <c r="B358" s="38"/>
      <c r="C358" s="39">
        <v>3.0</v>
      </c>
      <c r="D358" s="39">
        <v>4.0</v>
      </c>
      <c r="E358" s="39">
        <v>5.0</v>
      </c>
      <c r="F358" s="39">
        <v>6.0</v>
      </c>
      <c r="G358" s="39">
        <v>7.0</v>
      </c>
      <c r="H358" s="39">
        <v>8.0</v>
      </c>
      <c r="I358" s="39">
        <v>9.0</v>
      </c>
      <c r="J358" s="39">
        <v>10.0</v>
      </c>
      <c r="K358" s="39">
        <v>11.0</v>
      </c>
      <c r="L358" s="39">
        <v>12.0</v>
      </c>
      <c r="M358" s="39">
        <v>13.0</v>
      </c>
      <c r="N358" s="39">
        <v>14.0</v>
      </c>
      <c r="O358" s="39">
        <v>15.0</v>
      </c>
      <c r="P358" s="39">
        <v>16.0</v>
      </c>
      <c r="Q358" s="39">
        <v>17.0</v>
      </c>
      <c r="R358" s="39">
        <v>18.0</v>
      </c>
      <c r="S358" s="39">
        <v>19.0</v>
      </c>
      <c r="T358" s="39">
        <v>20.0</v>
      </c>
      <c r="U358" s="39">
        <v>21.0</v>
      </c>
      <c r="V358" s="39">
        <v>22.0</v>
      </c>
      <c r="W358" s="39">
        <v>23.0</v>
      </c>
      <c r="X358" s="39">
        <v>24.0</v>
      </c>
      <c r="Y358" s="39">
        <v>25.0</v>
      </c>
      <c r="Z358" s="39">
        <v>26.0</v>
      </c>
      <c r="AA358" s="39">
        <v>27.0</v>
      </c>
      <c r="AB358" s="39">
        <v>28.0</v>
      </c>
      <c r="AC358" s="39">
        <v>29.0</v>
      </c>
      <c r="AD358" s="39">
        <v>30.0</v>
      </c>
      <c r="AE358" s="39">
        <v>31.0</v>
      </c>
      <c r="AF358" s="39">
        <v>32.0</v>
      </c>
      <c r="AG358" s="40">
        <v>33.0</v>
      </c>
      <c r="AH358" s="24"/>
    </row>
    <row r="359" ht="12.75" customHeight="1">
      <c r="A359" s="164" t="s">
        <v>39</v>
      </c>
      <c r="B359" s="170"/>
      <c r="C359" s="335" t="s">
        <v>7</v>
      </c>
      <c r="D359" s="172" t="s">
        <v>7</v>
      </c>
      <c r="E359" s="172"/>
      <c r="F359" s="172" t="s">
        <v>7</v>
      </c>
      <c r="G359" s="172" t="s">
        <v>7</v>
      </c>
      <c r="H359" s="172" t="s">
        <v>7</v>
      </c>
      <c r="I359" s="172" t="s">
        <v>7</v>
      </c>
      <c r="J359" s="172" t="s">
        <v>7</v>
      </c>
      <c r="K359" s="172" t="s">
        <v>7</v>
      </c>
      <c r="L359" s="172" t="s">
        <v>7</v>
      </c>
      <c r="M359" s="172" t="s">
        <v>7</v>
      </c>
      <c r="N359" s="172" t="s">
        <v>7</v>
      </c>
      <c r="O359" s="172" t="s">
        <v>7</v>
      </c>
      <c r="P359" s="172" t="s">
        <v>7</v>
      </c>
      <c r="Q359" s="172" t="s">
        <v>7</v>
      </c>
      <c r="R359" s="172" t="s">
        <v>7</v>
      </c>
      <c r="S359" s="172" t="s">
        <v>7</v>
      </c>
      <c r="T359" s="172" t="s">
        <v>7</v>
      </c>
      <c r="U359" s="176"/>
      <c r="V359" s="176"/>
      <c r="W359" s="176"/>
      <c r="X359" s="176"/>
      <c r="Y359" s="176"/>
      <c r="Z359" s="176"/>
      <c r="AA359" s="176"/>
      <c r="AB359" s="176"/>
      <c r="AC359" s="176"/>
      <c r="AD359" s="176"/>
      <c r="AE359" s="176"/>
      <c r="AF359" s="176"/>
      <c r="AG359" s="177"/>
      <c r="AH359" s="24"/>
    </row>
    <row r="360" ht="12.75" customHeight="1">
      <c r="A360" s="46" t="s">
        <v>248</v>
      </c>
      <c r="B360" s="51" t="s">
        <v>51</v>
      </c>
      <c r="C360" s="71" t="s">
        <v>7</v>
      </c>
      <c r="D360" s="71" t="s">
        <v>7</v>
      </c>
      <c r="E360" s="50">
        <v>274.0</v>
      </c>
      <c r="F360" s="71" t="s">
        <v>7</v>
      </c>
      <c r="G360" s="71" t="s">
        <v>7</v>
      </c>
      <c r="H360" s="71" t="s">
        <v>7</v>
      </c>
      <c r="I360" s="71" t="s">
        <v>7</v>
      </c>
      <c r="J360" s="71" t="s">
        <v>7</v>
      </c>
      <c r="K360" s="71" t="s">
        <v>7</v>
      </c>
      <c r="L360" s="50">
        <v>274.0</v>
      </c>
      <c r="M360" s="71" t="s">
        <v>7</v>
      </c>
      <c r="N360" s="71" t="s">
        <v>7</v>
      </c>
      <c r="O360" s="71" t="s">
        <v>7</v>
      </c>
      <c r="P360" s="71" t="s">
        <v>7</v>
      </c>
      <c r="Q360" s="71" t="s">
        <v>7</v>
      </c>
      <c r="R360" s="71" t="s">
        <v>7</v>
      </c>
      <c r="S360" s="71" t="s">
        <v>7</v>
      </c>
      <c r="T360" s="71" t="s">
        <v>7</v>
      </c>
      <c r="U360" s="84"/>
      <c r="V360" s="84"/>
      <c r="W360" s="84"/>
      <c r="X360" s="84"/>
      <c r="Y360" s="84"/>
      <c r="Z360" s="84"/>
      <c r="AA360" s="84"/>
      <c r="AB360" s="84"/>
      <c r="AC360" s="84"/>
      <c r="AD360" s="84"/>
      <c r="AE360" s="84"/>
      <c r="AF360" s="84"/>
      <c r="AG360" s="88"/>
      <c r="AH360" s="24"/>
    </row>
    <row r="361" ht="12.75" customHeight="1">
      <c r="A361" s="46" t="s">
        <v>252</v>
      </c>
      <c r="B361" s="51" t="s">
        <v>51</v>
      </c>
      <c r="C361" s="71" t="s">
        <v>7</v>
      </c>
      <c r="D361" s="71" t="s">
        <v>7</v>
      </c>
      <c r="E361" s="50">
        <v>700.0</v>
      </c>
      <c r="F361" s="71" t="s">
        <v>7</v>
      </c>
      <c r="G361" s="71" t="s">
        <v>7</v>
      </c>
      <c r="H361" s="71" t="s">
        <v>7</v>
      </c>
      <c r="I361" s="71" t="s">
        <v>7</v>
      </c>
      <c r="J361" s="71" t="s">
        <v>7</v>
      </c>
      <c r="K361" s="71" t="s">
        <v>7</v>
      </c>
      <c r="L361" s="50">
        <v>800.0</v>
      </c>
      <c r="M361" s="71" t="s">
        <v>7</v>
      </c>
      <c r="N361" s="71" t="s">
        <v>7</v>
      </c>
      <c r="O361" s="71" t="s">
        <v>7</v>
      </c>
      <c r="P361" s="71" t="s">
        <v>7</v>
      </c>
      <c r="Q361" s="71" t="s">
        <v>7</v>
      </c>
      <c r="R361" s="71" t="s">
        <v>7</v>
      </c>
      <c r="S361" s="71" t="s">
        <v>7</v>
      </c>
      <c r="T361" s="71" t="s">
        <v>7</v>
      </c>
      <c r="U361" s="84"/>
      <c r="V361" s="84"/>
      <c r="W361" s="84"/>
      <c r="X361" s="84"/>
      <c r="Y361" s="84"/>
      <c r="Z361" s="84"/>
      <c r="AA361" s="84"/>
      <c r="AB361" s="84"/>
      <c r="AC361" s="84"/>
      <c r="AD361" s="84"/>
      <c r="AE361" s="84"/>
      <c r="AF361" s="84"/>
      <c r="AG361" s="88"/>
      <c r="AH361" s="24"/>
    </row>
    <row r="362" ht="12.75" customHeight="1">
      <c r="A362" s="46" t="s">
        <v>259</v>
      </c>
      <c r="B362" s="51" t="s">
        <v>51</v>
      </c>
      <c r="C362" s="71" t="s">
        <v>7</v>
      </c>
      <c r="D362" s="71" t="s">
        <v>7</v>
      </c>
      <c r="E362" s="50">
        <v>3200.0</v>
      </c>
      <c r="F362" s="71" t="s">
        <v>7</v>
      </c>
      <c r="G362" s="71" t="s">
        <v>7</v>
      </c>
      <c r="H362" s="71" t="s">
        <v>7</v>
      </c>
      <c r="I362" s="71" t="s">
        <v>7</v>
      </c>
      <c r="J362" s="71" t="s">
        <v>7</v>
      </c>
      <c r="K362" s="71" t="s">
        <v>7</v>
      </c>
      <c r="L362" s="50">
        <v>3000.0</v>
      </c>
      <c r="M362" s="71" t="s">
        <v>7</v>
      </c>
      <c r="N362" s="71" t="s">
        <v>7</v>
      </c>
      <c r="O362" s="71" t="s">
        <v>7</v>
      </c>
      <c r="P362" s="71" t="s">
        <v>7</v>
      </c>
      <c r="Q362" s="71" t="s">
        <v>7</v>
      </c>
      <c r="R362" s="71" t="s">
        <v>7</v>
      </c>
      <c r="S362" s="71" t="s">
        <v>7</v>
      </c>
      <c r="T362" s="71" t="s">
        <v>7</v>
      </c>
      <c r="U362" s="84"/>
      <c r="V362" s="84"/>
      <c r="W362" s="84"/>
      <c r="X362" s="84"/>
      <c r="Y362" s="84"/>
      <c r="Z362" s="84"/>
      <c r="AA362" s="84"/>
      <c r="AB362" s="84"/>
      <c r="AC362" s="84"/>
      <c r="AD362" s="84"/>
      <c r="AE362" s="84"/>
      <c r="AF362" s="84"/>
      <c r="AG362" s="88"/>
      <c r="AH362" s="24"/>
    </row>
    <row r="363" ht="12.75" customHeight="1">
      <c r="A363" s="46" t="s">
        <v>412</v>
      </c>
      <c r="B363" s="51" t="s">
        <v>51</v>
      </c>
      <c r="C363" s="71" t="s">
        <v>7</v>
      </c>
      <c r="D363" s="71" t="s">
        <v>7</v>
      </c>
      <c r="E363" s="50">
        <v>48.0</v>
      </c>
      <c r="F363" s="71" t="s">
        <v>7</v>
      </c>
      <c r="G363" s="71" t="s">
        <v>7</v>
      </c>
      <c r="H363" s="71" t="s">
        <v>7</v>
      </c>
      <c r="I363" s="71" t="s">
        <v>7</v>
      </c>
      <c r="J363" s="71" t="s">
        <v>7</v>
      </c>
      <c r="K363" s="71" t="s">
        <v>7</v>
      </c>
      <c r="L363" s="50">
        <v>50.0</v>
      </c>
      <c r="M363" s="71" t="s">
        <v>7</v>
      </c>
      <c r="N363" s="71" t="s">
        <v>7</v>
      </c>
      <c r="O363" s="71" t="s">
        <v>7</v>
      </c>
      <c r="P363" s="71" t="s">
        <v>7</v>
      </c>
      <c r="Q363" s="71" t="s">
        <v>7</v>
      </c>
      <c r="R363" s="71" t="s">
        <v>7</v>
      </c>
      <c r="S363" s="71" t="s">
        <v>7</v>
      </c>
      <c r="T363" s="71" t="s">
        <v>7</v>
      </c>
      <c r="U363" s="84"/>
      <c r="V363" s="84"/>
      <c r="W363" s="84"/>
      <c r="X363" s="84"/>
      <c r="Y363" s="84"/>
      <c r="Z363" s="84"/>
      <c r="AA363" s="84"/>
      <c r="AB363" s="84"/>
      <c r="AC363" s="84"/>
      <c r="AD363" s="84"/>
      <c r="AE363" s="84"/>
      <c r="AF363" s="84"/>
      <c r="AG363" s="88"/>
      <c r="AH363" s="24"/>
    </row>
    <row r="364" ht="12.75" customHeight="1">
      <c r="A364" s="46" t="s">
        <v>255</v>
      </c>
      <c r="B364" s="51" t="s">
        <v>51</v>
      </c>
      <c r="C364" s="71" t="s">
        <v>7</v>
      </c>
      <c r="D364" s="71" t="s">
        <v>7</v>
      </c>
      <c r="E364" s="50">
        <v>1067.0</v>
      </c>
      <c r="F364" s="71" t="s">
        <v>7</v>
      </c>
      <c r="G364" s="71" t="s">
        <v>7</v>
      </c>
      <c r="H364" s="71" t="s">
        <v>7</v>
      </c>
      <c r="I364" s="71" t="s">
        <v>7</v>
      </c>
      <c r="J364" s="71" t="s">
        <v>7</v>
      </c>
      <c r="K364" s="71" t="s">
        <v>7</v>
      </c>
      <c r="L364" s="50">
        <v>960.0</v>
      </c>
      <c r="M364" s="71" t="s">
        <v>7</v>
      </c>
      <c r="N364" s="71" t="s">
        <v>7</v>
      </c>
      <c r="O364" s="71" t="s">
        <v>7</v>
      </c>
      <c r="P364" s="71" t="s">
        <v>7</v>
      </c>
      <c r="Q364" s="71" t="s">
        <v>7</v>
      </c>
      <c r="R364" s="71" t="s">
        <v>7</v>
      </c>
      <c r="S364" s="71" t="s">
        <v>7</v>
      </c>
      <c r="T364" s="71" t="s">
        <v>7</v>
      </c>
      <c r="U364" s="84"/>
      <c r="V364" s="84"/>
      <c r="W364" s="84"/>
      <c r="X364" s="84"/>
      <c r="Y364" s="84"/>
      <c r="Z364" s="84"/>
      <c r="AA364" s="84"/>
      <c r="AB364" s="84"/>
      <c r="AC364" s="84"/>
      <c r="AD364" s="84"/>
      <c r="AE364" s="84"/>
      <c r="AF364" s="84"/>
      <c r="AG364" s="88"/>
      <c r="AH364" s="24"/>
    </row>
    <row r="365" ht="12.75" customHeight="1">
      <c r="A365" s="46" t="s">
        <v>260</v>
      </c>
      <c r="B365" s="51" t="s">
        <v>51</v>
      </c>
      <c r="C365" s="71" t="s">
        <v>7</v>
      </c>
      <c r="D365" s="71" t="s">
        <v>7</v>
      </c>
      <c r="E365" s="50">
        <v>450.0</v>
      </c>
      <c r="F365" s="71" t="s">
        <v>7</v>
      </c>
      <c r="G365" s="71" t="s">
        <v>7</v>
      </c>
      <c r="H365" s="71" t="s">
        <v>7</v>
      </c>
      <c r="I365" s="71" t="s">
        <v>7</v>
      </c>
      <c r="J365" s="71" t="s">
        <v>7</v>
      </c>
      <c r="K365" s="71" t="s">
        <v>7</v>
      </c>
      <c r="L365" s="50">
        <v>500.0</v>
      </c>
      <c r="M365" s="71" t="s">
        <v>7</v>
      </c>
      <c r="N365" s="71" t="s">
        <v>7</v>
      </c>
      <c r="O365" s="71" t="s">
        <v>7</v>
      </c>
      <c r="P365" s="71" t="s">
        <v>7</v>
      </c>
      <c r="Q365" s="71" t="s">
        <v>7</v>
      </c>
      <c r="R365" s="71" t="s">
        <v>7</v>
      </c>
      <c r="S365" s="71" t="s">
        <v>7</v>
      </c>
      <c r="T365" s="71" t="s">
        <v>7</v>
      </c>
      <c r="U365" s="84"/>
      <c r="V365" s="84"/>
      <c r="W365" s="84"/>
      <c r="X365" s="84"/>
      <c r="Y365" s="84"/>
      <c r="Z365" s="84"/>
      <c r="AA365" s="84"/>
      <c r="AB365" s="84"/>
      <c r="AC365" s="84"/>
      <c r="AD365" s="84"/>
      <c r="AE365" s="84"/>
      <c r="AF365" s="84"/>
      <c r="AG365" s="88"/>
      <c r="AH365" s="24"/>
    </row>
    <row r="366" ht="12.75" customHeight="1">
      <c r="A366" s="46" t="s">
        <v>271</v>
      </c>
      <c r="B366" s="51" t="s">
        <v>51</v>
      </c>
      <c r="C366" s="71" t="s">
        <v>7</v>
      </c>
      <c r="D366" s="71" t="s">
        <v>7</v>
      </c>
      <c r="E366" s="50">
        <v>160.0</v>
      </c>
      <c r="F366" s="71" t="s">
        <v>7</v>
      </c>
      <c r="G366" s="71" t="s">
        <v>7</v>
      </c>
      <c r="H366" s="71" t="s">
        <v>7</v>
      </c>
      <c r="I366" s="71" t="s">
        <v>7</v>
      </c>
      <c r="J366" s="71" t="s">
        <v>7</v>
      </c>
      <c r="K366" s="71" t="s">
        <v>7</v>
      </c>
      <c r="L366" s="50">
        <v>160.0</v>
      </c>
      <c r="M366" s="71" t="s">
        <v>7</v>
      </c>
      <c r="N366" s="71" t="s">
        <v>7</v>
      </c>
      <c r="O366" s="71" t="s">
        <v>7</v>
      </c>
      <c r="P366" s="71" t="s">
        <v>7</v>
      </c>
      <c r="Q366" s="71" t="s">
        <v>7</v>
      </c>
      <c r="R366" s="71" t="s">
        <v>7</v>
      </c>
      <c r="S366" s="71" t="s">
        <v>7</v>
      </c>
      <c r="T366" s="71" t="s">
        <v>7</v>
      </c>
      <c r="U366" s="84"/>
      <c r="V366" s="84"/>
      <c r="W366" s="84"/>
      <c r="X366" s="84"/>
      <c r="Y366" s="84"/>
      <c r="Z366" s="84"/>
      <c r="AA366" s="84"/>
      <c r="AB366" s="84"/>
      <c r="AC366" s="84"/>
      <c r="AD366" s="84"/>
      <c r="AE366" s="84"/>
      <c r="AF366" s="84"/>
      <c r="AG366" s="88"/>
      <c r="AH366" s="24"/>
    </row>
    <row r="367" ht="12.75" customHeight="1">
      <c r="A367" s="46" t="s">
        <v>278</v>
      </c>
      <c r="B367" s="51" t="s">
        <v>51</v>
      </c>
      <c r="C367" s="71" t="s">
        <v>7</v>
      </c>
      <c r="D367" s="71" t="s">
        <v>7</v>
      </c>
      <c r="E367" s="50">
        <v>550.0</v>
      </c>
      <c r="F367" s="71" t="s">
        <v>7</v>
      </c>
      <c r="G367" s="71" t="s">
        <v>7</v>
      </c>
      <c r="H367" s="71" t="s">
        <v>7</v>
      </c>
      <c r="I367" s="71" t="s">
        <v>7</v>
      </c>
      <c r="J367" s="71" t="s">
        <v>7</v>
      </c>
      <c r="K367" s="71" t="s">
        <v>7</v>
      </c>
      <c r="L367" s="50">
        <v>650.0</v>
      </c>
      <c r="M367" s="71" t="s">
        <v>7</v>
      </c>
      <c r="N367" s="71" t="s">
        <v>7</v>
      </c>
      <c r="O367" s="71" t="s">
        <v>7</v>
      </c>
      <c r="P367" s="71" t="s">
        <v>7</v>
      </c>
      <c r="Q367" s="71" t="s">
        <v>7</v>
      </c>
      <c r="R367" s="71" t="s">
        <v>7</v>
      </c>
      <c r="S367" s="71" t="s">
        <v>7</v>
      </c>
      <c r="T367" s="71" t="s">
        <v>7</v>
      </c>
      <c r="U367" s="84"/>
      <c r="V367" s="84"/>
      <c r="W367" s="84"/>
      <c r="X367" s="84"/>
      <c r="Y367" s="84"/>
      <c r="Z367" s="84"/>
      <c r="AA367" s="84"/>
      <c r="AB367" s="84"/>
      <c r="AC367" s="84"/>
      <c r="AD367" s="84"/>
      <c r="AE367" s="84"/>
      <c r="AF367" s="84"/>
      <c r="AG367" s="88"/>
      <c r="AH367" s="24"/>
    </row>
    <row r="368" ht="12.75" customHeight="1">
      <c r="A368" s="46" t="s">
        <v>281</v>
      </c>
      <c r="B368" s="51" t="s">
        <v>51</v>
      </c>
      <c r="C368" s="71" t="s">
        <v>7</v>
      </c>
      <c r="D368" s="71" t="s">
        <v>7</v>
      </c>
      <c r="E368" s="50">
        <v>400.0</v>
      </c>
      <c r="F368" s="71" t="s">
        <v>7</v>
      </c>
      <c r="G368" s="71" t="s">
        <v>7</v>
      </c>
      <c r="H368" s="71" t="s">
        <v>7</v>
      </c>
      <c r="I368" s="71" t="s">
        <v>7</v>
      </c>
      <c r="J368" s="71" t="s">
        <v>7</v>
      </c>
      <c r="K368" s="71" t="s">
        <v>7</v>
      </c>
      <c r="L368" s="50">
        <v>304.0</v>
      </c>
      <c r="M368" s="71" t="s">
        <v>7</v>
      </c>
      <c r="N368" s="71" t="s">
        <v>7</v>
      </c>
      <c r="O368" s="71" t="s">
        <v>7</v>
      </c>
      <c r="P368" s="71" t="s">
        <v>7</v>
      </c>
      <c r="Q368" s="71" t="s">
        <v>7</v>
      </c>
      <c r="R368" s="71" t="s">
        <v>7</v>
      </c>
      <c r="S368" s="71" t="s">
        <v>7</v>
      </c>
      <c r="T368" s="71" t="s">
        <v>7</v>
      </c>
      <c r="U368" s="84"/>
      <c r="V368" s="84"/>
      <c r="W368" s="84"/>
      <c r="X368" s="84"/>
      <c r="Y368" s="84"/>
      <c r="Z368" s="84"/>
      <c r="AA368" s="84"/>
      <c r="AB368" s="84"/>
      <c r="AC368" s="84"/>
      <c r="AD368" s="84"/>
      <c r="AE368" s="84"/>
      <c r="AF368" s="84"/>
      <c r="AG368" s="88"/>
      <c r="AH368" s="24"/>
    </row>
    <row r="369" ht="12.75" customHeight="1">
      <c r="A369" s="46" t="s">
        <v>285</v>
      </c>
      <c r="B369" s="51" t="s">
        <v>51</v>
      </c>
      <c r="C369" s="71" t="s">
        <v>7</v>
      </c>
      <c r="D369" s="71" t="s">
        <v>7</v>
      </c>
      <c r="E369" s="50">
        <v>7550.0</v>
      </c>
      <c r="F369" s="71" t="s">
        <v>7</v>
      </c>
      <c r="G369" s="71" t="s">
        <v>7</v>
      </c>
      <c r="H369" s="71" t="s">
        <v>7</v>
      </c>
      <c r="I369" s="71" t="s">
        <v>7</v>
      </c>
      <c r="J369" s="71" t="s">
        <v>7</v>
      </c>
      <c r="K369" s="71" t="s">
        <v>7</v>
      </c>
      <c r="L369" s="50" t="s">
        <v>7</v>
      </c>
      <c r="M369" s="71" t="s">
        <v>7</v>
      </c>
      <c r="N369" s="71" t="s">
        <v>7</v>
      </c>
      <c r="O369" s="71" t="s">
        <v>7</v>
      </c>
      <c r="P369" s="71" t="s">
        <v>7</v>
      </c>
      <c r="Q369" s="71" t="s">
        <v>7</v>
      </c>
      <c r="R369" s="71" t="s">
        <v>7</v>
      </c>
      <c r="S369" s="71" t="s">
        <v>7</v>
      </c>
      <c r="T369" s="71" t="s">
        <v>7</v>
      </c>
      <c r="U369" s="84"/>
      <c r="V369" s="84"/>
      <c r="W369" s="84"/>
      <c r="X369" s="84"/>
      <c r="Y369" s="84"/>
      <c r="Z369" s="84"/>
      <c r="AA369" s="84"/>
      <c r="AB369" s="84"/>
      <c r="AC369" s="84"/>
      <c r="AD369" s="84"/>
      <c r="AE369" s="84"/>
      <c r="AF369" s="84"/>
      <c r="AG369" s="88"/>
      <c r="AH369" s="24"/>
    </row>
    <row r="370" ht="12.75" customHeight="1">
      <c r="A370" s="46" t="s">
        <v>246</v>
      </c>
      <c r="B370" s="51" t="s">
        <v>51</v>
      </c>
      <c r="C370" s="71" t="s">
        <v>7</v>
      </c>
      <c r="D370" s="71" t="s">
        <v>7</v>
      </c>
      <c r="E370" s="50">
        <v>1200.0</v>
      </c>
      <c r="F370" s="71" t="s">
        <v>7</v>
      </c>
      <c r="G370" s="71" t="s">
        <v>7</v>
      </c>
      <c r="H370" s="71" t="s">
        <v>7</v>
      </c>
      <c r="I370" s="71" t="s">
        <v>7</v>
      </c>
      <c r="J370" s="71" t="s">
        <v>7</v>
      </c>
      <c r="K370" s="71" t="s">
        <v>7</v>
      </c>
      <c r="L370" s="50">
        <v>1200.0</v>
      </c>
      <c r="M370" s="71" t="s">
        <v>7</v>
      </c>
      <c r="N370" s="71" t="s">
        <v>7</v>
      </c>
      <c r="O370" s="71" t="s">
        <v>7</v>
      </c>
      <c r="P370" s="71" t="s">
        <v>7</v>
      </c>
      <c r="Q370" s="71" t="s">
        <v>7</v>
      </c>
      <c r="R370" s="71" t="s">
        <v>7</v>
      </c>
      <c r="S370" s="71" t="s">
        <v>7</v>
      </c>
      <c r="T370" s="71" t="s">
        <v>7</v>
      </c>
      <c r="U370" s="84"/>
      <c r="V370" s="84"/>
      <c r="W370" s="84"/>
      <c r="X370" s="84"/>
      <c r="Y370" s="84"/>
      <c r="Z370" s="84"/>
      <c r="AA370" s="84"/>
      <c r="AB370" s="84"/>
      <c r="AC370" s="84"/>
      <c r="AD370" s="84"/>
      <c r="AE370" s="84"/>
      <c r="AF370" s="84"/>
      <c r="AG370" s="88"/>
      <c r="AH370" s="24"/>
    </row>
    <row r="371" ht="12.75" customHeight="1">
      <c r="A371" s="46" t="s">
        <v>267</v>
      </c>
      <c r="B371" s="51" t="s">
        <v>51</v>
      </c>
      <c r="C371" s="71" t="s">
        <v>7</v>
      </c>
      <c r="D371" s="71" t="s">
        <v>7</v>
      </c>
      <c r="E371" s="50">
        <v>115.0</v>
      </c>
      <c r="F371" s="71" t="s">
        <v>7</v>
      </c>
      <c r="G371" s="71" t="s">
        <v>7</v>
      </c>
      <c r="H371" s="71" t="s">
        <v>7</v>
      </c>
      <c r="I371" s="71" t="s">
        <v>7</v>
      </c>
      <c r="J371" s="71" t="s">
        <v>7</v>
      </c>
      <c r="K371" s="71" t="s">
        <v>7</v>
      </c>
      <c r="L371" s="50" t="s">
        <v>7</v>
      </c>
      <c r="M371" s="71" t="s">
        <v>7</v>
      </c>
      <c r="N371" s="71" t="s">
        <v>7</v>
      </c>
      <c r="O371" s="71" t="s">
        <v>7</v>
      </c>
      <c r="P371" s="71" t="s">
        <v>7</v>
      </c>
      <c r="Q371" s="71" t="s">
        <v>7</v>
      </c>
      <c r="R371" s="71" t="s">
        <v>7</v>
      </c>
      <c r="S371" s="71" t="s">
        <v>7</v>
      </c>
      <c r="T371" s="71" t="s">
        <v>7</v>
      </c>
      <c r="U371" s="84"/>
      <c r="V371" s="84"/>
      <c r="W371" s="84"/>
      <c r="X371" s="84"/>
      <c r="Y371" s="84"/>
      <c r="Z371" s="84"/>
      <c r="AA371" s="84"/>
      <c r="AB371" s="84"/>
      <c r="AC371" s="84"/>
      <c r="AD371" s="84"/>
      <c r="AE371" s="84"/>
      <c r="AF371" s="84"/>
      <c r="AG371" s="88"/>
      <c r="AH371" s="24"/>
    </row>
    <row r="372" ht="12.75" customHeight="1">
      <c r="A372" s="46" t="s">
        <v>264</v>
      </c>
      <c r="B372" s="51" t="s">
        <v>52</v>
      </c>
      <c r="C372" s="71" t="s">
        <v>7</v>
      </c>
      <c r="D372" s="71" t="s">
        <v>7</v>
      </c>
      <c r="E372" s="50">
        <v>7100.0</v>
      </c>
      <c r="F372" s="71" t="s">
        <v>7</v>
      </c>
      <c r="G372" s="71" t="s">
        <v>7</v>
      </c>
      <c r="H372" s="71" t="s">
        <v>7</v>
      </c>
      <c r="I372" s="71" t="s">
        <v>7</v>
      </c>
      <c r="J372" s="71" t="s">
        <v>7</v>
      </c>
      <c r="K372" s="71" t="s">
        <v>7</v>
      </c>
      <c r="L372" s="50">
        <v>7000.0</v>
      </c>
      <c r="M372" s="71" t="s">
        <v>7</v>
      </c>
      <c r="N372" s="71" t="s">
        <v>7</v>
      </c>
      <c r="O372" s="71" t="s">
        <v>7</v>
      </c>
      <c r="P372" s="71" t="s">
        <v>7</v>
      </c>
      <c r="Q372" s="71" t="s">
        <v>7</v>
      </c>
      <c r="R372" s="71" t="s">
        <v>7</v>
      </c>
      <c r="S372" s="71" t="s">
        <v>7</v>
      </c>
      <c r="T372" s="71" t="s">
        <v>7</v>
      </c>
      <c r="U372" s="84"/>
      <c r="V372" s="84"/>
      <c r="W372" s="84"/>
      <c r="X372" s="84"/>
      <c r="Y372" s="84"/>
      <c r="Z372" s="84"/>
      <c r="AA372" s="84"/>
      <c r="AB372" s="84"/>
      <c r="AC372" s="84"/>
      <c r="AD372" s="84"/>
      <c r="AE372" s="84"/>
      <c r="AF372" s="84"/>
      <c r="AG372" s="88"/>
      <c r="AH372" s="24"/>
    </row>
    <row r="373" ht="12.75" customHeight="1">
      <c r="A373" s="46" t="s">
        <v>275</v>
      </c>
      <c r="B373" s="51" t="s">
        <v>52</v>
      </c>
      <c r="C373" s="71" t="s">
        <v>7</v>
      </c>
      <c r="D373" s="71" t="s">
        <v>7</v>
      </c>
      <c r="E373" s="50">
        <v>9800.0</v>
      </c>
      <c r="F373" s="71" t="s">
        <v>7</v>
      </c>
      <c r="G373" s="71" t="s">
        <v>7</v>
      </c>
      <c r="H373" s="71" t="s">
        <v>7</v>
      </c>
      <c r="I373" s="71" t="s">
        <v>7</v>
      </c>
      <c r="J373" s="71" t="s">
        <v>7</v>
      </c>
      <c r="K373" s="71" t="s">
        <v>7</v>
      </c>
      <c r="L373" s="50">
        <v>9728.0</v>
      </c>
      <c r="M373" s="71" t="s">
        <v>7</v>
      </c>
      <c r="N373" s="71" t="s">
        <v>7</v>
      </c>
      <c r="O373" s="71" t="s">
        <v>7</v>
      </c>
      <c r="P373" s="71" t="s">
        <v>7</v>
      </c>
      <c r="Q373" s="71" t="s">
        <v>7</v>
      </c>
      <c r="R373" s="71" t="s">
        <v>7</v>
      </c>
      <c r="S373" s="71" t="s">
        <v>7</v>
      </c>
      <c r="T373" s="71" t="s">
        <v>7</v>
      </c>
      <c r="U373" s="84"/>
      <c r="V373" s="84"/>
      <c r="W373" s="84"/>
      <c r="X373" s="84"/>
      <c r="Y373" s="84"/>
      <c r="Z373" s="84"/>
      <c r="AA373" s="84"/>
      <c r="AB373" s="84"/>
      <c r="AC373" s="84"/>
      <c r="AD373" s="84"/>
      <c r="AE373" s="84"/>
      <c r="AF373" s="84"/>
      <c r="AG373" s="88"/>
      <c r="AH373" s="24"/>
    </row>
    <row r="374" ht="12.75" customHeight="1">
      <c r="A374" s="46" t="s">
        <v>283</v>
      </c>
      <c r="B374" s="51" t="s">
        <v>52</v>
      </c>
      <c r="C374" s="71" t="s">
        <v>7</v>
      </c>
      <c r="D374" s="71" t="s">
        <v>7</v>
      </c>
      <c r="E374" s="50">
        <v>3247.0</v>
      </c>
      <c r="F374" s="71" t="s">
        <v>7</v>
      </c>
      <c r="G374" s="71" t="s">
        <v>7</v>
      </c>
      <c r="H374" s="71" t="s">
        <v>7</v>
      </c>
      <c r="I374" s="71" t="s">
        <v>7</v>
      </c>
      <c r="J374" s="71" t="s">
        <v>7</v>
      </c>
      <c r="K374" s="71" t="s">
        <v>7</v>
      </c>
      <c r="L374" s="50">
        <v>3700.0</v>
      </c>
      <c r="M374" s="71" t="s">
        <v>7</v>
      </c>
      <c r="N374" s="71" t="s">
        <v>7</v>
      </c>
      <c r="O374" s="71" t="s">
        <v>7</v>
      </c>
      <c r="P374" s="71" t="s">
        <v>7</v>
      </c>
      <c r="Q374" s="71" t="s">
        <v>7</v>
      </c>
      <c r="R374" s="71" t="s">
        <v>7</v>
      </c>
      <c r="S374" s="71" t="s">
        <v>7</v>
      </c>
      <c r="T374" s="71" t="s">
        <v>7</v>
      </c>
      <c r="U374" s="84"/>
      <c r="V374" s="84"/>
      <c r="W374" s="84"/>
      <c r="X374" s="84"/>
      <c r="Y374" s="84"/>
      <c r="Z374" s="84"/>
      <c r="AA374" s="84"/>
      <c r="AB374" s="84"/>
      <c r="AC374" s="84"/>
      <c r="AD374" s="84"/>
      <c r="AE374" s="84"/>
      <c r="AF374" s="84"/>
      <c r="AG374" s="88"/>
      <c r="AH374" s="24"/>
    </row>
    <row r="375" ht="12.75" customHeight="1">
      <c r="A375" s="46" t="s">
        <v>268</v>
      </c>
      <c r="B375" s="51" t="s">
        <v>52</v>
      </c>
      <c r="C375" s="71" t="s">
        <v>7</v>
      </c>
      <c r="D375" s="71" t="s">
        <v>7</v>
      </c>
      <c r="E375" s="50">
        <v>400.0</v>
      </c>
      <c r="F375" s="71" t="s">
        <v>7</v>
      </c>
      <c r="G375" s="71" t="s">
        <v>7</v>
      </c>
      <c r="H375" s="71" t="s">
        <v>7</v>
      </c>
      <c r="I375" s="71" t="s">
        <v>7</v>
      </c>
      <c r="J375" s="71" t="s">
        <v>7</v>
      </c>
      <c r="K375" s="71" t="s">
        <v>7</v>
      </c>
      <c r="L375" s="50">
        <v>370.0</v>
      </c>
      <c r="M375" s="71" t="s">
        <v>7</v>
      </c>
      <c r="N375" s="71" t="s">
        <v>7</v>
      </c>
      <c r="O375" s="71" t="s">
        <v>7</v>
      </c>
      <c r="P375" s="71" t="s">
        <v>7</v>
      </c>
      <c r="Q375" s="71" t="s">
        <v>7</v>
      </c>
      <c r="R375" s="71" t="s">
        <v>7</v>
      </c>
      <c r="S375" s="71" t="s">
        <v>7</v>
      </c>
      <c r="T375" s="71" t="s">
        <v>7</v>
      </c>
      <c r="U375" s="84"/>
      <c r="V375" s="84"/>
      <c r="W375" s="84"/>
      <c r="X375" s="84"/>
      <c r="Y375" s="84"/>
      <c r="Z375" s="84"/>
      <c r="AA375" s="84"/>
      <c r="AB375" s="84"/>
      <c r="AC375" s="84"/>
      <c r="AD375" s="84"/>
      <c r="AE375" s="84"/>
      <c r="AF375" s="84"/>
      <c r="AG375" s="88"/>
      <c r="AH375" s="24"/>
    </row>
    <row r="376" ht="12.75" customHeight="1">
      <c r="A376" s="46" t="s">
        <v>249</v>
      </c>
      <c r="B376" s="51" t="s">
        <v>52</v>
      </c>
      <c r="C376" s="71" t="s">
        <v>7</v>
      </c>
      <c r="D376" s="71" t="s">
        <v>7</v>
      </c>
      <c r="E376" s="50">
        <v>633.0</v>
      </c>
      <c r="F376" s="71" t="s">
        <v>7</v>
      </c>
      <c r="G376" s="71" t="s">
        <v>7</v>
      </c>
      <c r="H376" s="71" t="s">
        <v>7</v>
      </c>
      <c r="I376" s="71" t="s">
        <v>7</v>
      </c>
      <c r="J376" s="71" t="s">
        <v>7</v>
      </c>
      <c r="K376" s="71" t="s">
        <v>7</v>
      </c>
      <c r="L376" s="50">
        <v>600.0</v>
      </c>
      <c r="M376" s="71" t="s">
        <v>7</v>
      </c>
      <c r="N376" s="71" t="s">
        <v>7</v>
      </c>
      <c r="O376" s="71" t="s">
        <v>7</v>
      </c>
      <c r="P376" s="71" t="s">
        <v>7</v>
      </c>
      <c r="Q376" s="71" t="s">
        <v>7</v>
      </c>
      <c r="R376" s="71" t="s">
        <v>7</v>
      </c>
      <c r="S376" s="71" t="s">
        <v>7</v>
      </c>
      <c r="T376" s="71" t="s">
        <v>7</v>
      </c>
      <c r="U376" s="84"/>
      <c r="V376" s="84"/>
      <c r="W376" s="84"/>
      <c r="X376" s="84"/>
      <c r="Y376" s="84"/>
      <c r="Z376" s="84"/>
      <c r="AA376" s="84"/>
      <c r="AB376" s="84"/>
      <c r="AC376" s="84"/>
      <c r="AD376" s="84"/>
      <c r="AE376" s="84"/>
      <c r="AF376" s="84"/>
      <c r="AG376" s="88"/>
      <c r="AH376" s="24"/>
    </row>
    <row r="377" ht="12.75" customHeight="1">
      <c r="A377" s="46" t="s">
        <v>254</v>
      </c>
      <c r="B377" s="51" t="s">
        <v>52</v>
      </c>
      <c r="C377" s="71" t="s">
        <v>7</v>
      </c>
      <c r="D377" s="71" t="s">
        <v>7</v>
      </c>
      <c r="E377" s="50">
        <v>230.0</v>
      </c>
      <c r="F377" s="71" t="s">
        <v>7</v>
      </c>
      <c r="G377" s="71" t="s">
        <v>7</v>
      </c>
      <c r="H377" s="71" t="s">
        <v>7</v>
      </c>
      <c r="I377" s="71" t="s">
        <v>7</v>
      </c>
      <c r="J377" s="71" t="s">
        <v>7</v>
      </c>
      <c r="K377" s="71" t="s">
        <v>7</v>
      </c>
      <c r="L377" s="50">
        <v>210.0</v>
      </c>
      <c r="M377" s="71" t="s">
        <v>7</v>
      </c>
      <c r="N377" s="71" t="s">
        <v>7</v>
      </c>
      <c r="O377" s="71" t="s">
        <v>7</v>
      </c>
      <c r="P377" s="71" t="s">
        <v>7</v>
      </c>
      <c r="Q377" s="71" t="s">
        <v>7</v>
      </c>
      <c r="R377" s="71" t="s">
        <v>7</v>
      </c>
      <c r="S377" s="71" t="s">
        <v>7</v>
      </c>
      <c r="T377" s="71" t="s">
        <v>7</v>
      </c>
      <c r="U377" s="84"/>
      <c r="V377" s="84"/>
      <c r="W377" s="84"/>
      <c r="X377" s="84"/>
      <c r="Y377" s="84"/>
      <c r="Z377" s="84"/>
      <c r="AA377" s="84"/>
      <c r="AB377" s="84"/>
      <c r="AC377" s="84"/>
      <c r="AD377" s="84"/>
      <c r="AE377" s="84"/>
      <c r="AF377" s="84"/>
      <c r="AG377" s="88"/>
      <c r="AH377" s="24"/>
    </row>
    <row r="378" ht="12.75" customHeight="1">
      <c r="A378" s="46" t="s">
        <v>272</v>
      </c>
      <c r="B378" s="51" t="s">
        <v>52</v>
      </c>
      <c r="C378" s="71" t="s">
        <v>7</v>
      </c>
      <c r="D378" s="71" t="s">
        <v>7</v>
      </c>
      <c r="E378" s="50">
        <v>6700.0</v>
      </c>
      <c r="F378" s="71" t="s">
        <v>7</v>
      </c>
      <c r="G378" s="71" t="s">
        <v>7</v>
      </c>
      <c r="H378" s="71" t="s">
        <v>7</v>
      </c>
      <c r="I378" s="71" t="s">
        <v>7</v>
      </c>
      <c r="J378" s="71" t="s">
        <v>7</v>
      </c>
      <c r="K378" s="71" t="s">
        <v>7</v>
      </c>
      <c r="L378" s="50">
        <v>5300.0</v>
      </c>
      <c r="M378" s="71" t="s">
        <v>7</v>
      </c>
      <c r="N378" s="71" t="s">
        <v>7</v>
      </c>
      <c r="O378" s="71" t="s">
        <v>7</v>
      </c>
      <c r="P378" s="71" t="s">
        <v>7</v>
      </c>
      <c r="Q378" s="71" t="s">
        <v>7</v>
      </c>
      <c r="R378" s="71" t="s">
        <v>7</v>
      </c>
      <c r="S378" s="71" t="s">
        <v>7</v>
      </c>
      <c r="T378" s="71" t="s">
        <v>7</v>
      </c>
      <c r="U378" s="84"/>
      <c r="V378" s="84"/>
      <c r="W378" s="84"/>
      <c r="X378" s="84"/>
      <c r="Y378" s="84"/>
      <c r="Z378" s="84"/>
      <c r="AA378" s="84"/>
      <c r="AB378" s="84"/>
      <c r="AC378" s="84"/>
      <c r="AD378" s="84"/>
      <c r="AE378" s="84"/>
      <c r="AF378" s="84"/>
      <c r="AG378" s="88"/>
      <c r="AH378" s="24"/>
    </row>
    <row r="379" ht="12.75" customHeight="1">
      <c r="A379" s="46" t="s">
        <v>258</v>
      </c>
      <c r="B379" s="51" t="s">
        <v>52</v>
      </c>
      <c r="C379" s="71" t="s">
        <v>7</v>
      </c>
      <c r="D379" s="71" t="s">
        <v>7</v>
      </c>
      <c r="E379" s="50">
        <v>178.0</v>
      </c>
      <c r="F379" s="71" t="s">
        <v>7</v>
      </c>
      <c r="G379" s="71" t="s">
        <v>7</v>
      </c>
      <c r="H379" s="71" t="s">
        <v>7</v>
      </c>
      <c r="I379" s="71" t="s">
        <v>7</v>
      </c>
      <c r="J379" s="71" t="s">
        <v>7</v>
      </c>
      <c r="K379" s="71" t="s">
        <v>7</v>
      </c>
      <c r="L379" s="50">
        <v>274.0</v>
      </c>
      <c r="M379" s="71" t="s">
        <v>7</v>
      </c>
      <c r="N379" s="71" t="s">
        <v>7</v>
      </c>
      <c r="O379" s="71" t="s">
        <v>7</v>
      </c>
      <c r="P379" s="71" t="s">
        <v>7</v>
      </c>
      <c r="Q379" s="71" t="s">
        <v>7</v>
      </c>
      <c r="R379" s="71" t="s">
        <v>7</v>
      </c>
      <c r="S379" s="71" t="s">
        <v>7</v>
      </c>
      <c r="T379" s="71" t="s">
        <v>7</v>
      </c>
      <c r="U379" s="84"/>
      <c r="V379" s="84"/>
      <c r="W379" s="84"/>
      <c r="X379" s="84"/>
      <c r="Y379" s="84"/>
      <c r="Z379" s="84"/>
      <c r="AA379" s="84"/>
      <c r="AB379" s="84"/>
      <c r="AC379" s="84"/>
      <c r="AD379" s="84"/>
      <c r="AE379" s="84"/>
      <c r="AF379" s="84"/>
      <c r="AG379" s="88"/>
      <c r="AH379" s="24"/>
    </row>
    <row r="380" ht="12.75" customHeight="1">
      <c r="A380" s="46" t="s">
        <v>266</v>
      </c>
      <c r="B380" s="51" t="s">
        <v>52</v>
      </c>
      <c r="C380" s="71" t="s">
        <v>7</v>
      </c>
      <c r="D380" s="71" t="s">
        <v>7</v>
      </c>
      <c r="E380" s="50">
        <v>2131.0</v>
      </c>
      <c r="F380" s="71" t="s">
        <v>7</v>
      </c>
      <c r="G380" s="71" t="s">
        <v>7</v>
      </c>
      <c r="H380" s="71" t="s">
        <v>7</v>
      </c>
      <c r="I380" s="71" t="s">
        <v>7</v>
      </c>
      <c r="J380" s="71" t="s">
        <v>7</v>
      </c>
      <c r="K380" s="71" t="s">
        <v>7</v>
      </c>
      <c r="L380" s="50">
        <v>2500.0</v>
      </c>
      <c r="M380" s="71" t="s">
        <v>7</v>
      </c>
      <c r="N380" s="71" t="s">
        <v>7</v>
      </c>
      <c r="O380" s="71" t="s">
        <v>7</v>
      </c>
      <c r="P380" s="71" t="s">
        <v>7</v>
      </c>
      <c r="Q380" s="71" t="s">
        <v>7</v>
      </c>
      <c r="R380" s="71" t="s">
        <v>7</v>
      </c>
      <c r="S380" s="71" t="s">
        <v>7</v>
      </c>
      <c r="T380" s="71" t="s">
        <v>7</v>
      </c>
      <c r="U380" s="84"/>
      <c r="V380" s="84"/>
      <c r="W380" s="84"/>
      <c r="X380" s="84"/>
      <c r="Y380" s="84"/>
      <c r="Z380" s="84"/>
      <c r="AA380" s="84"/>
      <c r="AB380" s="84"/>
      <c r="AC380" s="84"/>
      <c r="AD380" s="84"/>
      <c r="AE380" s="84"/>
      <c r="AF380" s="84"/>
      <c r="AG380" s="88"/>
      <c r="AH380" s="24"/>
    </row>
    <row r="381" ht="12.75" customHeight="1">
      <c r="A381" s="46" t="s">
        <v>256</v>
      </c>
      <c r="B381" s="51" t="s">
        <v>52</v>
      </c>
      <c r="C381" s="71" t="s">
        <v>7</v>
      </c>
      <c r="D381" s="71" t="s">
        <v>7</v>
      </c>
      <c r="E381" s="50">
        <v>268.0</v>
      </c>
      <c r="F381" s="71" t="s">
        <v>7</v>
      </c>
      <c r="G381" s="71" t="s">
        <v>7</v>
      </c>
      <c r="H381" s="71" t="s">
        <v>7</v>
      </c>
      <c r="I381" s="71" t="s">
        <v>7</v>
      </c>
      <c r="J381" s="71" t="s">
        <v>7</v>
      </c>
      <c r="K381" s="71" t="s">
        <v>7</v>
      </c>
      <c r="L381" s="50">
        <v>274.0</v>
      </c>
      <c r="M381" s="71" t="s">
        <v>7</v>
      </c>
      <c r="N381" s="71" t="s">
        <v>7</v>
      </c>
      <c r="O381" s="71" t="s">
        <v>7</v>
      </c>
      <c r="P381" s="71" t="s">
        <v>7</v>
      </c>
      <c r="Q381" s="71" t="s">
        <v>7</v>
      </c>
      <c r="R381" s="71" t="s">
        <v>7</v>
      </c>
      <c r="S381" s="71" t="s">
        <v>7</v>
      </c>
      <c r="T381" s="71" t="s">
        <v>7</v>
      </c>
      <c r="U381" s="84"/>
      <c r="V381" s="84"/>
      <c r="W381" s="84"/>
      <c r="X381" s="84"/>
      <c r="Y381" s="84"/>
      <c r="Z381" s="84"/>
      <c r="AA381" s="84"/>
      <c r="AB381" s="84"/>
      <c r="AC381" s="84"/>
      <c r="AD381" s="84"/>
      <c r="AE381" s="84"/>
      <c r="AF381" s="84"/>
      <c r="AG381" s="88"/>
      <c r="AH381" s="24"/>
    </row>
    <row r="382" ht="12.75" customHeight="1">
      <c r="A382" s="46" t="s">
        <v>263</v>
      </c>
      <c r="B382" s="51" t="s">
        <v>52</v>
      </c>
      <c r="C382" s="71" t="s">
        <v>7</v>
      </c>
      <c r="D382" s="71" t="s">
        <v>7</v>
      </c>
      <c r="E382" s="50">
        <v>50.0</v>
      </c>
      <c r="F382" s="71" t="s">
        <v>7</v>
      </c>
      <c r="G382" s="71" t="s">
        <v>7</v>
      </c>
      <c r="H382" s="71" t="s">
        <v>7</v>
      </c>
      <c r="I382" s="71" t="s">
        <v>7</v>
      </c>
      <c r="J382" s="71" t="s">
        <v>7</v>
      </c>
      <c r="K382" s="71" t="s">
        <v>7</v>
      </c>
      <c r="L382" s="50">
        <v>50.0</v>
      </c>
      <c r="M382" s="71" t="s">
        <v>7</v>
      </c>
      <c r="N382" s="71" t="s">
        <v>7</v>
      </c>
      <c r="O382" s="71" t="s">
        <v>7</v>
      </c>
      <c r="P382" s="71" t="s">
        <v>7</v>
      </c>
      <c r="Q382" s="71" t="s">
        <v>7</v>
      </c>
      <c r="R382" s="71" t="s">
        <v>7</v>
      </c>
      <c r="S382" s="71" t="s">
        <v>7</v>
      </c>
      <c r="T382" s="71" t="s">
        <v>7</v>
      </c>
      <c r="U382" s="84"/>
      <c r="V382" s="84"/>
      <c r="W382" s="84"/>
      <c r="X382" s="84"/>
      <c r="Y382" s="84"/>
      <c r="Z382" s="84"/>
      <c r="AA382" s="84"/>
      <c r="AB382" s="84"/>
      <c r="AC382" s="84"/>
      <c r="AD382" s="84"/>
      <c r="AE382" s="84"/>
      <c r="AF382" s="84"/>
      <c r="AG382" s="88"/>
      <c r="AH382" s="24"/>
    </row>
    <row r="383" ht="12.75" customHeight="1">
      <c r="A383" s="46" t="s">
        <v>414</v>
      </c>
      <c r="B383" s="51" t="s">
        <v>52</v>
      </c>
      <c r="C383" s="71" t="s">
        <v>7</v>
      </c>
      <c r="D383" s="71" t="s">
        <v>7</v>
      </c>
      <c r="E383" s="50">
        <v>300.0</v>
      </c>
      <c r="F383" s="71" t="s">
        <v>7</v>
      </c>
      <c r="G383" s="71" t="s">
        <v>7</v>
      </c>
      <c r="H383" s="71" t="s">
        <v>7</v>
      </c>
      <c r="I383" s="71" t="s">
        <v>7</v>
      </c>
      <c r="J383" s="71" t="s">
        <v>7</v>
      </c>
      <c r="K383" s="71" t="s">
        <v>7</v>
      </c>
      <c r="L383" s="50">
        <v>375.0</v>
      </c>
      <c r="M383" s="71" t="s">
        <v>7</v>
      </c>
      <c r="N383" s="71" t="s">
        <v>7</v>
      </c>
      <c r="O383" s="71" t="s">
        <v>7</v>
      </c>
      <c r="P383" s="71" t="s">
        <v>7</v>
      </c>
      <c r="Q383" s="71" t="s">
        <v>7</v>
      </c>
      <c r="R383" s="71" t="s">
        <v>7</v>
      </c>
      <c r="S383" s="71" t="s">
        <v>7</v>
      </c>
      <c r="T383" s="71" t="s">
        <v>7</v>
      </c>
      <c r="U383" s="84"/>
      <c r="V383" s="84"/>
      <c r="W383" s="84"/>
      <c r="X383" s="84"/>
      <c r="Y383" s="84"/>
      <c r="Z383" s="84"/>
      <c r="AA383" s="84"/>
      <c r="AB383" s="84"/>
      <c r="AC383" s="84"/>
      <c r="AD383" s="84"/>
      <c r="AE383" s="84"/>
      <c r="AF383" s="84"/>
      <c r="AG383" s="88"/>
      <c r="AH383" s="24"/>
    </row>
    <row r="384" ht="12.75" customHeight="1">
      <c r="A384" s="52" t="s">
        <v>251</v>
      </c>
      <c r="B384" s="58" t="s">
        <v>52</v>
      </c>
      <c r="C384" s="256" t="s">
        <v>7</v>
      </c>
      <c r="D384" s="256" t="s">
        <v>7</v>
      </c>
      <c r="E384" s="56">
        <v>8200.0</v>
      </c>
      <c r="F384" s="256" t="s">
        <v>7</v>
      </c>
      <c r="G384" s="256" t="s">
        <v>7</v>
      </c>
      <c r="H384" s="256" t="s">
        <v>7</v>
      </c>
      <c r="I384" s="256" t="s">
        <v>7</v>
      </c>
      <c r="J384" s="256" t="s">
        <v>7</v>
      </c>
      <c r="K384" s="256" t="s">
        <v>7</v>
      </c>
      <c r="L384" s="56">
        <v>8832.0</v>
      </c>
      <c r="M384" s="256" t="s">
        <v>7</v>
      </c>
      <c r="N384" s="256" t="s">
        <v>7</v>
      </c>
      <c r="O384" s="256" t="s">
        <v>7</v>
      </c>
      <c r="P384" s="256" t="s">
        <v>7</v>
      </c>
      <c r="Q384" s="256" t="s">
        <v>7</v>
      </c>
      <c r="R384" s="256" t="s">
        <v>7</v>
      </c>
      <c r="S384" s="256" t="s">
        <v>7</v>
      </c>
      <c r="T384" s="256" t="s">
        <v>7</v>
      </c>
      <c r="U384" s="98"/>
      <c r="V384" s="98"/>
      <c r="W384" s="98"/>
      <c r="X384" s="98"/>
      <c r="Y384" s="98"/>
      <c r="Z384" s="98"/>
      <c r="AA384" s="98"/>
      <c r="AB384" s="98"/>
      <c r="AC384" s="98"/>
      <c r="AD384" s="98"/>
      <c r="AE384" s="98"/>
      <c r="AF384" s="98"/>
      <c r="AG384" s="113"/>
      <c r="AH384" s="24"/>
    </row>
    <row r="385" ht="12.75" customHeight="1">
      <c r="A385" s="59" t="s">
        <v>44</v>
      </c>
      <c r="B385" s="60"/>
      <c r="C385" s="277" t="s">
        <v>7</v>
      </c>
      <c r="D385" s="65" t="s">
        <v>7</v>
      </c>
      <c r="E385" s="67">
        <f>12.2*10^6*365/325851</f>
        <v>13665.75521</v>
      </c>
      <c r="F385" s="65" t="s">
        <v>7</v>
      </c>
      <c r="G385" s="65" t="s">
        <v>7</v>
      </c>
      <c r="H385" s="65" t="s">
        <v>7</v>
      </c>
      <c r="I385" s="65" t="s">
        <v>7</v>
      </c>
      <c r="J385" s="65" t="s">
        <v>7</v>
      </c>
      <c r="K385" s="65" t="s">
        <v>7</v>
      </c>
      <c r="L385" s="67">
        <v>13428.0</v>
      </c>
      <c r="M385" s="65" t="s">
        <v>7</v>
      </c>
      <c r="N385" s="65" t="s">
        <v>7</v>
      </c>
      <c r="O385" s="277"/>
      <c r="P385" s="65" t="s">
        <v>7</v>
      </c>
      <c r="Q385" s="65" t="s">
        <v>7</v>
      </c>
      <c r="R385" s="65" t="s">
        <v>7</v>
      </c>
      <c r="S385" s="65" t="s">
        <v>7</v>
      </c>
      <c r="T385" s="65" t="s">
        <v>7</v>
      </c>
      <c r="U385" s="65"/>
      <c r="V385" s="65"/>
      <c r="W385" s="65"/>
      <c r="X385" s="65"/>
      <c r="Y385" s="65"/>
      <c r="Z385" s="65"/>
      <c r="AA385" s="65"/>
      <c r="AB385" s="65"/>
      <c r="AC385" s="65"/>
      <c r="AD385" s="65"/>
      <c r="AE385" s="65"/>
      <c r="AF385" s="65"/>
      <c r="AG385" s="69"/>
      <c r="AH385" s="24"/>
    </row>
    <row r="386" ht="12.75" customHeight="1">
      <c r="A386" s="46" t="s">
        <v>48</v>
      </c>
      <c r="B386" s="47"/>
      <c r="C386" s="71" t="s">
        <v>7</v>
      </c>
      <c r="D386" s="49" t="s">
        <v>7</v>
      </c>
      <c r="E386" s="50">
        <f>0.68*E385</f>
        <v>9292.713541</v>
      </c>
      <c r="F386" s="49" t="s">
        <v>7</v>
      </c>
      <c r="G386" s="49" t="s">
        <v>7</v>
      </c>
      <c r="H386" s="49" t="s">
        <v>7</v>
      </c>
      <c r="I386" s="49" t="s">
        <v>7</v>
      </c>
      <c r="J386" s="49" t="s">
        <v>7</v>
      </c>
      <c r="K386" s="49" t="s">
        <v>7</v>
      </c>
      <c r="L386" s="50">
        <v>5700.0</v>
      </c>
      <c r="M386" s="49" t="s">
        <v>7</v>
      </c>
      <c r="N386" s="49" t="s">
        <v>7</v>
      </c>
      <c r="O386" s="71"/>
      <c r="P386" s="49" t="s">
        <v>7</v>
      </c>
      <c r="Q386" s="49" t="s">
        <v>7</v>
      </c>
      <c r="R386" s="49" t="s">
        <v>7</v>
      </c>
      <c r="S386" s="49" t="s">
        <v>7</v>
      </c>
      <c r="T386" s="49" t="s">
        <v>7</v>
      </c>
      <c r="U386" s="49"/>
      <c r="V386" s="49"/>
      <c r="W386" s="49"/>
      <c r="X386" s="49"/>
      <c r="Y386" s="49"/>
      <c r="Z386" s="49"/>
      <c r="AA386" s="49"/>
      <c r="AB386" s="49"/>
      <c r="AC386" s="49"/>
      <c r="AD386" s="49"/>
      <c r="AE386" s="49"/>
      <c r="AF386" s="49"/>
      <c r="AG386" s="51"/>
      <c r="AH386" s="24"/>
    </row>
    <row r="387" ht="12.75" customHeight="1">
      <c r="A387" s="74" t="s">
        <v>49</v>
      </c>
      <c r="B387" s="75"/>
      <c r="C387" s="400" t="s">
        <v>7</v>
      </c>
      <c r="D387" s="77" t="s">
        <v>7</v>
      </c>
      <c r="E387" s="78">
        <f>0.32*E385</f>
        <v>4373.041666</v>
      </c>
      <c r="F387" s="77" t="s">
        <v>7</v>
      </c>
      <c r="G387" s="77" t="s">
        <v>7</v>
      </c>
      <c r="H387" s="77" t="s">
        <v>7</v>
      </c>
      <c r="I387" s="77" t="s">
        <v>7</v>
      </c>
      <c r="J387" s="77" t="s">
        <v>7</v>
      </c>
      <c r="K387" s="77" t="s">
        <v>7</v>
      </c>
      <c r="L387" s="78">
        <v>7728.0</v>
      </c>
      <c r="M387" s="77" t="s">
        <v>7</v>
      </c>
      <c r="N387" s="77" t="s">
        <v>7</v>
      </c>
      <c r="O387" s="77"/>
      <c r="P387" s="77" t="s">
        <v>7</v>
      </c>
      <c r="Q387" s="77" t="s">
        <v>7</v>
      </c>
      <c r="R387" s="77" t="s">
        <v>7</v>
      </c>
      <c r="S387" s="77" t="s">
        <v>7</v>
      </c>
      <c r="T387" s="77" t="s">
        <v>7</v>
      </c>
      <c r="U387" s="77"/>
      <c r="V387" s="77"/>
      <c r="W387" s="77"/>
      <c r="X387" s="77"/>
      <c r="Y387" s="77"/>
      <c r="Z387" s="77"/>
      <c r="AA387" s="77"/>
      <c r="AB387" s="77"/>
      <c r="AC387" s="77"/>
      <c r="AD387" s="77"/>
      <c r="AE387" s="77"/>
      <c r="AF387" s="77"/>
      <c r="AG387" s="81"/>
      <c r="AH387" s="24"/>
    </row>
    <row r="388" ht="12.75" customHeight="1">
      <c r="A388" s="164" t="s">
        <v>50</v>
      </c>
      <c r="B388" s="170"/>
      <c r="C388" s="197">
        <f t="shared" ref="C388:AG388" si="74">SUM(C389:C413)</f>
        <v>49778</v>
      </c>
      <c r="D388" s="197">
        <f t="shared" si="74"/>
        <v>49245</v>
      </c>
      <c r="E388" s="197">
        <f t="shared" si="74"/>
        <v>49255</v>
      </c>
      <c r="F388" s="197">
        <f t="shared" si="74"/>
        <v>49269</v>
      </c>
      <c r="G388" s="197">
        <f t="shared" si="74"/>
        <v>49481</v>
      </c>
      <c r="H388" s="197">
        <f t="shared" si="74"/>
        <v>49854</v>
      </c>
      <c r="I388" s="197">
        <f t="shared" si="74"/>
        <v>50330</v>
      </c>
      <c r="J388" s="197">
        <f t="shared" si="74"/>
        <v>51113</v>
      </c>
      <c r="K388" s="197">
        <f t="shared" si="74"/>
        <v>51807</v>
      </c>
      <c r="L388" s="197">
        <f t="shared" si="74"/>
        <v>52714</v>
      </c>
      <c r="M388" s="197">
        <f t="shared" si="74"/>
        <v>53652</v>
      </c>
      <c r="N388" s="197">
        <f t="shared" si="74"/>
        <v>53917</v>
      </c>
      <c r="O388" s="197">
        <f t="shared" si="74"/>
        <v>54436</v>
      </c>
      <c r="P388" s="197">
        <f t="shared" si="74"/>
        <v>54673</v>
      </c>
      <c r="Q388" s="197">
        <f t="shared" si="74"/>
        <v>54305</v>
      </c>
      <c r="R388" s="197">
        <f t="shared" si="74"/>
        <v>54127</v>
      </c>
      <c r="S388" s="197">
        <f t="shared" si="74"/>
        <v>54245</v>
      </c>
      <c r="T388" s="197">
        <f t="shared" si="74"/>
        <v>54004</v>
      </c>
      <c r="U388" s="197">
        <f t="shared" si="74"/>
        <v>53472</v>
      </c>
      <c r="V388" s="197">
        <f t="shared" si="74"/>
        <v>0</v>
      </c>
      <c r="W388" s="197">
        <f t="shared" si="74"/>
        <v>0</v>
      </c>
      <c r="X388" s="197">
        <f t="shared" si="74"/>
        <v>0</v>
      </c>
      <c r="Y388" s="197">
        <f t="shared" si="74"/>
        <v>0</v>
      </c>
      <c r="Z388" s="197">
        <f t="shared" si="74"/>
        <v>0</v>
      </c>
      <c r="AA388" s="197">
        <f t="shared" si="74"/>
        <v>0</v>
      </c>
      <c r="AB388" s="197">
        <f t="shared" si="74"/>
        <v>0</v>
      </c>
      <c r="AC388" s="197">
        <f t="shared" si="74"/>
        <v>0</v>
      </c>
      <c r="AD388" s="197">
        <f t="shared" si="74"/>
        <v>0</v>
      </c>
      <c r="AE388" s="197">
        <f t="shared" si="74"/>
        <v>0</v>
      </c>
      <c r="AF388" s="197">
        <f t="shared" si="74"/>
        <v>0</v>
      </c>
      <c r="AG388" s="199">
        <f t="shared" si="74"/>
        <v>0</v>
      </c>
      <c r="AH388" s="24"/>
    </row>
    <row r="389" ht="12.75" customHeight="1">
      <c r="A389" s="46" t="s">
        <v>248</v>
      </c>
      <c r="B389" s="51" t="s">
        <v>51</v>
      </c>
      <c r="C389" s="84">
        <f>VLOOKUP($A389,'US Census Population Estimates'!$A$20:$AG$266,C$93,FALSE)</f>
        <v>238</v>
      </c>
      <c r="D389" s="84">
        <f>VLOOKUP($A389,'US Census Population Estimates'!$A$20:$AG$266,D$93,FALSE)</f>
        <v>238</v>
      </c>
      <c r="E389" s="84">
        <f>VLOOKUP($A389,'US Census Population Estimates'!$A$20:$AG$266,E$93,FALSE)</f>
        <v>242</v>
      </c>
      <c r="F389" s="84">
        <f>VLOOKUP($A389,'US Census Population Estimates'!$A$20:$AG$266,F$93,FALSE)</f>
        <v>244</v>
      </c>
      <c r="G389" s="84">
        <f>VLOOKUP($A389,'US Census Population Estimates'!$A$20:$AG$266,G$93,FALSE)</f>
        <v>253</v>
      </c>
      <c r="H389" s="84">
        <f>VLOOKUP($A389,'US Census Population Estimates'!$A$20:$AG$266,H$93,FALSE)</f>
        <v>256</v>
      </c>
      <c r="I389" s="84">
        <f>VLOOKUP($A389,'US Census Population Estimates'!$A$20:$AG$266,I$93,FALSE)</f>
        <v>261</v>
      </c>
      <c r="J389" s="84">
        <f>VLOOKUP($A389,'US Census Population Estimates'!$A$20:$AG$266,J$93,FALSE)</f>
        <v>268</v>
      </c>
      <c r="K389" s="84">
        <f>VLOOKUP($A389,'US Census Population Estimates'!$A$20:$AG$266,K$93,FALSE)</f>
        <v>274</v>
      </c>
      <c r="L389" s="84">
        <f>VLOOKUP($A389,'US Census Population Estimates'!$A$20:$AG$266,L$93,FALSE)</f>
        <v>282</v>
      </c>
      <c r="M389" s="84">
        <f>VLOOKUP($A389,'US Census Population Estimates'!$A$20:$AG$266,M$93,FALSE)</f>
        <v>291</v>
      </c>
      <c r="N389" s="84">
        <f>VLOOKUP($A389,'US Census Population Estimates'!$A$20:$AG$266,N$93,FALSE)</f>
        <v>301</v>
      </c>
      <c r="O389" s="84">
        <f>VLOOKUP($A389,'US Census Population Estimates'!$A$20:$AG$266,O$93,FALSE)</f>
        <v>307</v>
      </c>
      <c r="P389" s="84">
        <f>VLOOKUP($A389,'US Census Population Estimates'!$A$20:$AG$266,P$93,FALSE)</f>
        <v>319</v>
      </c>
      <c r="Q389" s="84">
        <f>VLOOKUP($A389,'US Census Population Estimates'!$A$20:$AG$266,Q$93,FALSE)</f>
        <v>326</v>
      </c>
      <c r="R389" s="84">
        <f>VLOOKUP($A389,'US Census Population Estimates'!$A$20:$AG$266,R$93,FALSE)</f>
        <v>333</v>
      </c>
      <c r="S389" s="84">
        <f>VLOOKUP($A389,'US Census Population Estimates'!$A$20:$AG$266,S$93,FALSE)</f>
        <v>335</v>
      </c>
      <c r="T389" s="84">
        <f>VLOOKUP($A389,'US Census Population Estimates'!$A$20:$AG$266,T$93,FALSE)</f>
        <v>337</v>
      </c>
      <c r="U389" s="84">
        <f>VLOOKUP($A389,'US Census Population Estimates'!$A$20:$AG$266,U$93,FALSE)</f>
        <v>339</v>
      </c>
      <c r="V389" s="84" t="str">
        <f>VLOOKUP($A389,'US Census Population Estimates'!$A$20:$AG$266,V$93,FALSE)</f>
        <v/>
      </c>
      <c r="W389" s="84" t="str">
        <f>VLOOKUP($A389,'US Census Population Estimates'!$A$20:$AG$266,W$93,FALSE)</f>
        <v/>
      </c>
      <c r="X389" s="84" t="str">
        <f>VLOOKUP($A389,'US Census Population Estimates'!$A$20:$AG$266,X$93,FALSE)</f>
        <v/>
      </c>
      <c r="Y389" s="84" t="str">
        <f>VLOOKUP($A389,'US Census Population Estimates'!$A$20:$AG$266,Y$93,FALSE)</f>
        <v/>
      </c>
      <c r="Z389" s="84" t="str">
        <f>VLOOKUP($A389,'US Census Population Estimates'!$A$20:$AG$266,Z$93,FALSE)</f>
        <v/>
      </c>
      <c r="AA389" s="84" t="str">
        <f>VLOOKUP($A389,'US Census Population Estimates'!$A$20:$AG$266,AA$93,FALSE)</f>
        <v/>
      </c>
      <c r="AB389" s="84" t="str">
        <f>VLOOKUP($A389,'US Census Population Estimates'!$A$20:$AG$266,AB$93,FALSE)</f>
        <v/>
      </c>
      <c r="AC389" s="84" t="str">
        <f>VLOOKUP($A389,'US Census Population Estimates'!$A$20:$AG$266,AC$93,FALSE)</f>
        <v/>
      </c>
      <c r="AD389" s="84" t="str">
        <f>VLOOKUP($A389,'US Census Population Estimates'!$A$20:$AG$266,AD$93,FALSE)</f>
        <v/>
      </c>
      <c r="AE389" s="84" t="str">
        <f>VLOOKUP($A389,'US Census Population Estimates'!$A$20:$AG$266,AE$93,FALSE)</f>
        <v/>
      </c>
      <c r="AF389" s="84" t="str">
        <f>VLOOKUP($A389,'US Census Population Estimates'!$A$20:$AG$266,AF$93,FALSE)</f>
        <v/>
      </c>
      <c r="AG389" s="88" t="str">
        <f>VLOOKUP($A389,'US Census Population Estimates'!$A$20:$AG$266,AG$93,FALSE)</f>
        <v/>
      </c>
      <c r="AH389" s="24"/>
    </row>
    <row r="390" ht="12.75" customHeight="1">
      <c r="A390" s="46" t="s">
        <v>252</v>
      </c>
      <c r="B390" s="51" t="s">
        <v>51</v>
      </c>
      <c r="C390" s="84">
        <f>VLOOKUP($A390,'US Census Population Estimates'!$A$20:$AG$266,C$93,FALSE)</f>
        <v>564</v>
      </c>
      <c r="D390" s="84">
        <f>VLOOKUP($A390,'US Census Population Estimates'!$A$20:$AG$266,D$93,FALSE)</f>
        <v>563</v>
      </c>
      <c r="E390" s="84">
        <f>VLOOKUP($A390,'US Census Population Estimates'!$A$20:$AG$266,E$93,FALSE)</f>
        <v>568</v>
      </c>
      <c r="F390" s="84">
        <f>VLOOKUP($A390,'US Census Population Estimates'!$A$20:$AG$266,F$93,FALSE)</f>
        <v>571</v>
      </c>
      <c r="G390" s="84">
        <f>VLOOKUP($A390,'US Census Population Estimates'!$A$20:$AG$266,G$93,FALSE)</f>
        <v>588</v>
      </c>
      <c r="H390" s="84">
        <f>VLOOKUP($A390,'US Census Population Estimates'!$A$20:$AG$266,H$93,FALSE)</f>
        <v>593</v>
      </c>
      <c r="I390" s="84">
        <f>VLOOKUP($A390,'US Census Population Estimates'!$A$20:$AG$266,I$93,FALSE)</f>
        <v>602</v>
      </c>
      <c r="J390" s="84">
        <f>VLOOKUP($A390,'US Census Population Estimates'!$A$20:$AG$266,J$93,FALSE)</f>
        <v>617</v>
      </c>
      <c r="K390" s="84">
        <f>VLOOKUP($A390,'US Census Population Estimates'!$A$20:$AG$266,K$93,FALSE)</f>
        <v>628</v>
      </c>
      <c r="L390" s="84">
        <f>VLOOKUP($A390,'US Census Population Estimates'!$A$20:$AG$266,L$93,FALSE)</f>
        <v>642</v>
      </c>
      <c r="M390" s="84">
        <f>VLOOKUP($A390,'US Census Population Estimates'!$A$20:$AG$266,M$93,FALSE)</f>
        <v>657</v>
      </c>
      <c r="N390" s="84">
        <f>VLOOKUP($A390,'US Census Population Estimates'!$A$20:$AG$266,N$93,FALSE)</f>
        <v>677</v>
      </c>
      <c r="O390" s="84">
        <f>VLOOKUP($A390,'US Census Population Estimates'!$A$20:$AG$266,O$93,FALSE)</f>
        <v>693</v>
      </c>
      <c r="P390" s="84">
        <f>VLOOKUP($A390,'US Census Population Estimates'!$A$20:$AG$266,P$93,FALSE)</f>
        <v>711</v>
      </c>
      <c r="Q390" s="84">
        <f>VLOOKUP($A390,'US Census Population Estimates'!$A$20:$AG$266,Q$93,FALSE)</f>
        <v>715</v>
      </c>
      <c r="R390" s="84">
        <f>VLOOKUP($A390,'US Census Population Estimates'!$A$20:$AG$266,R$93,FALSE)</f>
        <v>735</v>
      </c>
      <c r="S390" s="84">
        <f>VLOOKUP($A390,'US Census Population Estimates'!$A$20:$AG$266,S$93,FALSE)</f>
        <v>743</v>
      </c>
      <c r="T390" s="84">
        <f>VLOOKUP($A390,'US Census Population Estimates'!$A$20:$AG$266,T$93,FALSE)</f>
        <v>748</v>
      </c>
      <c r="U390" s="84">
        <f>VLOOKUP($A390,'US Census Population Estimates'!$A$20:$AG$266,U$93,FALSE)</f>
        <v>755</v>
      </c>
      <c r="V390" s="84" t="str">
        <f>VLOOKUP($A390,'US Census Population Estimates'!$A$20:$AG$266,V$93,FALSE)</f>
        <v/>
      </c>
      <c r="W390" s="84" t="str">
        <f>VLOOKUP($A390,'US Census Population Estimates'!$A$20:$AG$266,W$93,FALSE)</f>
        <v/>
      </c>
      <c r="X390" s="84" t="str">
        <f>VLOOKUP($A390,'US Census Population Estimates'!$A$20:$AG$266,X$93,FALSE)</f>
        <v/>
      </c>
      <c r="Y390" s="84" t="str">
        <f>VLOOKUP($A390,'US Census Population Estimates'!$A$20:$AG$266,Y$93,FALSE)</f>
        <v/>
      </c>
      <c r="Z390" s="84" t="str">
        <f>VLOOKUP($A390,'US Census Population Estimates'!$A$20:$AG$266,Z$93,FALSE)</f>
        <v/>
      </c>
      <c r="AA390" s="84" t="str">
        <f>VLOOKUP($A390,'US Census Population Estimates'!$A$20:$AG$266,AA$93,FALSE)</f>
        <v/>
      </c>
      <c r="AB390" s="84" t="str">
        <f>VLOOKUP($A390,'US Census Population Estimates'!$A$20:$AG$266,AB$93,FALSE)</f>
        <v/>
      </c>
      <c r="AC390" s="84" t="str">
        <f>VLOOKUP($A390,'US Census Population Estimates'!$A$20:$AG$266,AC$93,FALSE)</f>
        <v/>
      </c>
      <c r="AD390" s="84" t="str">
        <f>VLOOKUP($A390,'US Census Population Estimates'!$A$20:$AG$266,AD$93,FALSE)</f>
        <v/>
      </c>
      <c r="AE390" s="84" t="str">
        <f>VLOOKUP($A390,'US Census Population Estimates'!$A$20:$AG$266,AE$93,FALSE)</f>
        <v/>
      </c>
      <c r="AF390" s="84" t="str">
        <f>VLOOKUP($A390,'US Census Population Estimates'!$A$20:$AG$266,AF$93,FALSE)</f>
        <v/>
      </c>
      <c r="AG390" s="88" t="str">
        <f>VLOOKUP($A390,'US Census Population Estimates'!$A$20:$AG$266,AG$93,FALSE)</f>
        <v/>
      </c>
      <c r="AH390" s="24"/>
    </row>
    <row r="391" ht="12.75" customHeight="1">
      <c r="A391" s="46" t="s">
        <v>259</v>
      </c>
      <c r="B391" s="51" t="s">
        <v>51</v>
      </c>
      <c r="C391" s="84">
        <f>VLOOKUP($A391,'US Census Population Estimates'!$A$20:$AG$266,C$93,FALSE)</f>
        <v>1815</v>
      </c>
      <c r="D391" s="84">
        <f>VLOOKUP($A391,'US Census Population Estimates'!$A$20:$AG$266,D$93,FALSE)</f>
        <v>1784</v>
      </c>
      <c r="E391" s="84">
        <f>VLOOKUP($A391,'US Census Population Estimates'!$A$20:$AG$266,E$93,FALSE)</f>
        <v>1775</v>
      </c>
      <c r="F391" s="84">
        <f>VLOOKUP($A391,'US Census Population Estimates'!$A$20:$AG$266,F$93,FALSE)</f>
        <v>1761</v>
      </c>
      <c r="G391" s="84">
        <f>VLOOKUP($A391,'US Census Population Estimates'!$A$20:$AG$266,G$93,FALSE)</f>
        <v>1785</v>
      </c>
      <c r="H391" s="84">
        <f>VLOOKUP($A391,'US Census Population Estimates'!$A$20:$AG$266,H$93,FALSE)</f>
        <v>1779</v>
      </c>
      <c r="I391" s="84">
        <f>VLOOKUP($A391,'US Census Population Estimates'!$A$20:$AG$266,I$93,FALSE)</f>
        <v>1781</v>
      </c>
      <c r="J391" s="84">
        <f>VLOOKUP($A391,'US Census Population Estimates'!$A$20:$AG$266,J$93,FALSE)</f>
        <v>1800</v>
      </c>
      <c r="K391" s="84">
        <f>VLOOKUP($A391,'US Census Population Estimates'!$A$20:$AG$266,K$93,FALSE)</f>
        <v>1810</v>
      </c>
      <c r="L391" s="84">
        <f>VLOOKUP($A391,'US Census Population Estimates'!$A$20:$AG$266,L$93,FALSE)</f>
        <v>1828</v>
      </c>
      <c r="M391" s="84">
        <f>VLOOKUP($A391,'US Census Population Estimates'!$A$20:$AG$266,M$93,FALSE)</f>
        <v>1845</v>
      </c>
      <c r="N391" s="84">
        <f>VLOOKUP($A391,'US Census Population Estimates'!$A$20:$AG$266,N$93,FALSE)</f>
        <v>1849</v>
      </c>
      <c r="O391" s="84">
        <f>VLOOKUP($A391,'US Census Population Estimates'!$A$20:$AG$266,O$93,FALSE)</f>
        <v>1852</v>
      </c>
      <c r="P391" s="84">
        <f>VLOOKUP($A391,'US Census Population Estimates'!$A$20:$AG$266,P$93,FALSE)</f>
        <v>1878</v>
      </c>
      <c r="Q391" s="84">
        <f>VLOOKUP($A391,'US Census Population Estimates'!$A$20:$AG$266,Q$93,FALSE)</f>
        <v>1862</v>
      </c>
      <c r="R391" s="84">
        <f>VLOOKUP($A391,'US Census Population Estimates'!$A$20:$AG$266,R$93,FALSE)</f>
        <v>1874</v>
      </c>
      <c r="S391" s="84">
        <f>VLOOKUP($A391,'US Census Population Estimates'!$A$20:$AG$266,S$93,FALSE)</f>
        <v>1869</v>
      </c>
      <c r="T391" s="84">
        <f>VLOOKUP($A391,'US Census Population Estimates'!$A$20:$AG$266,T$93,FALSE)</f>
        <v>1862</v>
      </c>
      <c r="U391" s="84">
        <f>VLOOKUP($A391,'US Census Population Estimates'!$A$20:$AG$266,U$93,FALSE)</f>
        <v>1856</v>
      </c>
      <c r="V391" s="84" t="str">
        <f>VLOOKUP($A391,'US Census Population Estimates'!$A$20:$AG$266,V$93,FALSE)</f>
        <v/>
      </c>
      <c r="W391" s="84" t="str">
        <f>VLOOKUP($A391,'US Census Population Estimates'!$A$20:$AG$266,W$93,FALSE)</f>
        <v/>
      </c>
      <c r="X391" s="84" t="str">
        <f>VLOOKUP($A391,'US Census Population Estimates'!$A$20:$AG$266,X$93,FALSE)</f>
        <v/>
      </c>
      <c r="Y391" s="84" t="str">
        <f>VLOOKUP($A391,'US Census Population Estimates'!$A$20:$AG$266,Y$93,FALSE)</f>
        <v/>
      </c>
      <c r="Z391" s="84" t="str">
        <f>VLOOKUP($A391,'US Census Population Estimates'!$A$20:$AG$266,Z$93,FALSE)</f>
        <v/>
      </c>
      <c r="AA391" s="84" t="str">
        <f>VLOOKUP($A391,'US Census Population Estimates'!$A$20:$AG$266,AA$93,FALSE)</f>
        <v/>
      </c>
      <c r="AB391" s="84" t="str">
        <f>VLOOKUP($A391,'US Census Population Estimates'!$A$20:$AG$266,AB$93,FALSE)</f>
        <v/>
      </c>
      <c r="AC391" s="84" t="str">
        <f>VLOOKUP($A391,'US Census Population Estimates'!$A$20:$AG$266,AC$93,FALSE)</f>
        <v/>
      </c>
      <c r="AD391" s="84" t="str">
        <f>VLOOKUP($A391,'US Census Population Estimates'!$A$20:$AG$266,AD$93,FALSE)</f>
        <v/>
      </c>
      <c r="AE391" s="84" t="str">
        <f>VLOOKUP($A391,'US Census Population Estimates'!$A$20:$AG$266,AE$93,FALSE)</f>
        <v/>
      </c>
      <c r="AF391" s="84" t="str">
        <f>VLOOKUP($A391,'US Census Population Estimates'!$A$20:$AG$266,AF$93,FALSE)</f>
        <v/>
      </c>
      <c r="AG391" s="88" t="str">
        <f>VLOOKUP($A391,'US Census Population Estimates'!$A$20:$AG$266,AG$93,FALSE)</f>
        <v/>
      </c>
      <c r="AH391" s="24"/>
    </row>
    <row r="392" ht="12.75" customHeight="1">
      <c r="A392" s="46" t="s">
        <v>412</v>
      </c>
      <c r="B392" s="51" t="s">
        <v>51</v>
      </c>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c r="AG392" s="88"/>
      <c r="AH392" s="24"/>
    </row>
    <row r="393" ht="12.75" customHeight="1">
      <c r="A393" s="46" t="s">
        <v>255</v>
      </c>
      <c r="B393" s="51" t="s">
        <v>51</v>
      </c>
      <c r="C393" s="84">
        <f>VLOOKUP($A393,'US Census Population Estimates'!$A$20:$AG$266,C$93,FALSE)</f>
        <v>964</v>
      </c>
      <c r="D393" s="84">
        <f>VLOOKUP($A393,'US Census Population Estimates'!$A$20:$AG$266,D$93,FALSE)</f>
        <v>950</v>
      </c>
      <c r="E393" s="84">
        <f>VLOOKUP($A393,'US Census Population Estimates'!$A$20:$AG$266,E$93,FALSE)</f>
        <v>948</v>
      </c>
      <c r="F393" s="84">
        <f>VLOOKUP($A393,'US Census Population Estimates'!$A$20:$AG$266,F$93,FALSE)</f>
        <v>940</v>
      </c>
      <c r="G393" s="84">
        <f>VLOOKUP($A393,'US Census Population Estimates'!$A$20:$AG$266,G$93,FALSE)</f>
        <v>937</v>
      </c>
      <c r="H393" s="84">
        <f>VLOOKUP($A393,'US Census Population Estimates'!$A$20:$AG$266,H$93,FALSE)</f>
        <v>937</v>
      </c>
      <c r="I393" s="84">
        <f>VLOOKUP($A393,'US Census Population Estimates'!$A$20:$AG$266,I$93,FALSE)</f>
        <v>942</v>
      </c>
      <c r="J393" s="84">
        <f>VLOOKUP($A393,'US Census Population Estimates'!$A$20:$AG$266,J$93,FALSE)</f>
        <v>950</v>
      </c>
      <c r="K393" s="84">
        <f>VLOOKUP($A393,'US Census Population Estimates'!$A$20:$AG$266,K$93,FALSE)</f>
        <v>959</v>
      </c>
      <c r="L393" s="84">
        <f>VLOOKUP($A393,'US Census Population Estimates'!$A$20:$AG$266,L$93,FALSE)</f>
        <v>967</v>
      </c>
      <c r="M393" s="84">
        <f>VLOOKUP($A393,'US Census Population Estimates'!$A$20:$AG$266,M$93,FALSE)</f>
        <v>985</v>
      </c>
      <c r="N393" s="84">
        <f>VLOOKUP($A393,'US Census Population Estimates'!$A$20:$AG$266,N$93,FALSE)</f>
        <v>998</v>
      </c>
      <c r="O393" s="84">
        <f>VLOOKUP($A393,'US Census Population Estimates'!$A$20:$AG$266,O$93,FALSE)</f>
        <v>1011</v>
      </c>
      <c r="P393" s="84">
        <f>VLOOKUP($A393,'US Census Population Estimates'!$A$20:$AG$266,P$93,FALSE)</f>
        <v>1006</v>
      </c>
      <c r="Q393" s="84">
        <f>VLOOKUP($A393,'US Census Population Estimates'!$A$20:$AG$266,Q$93,FALSE)</f>
        <v>997</v>
      </c>
      <c r="R393" s="84">
        <f>VLOOKUP($A393,'US Census Population Estimates'!$A$20:$AG$266,R$93,FALSE)</f>
        <v>987</v>
      </c>
      <c r="S393" s="84">
        <f>VLOOKUP($A393,'US Census Population Estimates'!$A$20:$AG$266,S$93,FALSE)</f>
        <v>984</v>
      </c>
      <c r="T393" s="84">
        <f>VLOOKUP($A393,'US Census Population Estimates'!$A$20:$AG$266,T$93,FALSE)</f>
        <v>974</v>
      </c>
      <c r="U393" s="84">
        <f>VLOOKUP($A393,'US Census Population Estimates'!$A$20:$AG$266,U$93,FALSE)</f>
        <v>968</v>
      </c>
      <c r="V393" s="84" t="str">
        <f>VLOOKUP($A393,'US Census Population Estimates'!$A$20:$AG$266,V$93,FALSE)</f>
        <v/>
      </c>
      <c r="W393" s="84" t="str">
        <f>VLOOKUP($A393,'US Census Population Estimates'!$A$20:$AG$266,W$93,FALSE)</f>
        <v/>
      </c>
      <c r="X393" s="84" t="str">
        <f>VLOOKUP($A393,'US Census Population Estimates'!$A$20:$AG$266,X$93,FALSE)</f>
        <v/>
      </c>
      <c r="Y393" s="84" t="str">
        <f>VLOOKUP($A393,'US Census Population Estimates'!$A$20:$AG$266,Y$93,FALSE)</f>
        <v/>
      </c>
      <c r="Z393" s="84" t="str">
        <f>VLOOKUP($A393,'US Census Population Estimates'!$A$20:$AG$266,Z$93,FALSE)</f>
        <v/>
      </c>
      <c r="AA393" s="84" t="str">
        <f>VLOOKUP($A393,'US Census Population Estimates'!$A$20:$AG$266,AA$93,FALSE)</f>
        <v/>
      </c>
      <c r="AB393" s="84" t="str">
        <f>VLOOKUP($A393,'US Census Population Estimates'!$A$20:$AG$266,AB$93,FALSE)</f>
        <v/>
      </c>
      <c r="AC393" s="84" t="str">
        <f>VLOOKUP($A393,'US Census Population Estimates'!$A$20:$AG$266,AC$93,FALSE)</f>
        <v/>
      </c>
      <c r="AD393" s="84" t="str">
        <f>VLOOKUP($A393,'US Census Population Estimates'!$A$20:$AG$266,AD$93,FALSE)</f>
        <v/>
      </c>
      <c r="AE393" s="84" t="str">
        <f>VLOOKUP($A393,'US Census Population Estimates'!$A$20:$AG$266,AE$93,FALSE)</f>
        <v/>
      </c>
      <c r="AF393" s="84" t="str">
        <f>VLOOKUP($A393,'US Census Population Estimates'!$A$20:$AG$266,AF$93,FALSE)</f>
        <v/>
      </c>
      <c r="AG393" s="88" t="str">
        <f>VLOOKUP($A393,'US Census Population Estimates'!$A$20:$AG$266,AG$93,FALSE)</f>
        <v/>
      </c>
      <c r="AH393" s="24"/>
    </row>
    <row r="394" ht="12.75" customHeight="1">
      <c r="A394" s="46" t="s">
        <v>260</v>
      </c>
      <c r="B394" s="51" t="s">
        <v>51</v>
      </c>
      <c r="C394" s="84">
        <f>VLOOKUP($A394,'US Census Population Estimates'!$A$20:$AG$266,C$93,FALSE)</f>
        <v>403</v>
      </c>
      <c r="D394" s="84">
        <f>VLOOKUP($A394,'US Census Population Estimates'!$A$20:$AG$266,D$93,FALSE)</f>
        <v>403</v>
      </c>
      <c r="E394" s="84">
        <f>VLOOKUP($A394,'US Census Population Estimates'!$A$20:$AG$266,E$93,FALSE)</f>
        <v>407</v>
      </c>
      <c r="F394" s="84">
        <f>VLOOKUP($A394,'US Census Population Estimates'!$A$20:$AG$266,F$93,FALSE)</f>
        <v>409</v>
      </c>
      <c r="G394" s="84">
        <f>VLOOKUP($A394,'US Census Population Estimates'!$A$20:$AG$266,G$93,FALSE)</f>
        <v>412</v>
      </c>
      <c r="H394" s="84">
        <f>VLOOKUP($A394,'US Census Population Estimates'!$A$20:$AG$266,H$93,FALSE)</f>
        <v>418</v>
      </c>
      <c r="I394" s="84">
        <f>VLOOKUP($A394,'US Census Population Estimates'!$A$20:$AG$266,I$93,FALSE)</f>
        <v>425</v>
      </c>
      <c r="J394" s="84">
        <f>VLOOKUP($A394,'US Census Population Estimates'!$A$20:$AG$266,J$93,FALSE)</f>
        <v>434</v>
      </c>
      <c r="K394" s="84">
        <f>VLOOKUP($A394,'US Census Population Estimates'!$A$20:$AG$266,K$93,FALSE)</f>
        <v>443</v>
      </c>
      <c r="L394" s="84">
        <f>VLOOKUP($A394,'US Census Population Estimates'!$A$20:$AG$266,L$93,FALSE)</f>
        <v>452</v>
      </c>
      <c r="M394" s="84">
        <f>VLOOKUP($A394,'US Census Population Estimates'!$A$20:$AG$266,M$93,FALSE)</f>
        <v>462</v>
      </c>
      <c r="N394" s="84">
        <f>VLOOKUP($A394,'US Census Population Estimates'!$A$20:$AG$266,N$93,FALSE)</f>
        <v>465</v>
      </c>
      <c r="O394" s="84">
        <f>VLOOKUP($A394,'US Census Population Estimates'!$A$20:$AG$266,O$93,FALSE)</f>
        <v>470</v>
      </c>
      <c r="P394" s="84">
        <f>VLOOKUP($A394,'US Census Population Estimates'!$A$20:$AG$266,P$93,FALSE)</f>
        <v>469</v>
      </c>
      <c r="Q394" s="84">
        <f>VLOOKUP($A394,'US Census Population Estimates'!$A$20:$AG$266,Q$93,FALSE)</f>
        <v>464</v>
      </c>
      <c r="R394" s="84">
        <f>VLOOKUP($A394,'US Census Population Estimates'!$A$20:$AG$266,R$93,FALSE)</f>
        <v>459</v>
      </c>
      <c r="S394" s="84">
        <f>VLOOKUP($A394,'US Census Population Estimates'!$A$20:$AG$266,S$93,FALSE)</f>
        <v>457</v>
      </c>
      <c r="T394" s="84">
        <f>VLOOKUP($A394,'US Census Population Estimates'!$A$20:$AG$266,T$93,FALSE)</f>
        <v>452</v>
      </c>
      <c r="U394" s="84">
        <f>VLOOKUP($A394,'US Census Population Estimates'!$A$20:$AG$266,U$93,FALSE)</f>
        <v>448</v>
      </c>
      <c r="V394" s="84" t="str">
        <f>VLOOKUP($A394,'US Census Population Estimates'!$A$20:$AG$266,V$93,FALSE)</f>
        <v/>
      </c>
      <c r="W394" s="84" t="str">
        <f>VLOOKUP($A394,'US Census Population Estimates'!$A$20:$AG$266,W$93,FALSE)</f>
        <v/>
      </c>
      <c r="X394" s="84" t="str">
        <f>VLOOKUP($A394,'US Census Population Estimates'!$A$20:$AG$266,X$93,FALSE)</f>
        <v/>
      </c>
      <c r="Y394" s="84" t="str">
        <f>VLOOKUP($A394,'US Census Population Estimates'!$A$20:$AG$266,Y$93,FALSE)</f>
        <v/>
      </c>
      <c r="Z394" s="84" t="str">
        <f>VLOOKUP($A394,'US Census Population Estimates'!$A$20:$AG$266,Z$93,FALSE)</f>
        <v/>
      </c>
      <c r="AA394" s="84" t="str">
        <f>VLOOKUP($A394,'US Census Population Estimates'!$A$20:$AG$266,AA$93,FALSE)</f>
        <v/>
      </c>
      <c r="AB394" s="84" t="str">
        <f>VLOOKUP($A394,'US Census Population Estimates'!$A$20:$AG$266,AB$93,FALSE)</f>
        <v/>
      </c>
      <c r="AC394" s="84" t="str">
        <f>VLOOKUP($A394,'US Census Population Estimates'!$A$20:$AG$266,AC$93,FALSE)</f>
        <v/>
      </c>
      <c r="AD394" s="84" t="str">
        <f>VLOOKUP($A394,'US Census Population Estimates'!$A$20:$AG$266,AD$93,FALSE)</f>
        <v/>
      </c>
      <c r="AE394" s="84" t="str">
        <f>VLOOKUP($A394,'US Census Population Estimates'!$A$20:$AG$266,AE$93,FALSE)</f>
        <v/>
      </c>
      <c r="AF394" s="84" t="str">
        <f>VLOOKUP($A394,'US Census Population Estimates'!$A$20:$AG$266,AF$93,FALSE)</f>
        <v/>
      </c>
      <c r="AG394" s="88" t="str">
        <f>VLOOKUP($A394,'US Census Population Estimates'!$A$20:$AG$266,AG$93,FALSE)</f>
        <v/>
      </c>
      <c r="AH394" s="24"/>
    </row>
    <row r="395" ht="12.75" customHeight="1">
      <c r="A395" s="46" t="s">
        <v>271</v>
      </c>
      <c r="B395" s="51" t="s">
        <v>51</v>
      </c>
      <c r="C395" s="84">
        <f>VLOOKUP($A395,'US Census Population Estimates'!$A$20:$AG$266,C$93,FALSE)</f>
        <v>181</v>
      </c>
      <c r="D395" s="84">
        <f>VLOOKUP($A395,'US Census Population Estimates'!$A$20:$AG$266,D$93,FALSE)</f>
        <v>183</v>
      </c>
      <c r="E395" s="84">
        <f>VLOOKUP($A395,'US Census Population Estimates'!$A$20:$AG$266,E$93,FALSE)</f>
        <v>188</v>
      </c>
      <c r="F395" s="84">
        <f>VLOOKUP($A395,'US Census Population Estimates'!$A$20:$AG$266,F$93,FALSE)</f>
        <v>191</v>
      </c>
      <c r="G395" s="84">
        <f>VLOOKUP($A395,'US Census Population Estimates'!$A$20:$AG$266,G$93,FALSE)</f>
        <v>195</v>
      </c>
      <c r="H395" s="84">
        <f>VLOOKUP($A395,'US Census Population Estimates'!$A$20:$AG$266,H$93,FALSE)</f>
        <v>200</v>
      </c>
      <c r="I395" s="84">
        <f>VLOOKUP($A395,'US Census Population Estimates'!$A$20:$AG$266,I$93,FALSE)</f>
        <v>206</v>
      </c>
      <c r="J395" s="84">
        <f>VLOOKUP($A395,'US Census Population Estimates'!$A$20:$AG$266,J$93,FALSE)</f>
        <v>212</v>
      </c>
      <c r="K395" s="84">
        <f>VLOOKUP($A395,'US Census Population Estimates'!$A$20:$AG$266,K$93,FALSE)</f>
        <v>220</v>
      </c>
      <c r="L395" s="84">
        <f>VLOOKUP($A395,'US Census Population Estimates'!$A$20:$AG$266,L$93,FALSE)</f>
        <v>227</v>
      </c>
      <c r="M395" s="84">
        <f>VLOOKUP($A395,'US Census Population Estimates'!$A$20:$AG$266,M$93,FALSE)</f>
        <v>233</v>
      </c>
      <c r="N395" s="84">
        <f>VLOOKUP($A395,'US Census Population Estimates'!$A$20:$AG$266,N$93,FALSE)</f>
        <v>239</v>
      </c>
      <c r="O395" s="84">
        <f>VLOOKUP($A395,'US Census Population Estimates'!$A$20:$AG$266,O$93,FALSE)</f>
        <v>242</v>
      </c>
      <c r="P395" s="84">
        <f>VLOOKUP($A395,'US Census Population Estimates'!$A$20:$AG$266,P$93,FALSE)</f>
        <v>240</v>
      </c>
      <c r="Q395" s="84">
        <f>VLOOKUP($A395,'US Census Population Estimates'!$A$20:$AG$266,Q$93,FALSE)</f>
        <v>240</v>
      </c>
      <c r="R395" s="84">
        <f>VLOOKUP($A395,'US Census Population Estimates'!$A$20:$AG$266,R$93,FALSE)</f>
        <v>238</v>
      </c>
      <c r="S395" s="84">
        <f>VLOOKUP($A395,'US Census Population Estimates'!$A$20:$AG$266,S$93,FALSE)</f>
        <v>237</v>
      </c>
      <c r="T395" s="84">
        <f>VLOOKUP($A395,'US Census Population Estimates'!$A$20:$AG$266,T$93,FALSE)</f>
        <v>234</v>
      </c>
      <c r="U395" s="84">
        <f>VLOOKUP($A395,'US Census Population Estimates'!$A$20:$AG$266,U$93,FALSE)</f>
        <v>232</v>
      </c>
      <c r="V395" s="84" t="str">
        <f>VLOOKUP($A395,'US Census Population Estimates'!$A$20:$AG$266,V$93,FALSE)</f>
        <v/>
      </c>
      <c r="W395" s="84" t="str">
        <f>VLOOKUP($A395,'US Census Population Estimates'!$A$20:$AG$266,W$93,FALSE)</f>
        <v/>
      </c>
      <c r="X395" s="84" t="str">
        <f>VLOOKUP($A395,'US Census Population Estimates'!$A$20:$AG$266,X$93,FALSE)</f>
        <v/>
      </c>
      <c r="Y395" s="84" t="str">
        <f>VLOOKUP($A395,'US Census Population Estimates'!$A$20:$AG$266,Y$93,FALSE)</f>
        <v/>
      </c>
      <c r="Z395" s="84" t="str">
        <f>VLOOKUP($A395,'US Census Population Estimates'!$A$20:$AG$266,Z$93,FALSE)</f>
        <v/>
      </c>
      <c r="AA395" s="84" t="str">
        <f>VLOOKUP($A395,'US Census Population Estimates'!$A$20:$AG$266,AA$93,FALSE)</f>
        <v/>
      </c>
      <c r="AB395" s="84" t="str">
        <f>VLOOKUP($A395,'US Census Population Estimates'!$A$20:$AG$266,AB$93,FALSE)</f>
        <v/>
      </c>
      <c r="AC395" s="84" t="str">
        <f>VLOOKUP($A395,'US Census Population Estimates'!$A$20:$AG$266,AC$93,FALSE)</f>
        <v/>
      </c>
      <c r="AD395" s="84" t="str">
        <f>VLOOKUP($A395,'US Census Population Estimates'!$A$20:$AG$266,AD$93,FALSE)</f>
        <v/>
      </c>
      <c r="AE395" s="84" t="str">
        <f>VLOOKUP($A395,'US Census Population Estimates'!$A$20:$AG$266,AE$93,FALSE)</f>
        <v/>
      </c>
      <c r="AF395" s="84" t="str">
        <f>VLOOKUP($A395,'US Census Population Estimates'!$A$20:$AG$266,AF$93,FALSE)</f>
        <v/>
      </c>
      <c r="AG395" s="88" t="str">
        <f>VLOOKUP($A395,'US Census Population Estimates'!$A$20:$AG$266,AG$93,FALSE)</f>
        <v/>
      </c>
      <c r="AH395" s="24"/>
    </row>
    <row r="396" ht="12.75" customHeight="1">
      <c r="A396" s="46" t="s">
        <v>278</v>
      </c>
      <c r="B396" s="51" t="s">
        <v>51</v>
      </c>
      <c r="C396" s="84">
        <f>VLOOKUP($A396,'US Census Population Estimates'!$A$20:$AG$266,C$93,FALSE)</f>
        <v>629</v>
      </c>
      <c r="D396" s="84">
        <f>VLOOKUP($A396,'US Census Population Estimates'!$A$20:$AG$266,D$93,FALSE)</f>
        <v>622</v>
      </c>
      <c r="E396" s="84">
        <f>VLOOKUP($A396,'US Census Population Estimates'!$A$20:$AG$266,E$93,FALSE)</f>
        <v>622</v>
      </c>
      <c r="F396" s="84">
        <f>VLOOKUP($A396,'US Census Population Estimates'!$A$20:$AG$266,F$93,FALSE)</f>
        <v>618</v>
      </c>
      <c r="G396" s="84">
        <f>VLOOKUP($A396,'US Census Population Estimates'!$A$20:$AG$266,G$93,FALSE)</f>
        <v>617</v>
      </c>
      <c r="H396" s="84">
        <f>VLOOKUP($A396,'US Census Population Estimates'!$A$20:$AG$266,H$93,FALSE)</f>
        <v>619</v>
      </c>
      <c r="I396" s="84">
        <f>VLOOKUP($A396,'US Census Population Estimates'!$A$20:$AG$266,I$93,FALSE)</f>
        <v>624</v>
      </c>
      <c r="J396" s="84">
        <f>VLOOKUP($A396,'US Census Population Estimates'!$A$20:$AG$266,J$93,FALSE)</f>
        <v>631</v>
      </c>
      <c r="K396" s="84">
        <f>VLOOKUP($A396,'US Census Population Estimates'!$A$20:$AG$266,K$93,FALSE)</f>
        <v>638</v>
      </c>
      <c r="L396" s="84">
        <f>VLOOKUP($A396,'US Census Population Estimates'!$A$20:$AG$266,L$93,FALSE)</f>
        <v>645</v>
      </c>
      <c r="M396" s="84">
        <f>VLOOKUP($A396,'US Census Population Estimates'!$A$20:$AG$266,M$93,FALSE)</f>
        <v>652</v>
      </c>
      <c r="N396" s="84">
        <f>VLOOKUP($A396,'US Census Population Estimates'!$A$20:$AG$266,N$93,FALSE)</f>
        <v>657</v>
      </c>
      <c r="O396" s="84">
        <f>VLOOKUP($A396,'US Census Population Estimates'!$A$20:$AG$266,O$93,FALSE)</f>
        <v>666</v>
      </c>
      <c r="P396" s="84">
        <f>VLOOKUP($A396,'US Census Population Estimates'!$A$20:$AG$266,P$93,FALSE)</f>
        <v>661</v>
      </c>
      <c r="Q396" s="84">
        <f>VLOOKUP($A396,'US Census Population Estimates'!$A$20:$AG$266,Q$93,FALSE)</f>
        <v>661</v>
      </c>
      <c r="R396" s="84">
        <f>VLOOKUP($A396,'US Census Population Estimates'!$A$20:$AG$266,R$93,FALSE)</f>
        <v>653</v>
      </c>
      <c r="S396" s="84">
        <f>VLOOKUP($A396,'US Census Population Estimates'!$A$20:$AG$266,S$93,FALSE)</f>
        <v>651</v>
      </c>
      <c r="T396" s="84">
        <f>VLOOKUP($A396,'US Census Population Estimates'!$A$20:$AG$266,T$93,FALSE)</f>
        <v>652</v>
      </c>
      <c r="U396" s="84">
        <f>VLOOKUP($A396,'US Census Population Estimates'!$A$20:$AG$266,U$93,FALSE)</f>
        <v>649</v>
      </c>
      <c r="V396" s="84" t="str">
        <f>VLOOKUP($A396,'US Census Population Estimates'!$A$20:$AG$266,V$93,FALSE)</f>
        <v/>
      </c>
      <c r="W396" s="84" t="str">
        <f>VLOOKUP($A396,'US Census Population Estimates'!$A$20:$AG$266,W$93,FALSE)</f>
        <v/>
      </c>
      <c r="X396" s="84" t="str">
        <f>VLOOKUP($A396,'US Census Population Estimates'!$A$20:$AG$266,X$93,FALSE)</f>
        <v/>
      </c>
      <c r="Y396" s="84" t="str">
        <f>VLOOKUP($A396,'US Census Population Estimates'!$A$20:$AG$266,Y$93,FALSE)</f>
        <v/>
      </c>
      <c r="Z396" s="84" t="str">
        <f>VLOOKUP($A396,'US Census Population Estimates'!$A$20:$AG$266,Z$93,FALSE)</f>
        <v/>
      </c>
      <c r="AA396" s="84" t="str">
        <f>VLOOKUP($A396,'US Census Population Estimates'!$A$20:$AG$266,AA$93,FALSE)</f>
        <v/>
      </c>
      <c r="AB396" s="84" t="str">
        <f>VLOOKUP($A396,'US Census Population Estimates'!$A$20:$AG$266,AB$93,FALSE)</f>
        <v/>
      </c>
      <c r="AC396" s="84" t="str">
        <f>VLOOKUP($A396,'US Census Population Estimates'!$A$20:$AG$266,AC$93,FALSE)</f>
        <v/>
      </c>
      <c r="AD396" s="84" t="str">
        <f>VLOOKUP($A396,'US Census Population Estimates'!$A$20:$AG$266,AD$93,FALSE)</f>
        <v/>
      </c>
      <c r="AE396" s="84" t="str">
        <f>VLOOKUP($A396,'US Census Population Estimates'!$A$20:$AG$266,AE$93,FALSE)</f>
        <v/>
      </c>
      <c r="AF396" s="84" t="str">
        <f>VLOOKUP($A396,'US Census Population Estimates'!$A$20:$AG$266,AF$93,FALSE)</f>
        <v/>
      </c>
      <c r="AG396" s="88" t="str">
        <f>VLOOKUP($A396,'US Census Population Estimates'!$A$20:$AG$266,AG$93,FALSE)</f>
        <v/>
      </c>
      <c r="AH396" s="24"/>
    </row>
    <row r="397" ht="12.75" customHeight="1">
      <c r="A397" s="46" t="s">
        <v>281</v>
      </c>
      <c r="B397" s="51" t="s">
        <v>51</v>
      </c>
      <c r="C397" s="84">
        <f>VLOOKUP($A397,'US Census Population Estimates'!$A$20:$AG$266,C$93,FALSE)</f>
        <v>350</v>
      </c>
      <c r="D397" s="84">
        <f>VLOOKUP($A397,'US Census Population Estimates'!$A$20:$AG$266,D$93,FALSE)</f>
        <v>331</v>
      </c>
      <c r="E397" s="84">
        <f>VLOOKUP($A397,'US Census Population Estimates'!$A$20:$AG$266,E$93,FALSE)</f>
        <v>318</v>
      </c>
      <c r="F397" s="84">
        <f>VLOOKUP($A397,'US Census Population Estimates'!$A$20:$AG$266,F$93,FALSE)</f>
        <v>308</v>
      </c>
      <c r="G397" s="84">
        <f>VLOOKUP($A397,'US Census Population Estimates'!$A$20:$AG$266,G$93,FALSE)</f>
        <v>297</v>
      </c>
      <c r="H397" s="84">
        <f>VLOOKUP($A397,'US Census Population Estimates'!$A$20:$AG$266,H$93,FALSE)</f>
        <v>290</v>
      </c>
      <c r="I397" s="84">
        <f>VLOOKUP($A397,'US Census Population Estimates'!$A$20:$AG$266,I$93,FALSE)</f>
        <v>279</v>
      </c>
      <c r="J397" s="84">
        <f>VLOOKUP($A397,'US Census Population Estimates'!$A$20:$AG$266,J$93,FALSE)</f>
        <v>275</v>
      </c>
      <c r="K397" s="84">
        <f>VLOOKUP($A397,'US Census Population Estimates'!$A$20:$AG$266,K$93,FALSE)</f>
        <v>268</v>
      </c>
      <c r="L397" s="84">
        <f>VLOOKUP($A397,'US Census Population Estimates'!$A$20:$AG$266,L$93,FALSE)</f>
        <v>264</v>
      </c>
      <c r="M397" s="84">
        <f>VLOOKUP($A397,'US Census Population Estimates'!$A$20:$AG$266,M$93,FALSE)</f>
        <v>262</v>
      </c>
      <c r="N397" s="84">
        <f>VLOOKUP($A397,'US Census Population Estimates'!$A$20:$AG$266,N$93,FALSE)</f>
        <v>259</v>
      </c>
      <c r="O397" s="84">
        <f>VLOOKUP($A397,'US Census Population Estimates'!$A$20:$AG$266,O$93,FALSE)</f>
        <v>257</v>
      </c>
      <c r="P397" s="84">
        <f>VLOOKUP($A397,'US Census Population Estimates'!$A$20:$AG$266,P$93,FALSE)</f>
        <v>259</v>
      </c>
      <c r="Q397" s="84">
        <f>VLOOKUP($A397,'US Census Population Estimates'!$A$20:$AG$266,Q$93,FALSE)</f>
        <v>257</v>
      </c>
      <c r="R397" s="84">
        <f>VLOOKUP($A397,'US Census Population Estimates'!$A$20:$AG$266,R$93,FALSE)</f>
        <v>257</v>
      </c>
      <c r="S397" s="84">
        <f>VLOOKUP($A397,'US Census Population Estimates'!$A$20:$AG$266,S$93,FALSE)</f>
        <v>255</v>
      </c>
      <c r="T397" s="84">
        <f>VLOOKUP($A397,'US Census Population Estimates'!$A$20:$AG$266,T$93,FALSE)</f>
        <v>257</v>
      </c>
      <c r="U397" s="84">
        <f>VLOOKUP($A397,'US Census Population Estimates'!$A$20:$AG$266,U$93,FALSE)</f>
        <v>254</v>
      </c>
      <c r="V397" s="84" t="str">
        <f>VLOOKUP($A397,'US Census Population Estimates'!$A$20:$AG$266,V$93,FALSE)</f>
        <v/>
      </c>
      <c r="W397" s="84" t="str">
        <f>VLOOKUP($A397,'US Census Population Estimates'!$A$20:$AG$266,W$93,FALSE)</f>
        <v/>
      </c>
      <c r="X397" s="84" t="str">
        <f>VLOOKUP($A397,'US Census Population Estimates'!$A$20:$AG$266,X$93,FALSE)</f>
        <v/>
      </c>
      <c r="Y397" s="84" t="str">
        <f>VLOOKUP($A397,'US Census Population Estimates'!$A$20:$AG$266,Y$93,FALSE)</f>
        <v/>
      </c>
      <c r="Z397" s="84" t="str">
        <f>VLOOKUP($A397,'US Census Population Estimates'!$A$20:$AG$266,Z$93,FALSE)</f>
        <v/>
      </c>
      <c r="AA397" s="84" t="str">
        <f>VLOOKUP($A397,'US Census Population Estimates'!$A$20:$AG$266,AA$93,FALSE)</f>
        <v/>
      </c>
      <c r="AB397" s="84" t="str">
        <f>VLOOKUP($A397,'US Census Population Estimates'!$A$20:$AG$266,AB$93,FALSE)</f>
        <v/>
      </c>
      <c r="AC397" s="84" t="str">
        <f>VLOOKUP($A397,'US Census Population Estimates'!$A$20:$AG$266,AC$93,FALSE)</f>
        <v/>
      </c>
      <c r="AD397" s="84" t="str">
        <f>VLOOKUP($A397,'US Census Population Estimates'!$A$20:$AG$266,AD$93,FALSE)</f>
        <v/>
      </c>
      <c r="AE397" s="84" t="str">
        <f>VLOOKUP($A397,'US Census Population Estimates'!$A$20:$AG$266,AE$93,FALSE)</f>
        <v/>
      </c>
      <c r="AF397" s="84" t="str">
        <f>VLOOKUP($A397,'US Census Population Estimates'!$A$20:$AG$266,AF$93,FALSE)</f>
        <v/>
      </c>
      <c r="AG397" s="88" t="str">
        <f>VLOOKUP($A397,'US Census Population Estimates'!$A$20:$AG$266,AG$93,FALSE)</f>
        <v/>
      </c>
      <c r="AH397" s="24"/>
    </row>
    <row r="398" ht="12.75" customHeight="1">
      <c r="A398" s="46" t="s">
        <v>285</v>
      </c>
      <c r="B398" s="51" t="s">
        <v>51</v>
      </c>
      <c r="C398" s="84">
        <f>VLOOKUP($A398,'US Census Population Estimates'!$A$20:$AG$266,C$93,FALSE)</f>
        <v>5363</v>
      </c>
      <c r="D398" s="84">
        <f>VLOOKUP($A398,'US Census Population Estimates'!$A$20:$AG$266,D$93,FALSE)</f>
        <v>5237</v>
      </c>
      <c r="E398" s="84">
        <f>VLOOKUP($A398,'US Census Population Estimates'!$A$20:$AG$266,E$93,FALSE)</f>
        <v>5180</v>
      </c>
      <c r="F398" s="84">
        <f>VLOOKUP($A398,'US Census Population Estimates'!$A$20:$AG$266,F$93,FALSE)</f>
        <v>5166</v>
      </c>
      <c r="G398" s="84">
        <f>VLOOKUP($A398,'US Census Population Estimates'!$A$20:$AG$266,G$93,FALSE)</f>
        <v>5149</v>
      </c>
      <c r="H398" s="84">
        <f>VLOOKUP($A398,'US Census Population Estimates'!$A$20:$AG$266,H$93,FALSE)</f>
        <v>5184</v>
      </c>
      <c r="I398" s="84">
        <f>VLOOKUP($A398,'US Census Population Estimates'!$A$20:$AG$266,I$93,FALSE)</f>
        <v>5150</v>
      </c>
      <c r="J398" s="84">
        <f>VLOOKUP($A398,'US Census Population Estimates'!$A$20:$AG$266,J$93,FALSE)</f>
        <v>5268</v>
      </c>
      <c r="K398" s="84">
        <f>VLOOKUP($A398,'US Census Population Estimates'!$A$20:$AG$266,K$93,FALSE)</f>
        <v>5301</v>
      </c>
      <c r="L398" s="84">
        <f>VLOOKUP($A398,'US Census Population Estimates'!$A$20:$AG$266,L$93,FALSE)</f>
        <v>5420</v>
      </c>
      <c r="M398" s="84">
        <f>VLOOKUP($A398,'US Census Population Estimates'!$A$20:$AG$266,M$93,FALSE)</f>
        <v>5488</v>
      </c>
      <c r="N398" s="84">
        <f>VLOOKUP($A398,'US Census Population Estimates'!$A$20:$AG$266,N$93,FALSE)</f>
        <v>5440</v>
      </c>
      <c r="O398" s="84">
        <f>VLOOKUP($A398,'US Census Population Estimates'!$A$20:$AG$266,O$93,FALSE)</f>
        <v>5424</v>
      </c>
      <c r="P398" s="84">
        <f>VLOOKUP($A398,'US Census Population Estimates'!$A$20:$AG$266,P$93,FALSE)</f>
        <v>5425</v>
      </c>
      <c r="Q398" s="84">
        <f>VLOOKUP($A398,'US Census Population Estimates'!$A$20:$AG$266,Q$93,FALSE)</f>
        <v>5335</v>
      </c>
      <c r="R398" s="84">
        <f>VLOOKUP($A398,'US Census Population Estimates'!$A$20:$AG$266,R$93,FALSE)</f>
        <v>5341</v>
      </c>
      <c r="S398" s="84">
        <f>VLOOKUP($A398,'US Census Population Estimates'!$A$20:$AG$266,S$93,FALSE)</f>
        <v>5273</v>
      </c>
      <c r="T398" s="84">
        <f>VLOOKUP($A398,'US Census Population Estimates'!$A$20:$AG$266,T$93,FALSE)</f>
        <v>5189</v>
      </c>
      <c r="U398" s="84">
        <f>VLOOKUP($A398,'US Census Population Estimates'!$A$20:$AG$266,U$93,FALSE)</f>
        <v>5075</v>
      </c>
      <c r="V398" s="84" t="str">
        <f>VLOOKUP($A398,'US Census Population Estimates'!$A$20:$AG$266,V$93,FALSE)</f>
        <v/>
      </c>
      <c r="W398" s="84" t="str">
        <f>VLOOKUP($A398,'US Census Population Estimates'!$A$20:$AG$266,W$93,FALSE)</f>
        <v/>
      </c>
      <c r="X398" s="84" t="str">
        <f>VLOOKUP($A398,'US Census Population Estimates'!$A$20:$AG$266,X$93,FALSE)</f>
        <v/>
      </c>
      <c r="Y398" s="84" t="str">
        <f>VLOOKUP($A398,'US Census Population Estimates'!$A$20:$AG$266,Y$93,FALSE)</f>
        <v/>
      </c>
      <c r="Z398" s="84" t="str">
        <f>VLOOKUP($A398,'US Census Population Estimates'!$A$20:$AG$266,Z$93,FALSE)</f>
        <v/>
      </c>
      <c r="AA398" s="84" t="str">
        <f>VLOOKUP($A398,'US Census Population Estimates'!$A$20:$AG$266,AA$93,FALSE)</f>
        <v/>
      </c>
      <c r="AB398" s="84" t="str">
        <f>VLOOKUP($A398,'US Census Population Estimates'!$A$20:$AG$266,AB$93,FALSE)</f>
        <v/>
      </c>
      <c r="AC398" s="84" t="str">
        <f>VLOOKUP($A398,'US Census Population Estimates'!$A$20:$AG$266,AC$93,FALSE)</f>
        <v/>
      </c>
      <c r="AD398" s="84" t="str">
        <f>VLOOKUP($A398,'US Census Population Estimates'!$A$20:$AG$266,AD$93,FALSE)</f>
        <v/>
      </c>
      <c r="AE398" s="84" t="str">
        <f>VLOOKUP($A398,'US Census Population Estimates'!$A$20:$AG$266,AE$93,FALSE)</f>
        <v/>
      </c>
      <c r="AF398" s="84" t="str">
        <f>VLOOKUP($A398,'US Census Population Estimates'!$A$20:$AG$266,AF$93,FALSE)</f>
        <v/>
      </c>
      <c r="AG398" s="88" t="str">
        <f>VLOOKUP($A398,'US Census Population Estimates'!$A$20:$AG$266,AG$93,FALSE)</f>
        <v/>
      </c>
      <c r="AH398" s="24"/>
    </row>
    <row r="399" ht="12.75" customHeight="1">
      <c r="A399" s="46" t="s">
        <v>246</v>
      </c>
      <c r="B399" s="51" t="s">
        <v>51</v>
      </c>
      <c r="C399" s="84">
        <f>VLOOKUP($A399,'US Census Population Estimates'!$A$20:$AG$266,C$93,FALSE)</f>
        <v>1257</v>
      </c>
      <c r="D399" s="84">
        <f>VLOOKUP($A399,'US Census Population Estimates'!$A$20:$AG$266,D$93,FALSE)</f>
        <v>1235</v>
      </c>
      <c r="E399" s="84">
        <f>VLOOKUP($A399,'US Census Population Estimates'!$A$20:$AG$266,E$93,FALSE)</f>
        <v>1228</v>
      </c>
      <c r="F399" s="84">
        <f>VLOOKUP($A399,'US Census Population Estimates'!$A$20:$AG$266,F$93,FALSE)</f>
        <v>1218</v>
      </c>
      <c r="G399" s="84">
        <f>VLOOKUP($A399,'US Census Population Estimates'!$A$20:$AG$266,G$93,FALSE)</f>
        <v>1233</v>
      </c>
      <c r="H399" s="84">
        <f>VLOOKUP($A399,'US Census Population Estimates'!$A$20:$AG$266,H$93,FALSE)</f>
        <v>1229</v>
      </c>
      <c r="I399" s="84">
        <f>VLOOKUP($A399,'US Census Population Estimates'!$A$20:$AG$266,I$93,FALSE)</f>
        <v>1234</v>
      </c>
      <c r="J399" s="84">
        <f>VLOOKUP($A399,'US Census Population Estimates'!$A$20:$AG$266,J$93,FALSE)</f>
        <v>1248</v>
      </c>
      <c r="K399" s="84">
        <f>VLOOKUP($A399,'US Census Population Estimates'!$A$20:$AG$266,K$93,FALSE)</f>
        <v>1256</v>
      </c>
      <c r="L399" s="84">
        <f>VLOOKUP($A399,'US Census Population Estimates'!$A$20:$AG$266,L$93,FALSE)</f>
        <v>1271</v>
      </c>
      <c r="M399" s="84">
        <f>VLOOKUP($A399,'US Census Population Estimates'!$A$20:$AG$266,M$93,FALSE)</f>
        <v>1286</v>
      </c>
      <c r="N399" s="84">
        <f>VLOOKUP($A399,'US Census Population Estimates'!$A$20:$AG$266,N$93,FALSE)</f>
        <v>1290</v>
      </c>
      <c r="O399" s="84">
        <f>VLOOKUP($A399,'US Census Population Estimates'!$A$20:$AG$266,O$93,FALSE)</f>
        <v>1291</v>
      </c>
      <c r="P399" s="84">
        <f>VLOOKUP($A399,'US Census Population Estimates'!$A$20:$AG$266,P$93,FALSE)</f>
        <v>1305</v>
      </c>
      <c r="Q399" s="84">
        <f>VLOOKUP($A399,'US Census Population Estimates'!$A$20:$AG$266,Q$93,FALSE)</f>
        <v>1294</v>
      </c>
      <c r="R399" s="84">
        <f>VLOOKUP($A399,'US Census Population Estimates'!$A$20:$AG$266,R$93,FALSE)</f>
        <v>1300</v>
      </c>
      <c r="S399" s="84">
        <f>VLOOKUP($A399,'US Census Population Estimates'!$A$20:$AG$266,S$93,FALSE)</f>
        <v>1296</v>
      </c>
      <c r="T399" s="84">
        <f>VLOOKUP($A399,'US Census Population Estimates'!$A$20:$AG$266,T$93,FALSE)</f>
        <v>1293</v>
      </c>
      <c r="U399" s="84">
        <f>VLOOKUP($A399,'US Census Population Estimates'!$A$20:$AG$266,U$93,FALSE)</f>
        <v>1292</v>
      </c>
      <c r="V399" s="84" t="str">
        <f>VLOOKUP($A399,'US Census Population Estimates'!$A$20:$AG$266,V$93,FALSE)</f>
        <v/>
      </c>
      <c r="W399" s="84" t="str">
        <f>VLOOKUP($A399,'US Census Population Estimates'!$A$20:$AG$266,W$93,FALSE)</f>
        <v/>
      </c>
      <c r="X399" s="84" t="str">
        <f>VLOOKUP($A399,'US Census Population Estimates'!$A$20:$AG$266,X$93,FALSE)</f>
        <v/>
      </c>
      <c r="Y399" s="84" t="str">
        <f>VLOOKUP($A399,'US Census Population Estimates'!$A$20:$AG$266,Y$93,FALSE)</f>
        <v/>
      </c>
      <c r="Z399" s="84" t="str">
        <f>VLOOKUP($A399,'US Census Population Estimates'!$A$20:$AG$266,Z$93,FALSE)</f>
        <v/>
      </c>
      <c r="AA399" s="84" t="str">
        <f>VLOOKUP($A399,'US Census Population Estimates'!$A$20:$AG$266,AA$93,FALSE)</f>
        <v/>
      </c>
      <c r="AB399" s="84" t="str">
        <f>VLOOKUP($A399,'US Census Population Estimates'!$A$20:$AG$266,AB$93,FALSE)</f>
        <v/>
      </c>
      <c r="AC399" s="84" t="str">
        <f>VLOOKUP($A399,'US Census Population Estimates'!$A$20:$AG$266,AC$93,FALSE)</f>
        <v/>
      </c>
      <c r="AD399" s="84" t="str">
        <f>VLOOKUP($A399,'US Census Population Estimates'!$A$20:$AG$266,AD$93,FALSE)</f>
        <v/>
      </c>
      <c r="AE399" s="84" t="str">
        <f>VLOOKUP($A399,'US Census Population Estimates'!$A$20:$AG$266,AE$93,FALSE)</f>
        <v/>
      </c>
      <c r="AF399" s="84" t="str">
        <f>VLOOKUP($A399,'US Census Population Estimates'!$A$20:$AG$266,AF$93,FALSE)</f>
        <v/>
      </c>
      <c r="AG399" s="88" t="str">
        <f>VLOOKUP($A399,'US Census Population Estimates'!$A$20:$AG$266,AG$93,FALSE)</f>
        <v/>
      </c>
      <c r="AH399" s="24"/>
    </row>
    <row r="400" ht="12.75" customHeight="1">
      <c r="A400" s="46" t="s">
        <v>267</v>
      </c>
      <c r="B400" s="51" t="s">
        <v>51</v>
      </c>
      <c r="C400" s="84">
        <f>VLOOKUP($A400,'US Census Population Estimates'!$A$20:$AG$266,C$93,FALSE)</f>
        <v>105</v>
      </c>
      <c r="D400" s="84">
        <f>VLOOKUP($A400,'US Census Population Estimates'!$A$20:$AG$266,D$93,FALSE)</f>
        <v>104</v>
      </c>
      <c r="E400" s="84">
        <f>VLOOKUP($A400,'US Census Population Estimates'!$A$20:$AG$266,E$93,FALSE)</f>
        <v>104</v>
      </c>
      <c r="F400" s="84">
        <f>VLOOKUP($A400,'US Census Population Estimates'!$A$20:$AG$266,F$93,FALSE)</f>
        <v>104</v>
      </c>
      <c r="G400" s="84">
        <f>VLOOKUP($A400,'US Census Population Estimates'!$A$20:$AG$266,G$93,FALSE)</f>
        <v>106</v>
      </c>
      <c r="H400" s="84">
        <f>VLOOKUP($A400,'US Census Population Estimates'!$A$20:$AG$266,H$93,FALSE)</f>
        <v>106</v>
      </c>
      <c r="I400" s="84">
        <f>VLOOKUP($A400,'US Census Population Estimates'!$A$20:$AG$266,I$93,FALSE)</f>
        <v>107</v>
      </c>
      <c r="J400" s="84">
        <f>VLOOKUP($A400,'US Census Population Estimates'!$A$20:$AG$266,J$93,FALSE)</f>
        <v>109</v>
      </c>
      <c r="K400" s="84">
        <f>VLOOKUP($A400,'US Census Population Estimates'!$A$20:$AG$266,K$93,FALSE)</f>
        <v>110</v>
      </c>
      <c r="L400" s="84">
        <f>VLOOKUP($A400,'US Census Population Estimates'!$A$20:$AG$266,L$93,FALSE)</f>
        <v>112</v>
      </c>
      <c r="M400" s="84">
        <f>VLOOKUP($A400,'US Census Population Estimates'!$A$20:$AG$266,M$93,FALSE)</f>
        <v>114</v>
      </c>
      <c r="N400" s="84">
        <f>VLOOKUP($A400,'US Census Population Estimates'!$A$20:$AG$266,N$93,FALSE)</f>
        <v>114</v>
      </c>
      <c r="O400" s="84">
        <f>VLOOKUP($A400,'US Census Population Estimates'!$A$20:$AG$266,O$93,FALSE)</f>
        <v>114</v>
      </c>
      <c r="P400" s="84">
        <f>VLOOKUP($A400,'US Census Population Estimates'!$A$20:$AG$266,P$93,FALSE)</f>
        <v>118</v>
      </c>
      <c r="Q400" s="84">
        <f>VLOOKUP($A400,'US Census Population Estimates'!$A$20:$AG$266,Q$93,FALSE)</f>
        <v>116</v>
      </c>
      <c r="R400" s="84">
        <f>VLOOKUP($A400,'US Census Population Estimates'!$A$20:$AG$266,R$93,FALSE)</f>
        <v>117</v>
      </c>
      <c r="S400" s="84">
        <f>VLOOKUP($A400,'US Census Population Estimates'!$A$20:$AG$266,S$93,FALSE)</f>
        <v>117</v>
      </c>
      <c r="T400" s="84">
        <f>VLOOKUP($A400,'US Census Population Estimates'!$A$20:$AG$266,T$93,FALSE)</f>
        <v>116</v>
      </c>
      <c r="U400" s="84">
        <f>VLOOKUP($A400,'US Census Population Estimates'!$A$20:$AG$266,U$93,FALSE)</f>
        <v>116</v>
      </c>
      <c r="V400" s="84" t="str">
        <f>VLOOKUP($A400,'US Census Population Estimates'!$A$20:$AG$266,V$93,FALSE)</f>
        <v/>
      </c>
      <c r="W400" s="84" t="str">
        <f>VLOOKUP($A400,'US Census Population Estimates'!$A$20:$AG$266,W$93,FALSE)</f>
        <v/>
      </c>
      <c r="X400" s="84" t="str">
        <f>VLOOKUP($A400,'US Census Population Estimates'!$A$20:$AG$266,X$93,FALSE)</f>
        <v/>
      </c>
      <c r="Y400" s="84" t="str">
        <f>VLOOKUP($A400,'US Census Population Estimates'!$A$20:$AG$266,Y$93,FALSE)</f>
        <v/>
      </c>
      <c r="Z400" s="84" t="str">
        <f>VLOOKUP($A400,'US Census Population Estimates'!$A$20:$AG$266,Z$93,FALSE)</f>
        <v/>
      </c>
      <c r="AA400" s="84" t="str">
        <f>VLOOKUP($A400,'US Census Population Estimates'!$A$20:$AG$266,AA$93,FALSE)</f>
        <v/>
      </c>
      <c r="AB400" s="84" t="str">
        <f>VLOOKUP($A400,'US Census Population Estimates'!$A$20:$AG$266,AB$93,FALSE)</f>
        <v/>
      </c>
      <c r="AC400" s="84" t="str">
        <f>VLOOKUP($A400,'US Census Population Estimates'!$A$20:$AG$266,AC$93,FALSE)</f>
        <v/>
      </c>
      <c r="AD400" s="84" t="str">
        <f>VLOOKUP($A400,'US Census Population Estimates'!$A$20:$AG$266,AD$93,FALSE)</f>
        <v/>
      </c>
      <c r="AE400" s="84" t="str">
        <f>VLOOKUP($A400,'US Census Population Estimates'!$A$20:$AG$266,AE$93,FALSE)</f>
        <v/>
      </c>
      <c r="AF400" s="84" t="str">
        <f>VLOOKUP($A400,'US Census Population Estimates'!$A$20:$AG$266,AF$93,FALSE)</f>
        <v/>
      </c>
      <c r="AG400" s="88" t="str">
        <f>VLOOKUP($A400,'US Census Population Estimates'!$A$20:$AG$266,AG$93,FALSE)</f>
        <v/>
      </c>
      <c r="AH400" s="24"/>
    </row>
    <row r="401" ht="12.75" customHeight="1">
      <c r="A401" s="46" t="s">
        <v>264</v>
      </c>
      <c r="B401" s="51" t="s">
        <v>52</v>
      </c>
      <c r="C401" s="84">
        <f>VLOOKUP($A401,'US Census Population Estimates'!$A$20:$AG$266,C$93,FALSE)</f>
        <v>6919</v>
      </c>
      <c r="D401" s="84">
        <f>VLOOKUP($A401,'US Census Population Estimates'!$A$20:$AG$266,D$93,FALSE)</f>
        <v>6867</v>
      </c>
      <c r="E401" s="84">
        <f>VLOOKUP($A401,'US Census Population Estimates'!$A$20:$AG$266,E$93,FALSE)</f>
        <v>6894</v>
      </c>
      <c r="F401" s="84">
        <f>VLOOKUP($A401,'US Census Population Estimates'!$A$20:$AG$266,F$93,FALSE)</f>
        <v>6896</v>
      </c>
      <c r="G401" s="84">
        <f>VLOOKUP($A401,'US Census Population Estimates'!$A$20:$AG$266,G$93,FALSE)</f>
        <v>6917</v>
      </c>
      <c r="H401" s="84">
        <f>VLOOKUP($A401,'US Census Population Estimates'!$A$20:$AG$266,H$93,FALSE)</f>
        <v>6984</v>
      </c>
      <c r="I401" s="84">
        <f>VLOOKUP($A401,'US Census Population Estimates'!$A$20:$AG$266,I$93,FALSE)</f>
        <v>7064</v>
      </c>
      <c r="J401" s="84">
        <f>VLOOKUP($A401,'US Census Population Estimates'!$A$20:$AG$266,J$93,FALSE)</f>
        <v>7177</v>
      </c>
      <c r="K401" s="84">
        <f>VLOOKUP($A401,'US Census Population Estimates'!$A$20:$AG$266,K$93,FALSE)</f>
        <v>7301</v>
      </c>
      <c r="L401" s="84">
        <f>VLOOKUP($A401,'US Census Population Estimates'!$A$20:$AG$266,L$93,FALSE)</f>
        <v>7425</v>
      </c>
      <c r="M401" s="84">
        <f>VLOOKUP($A401,'US Census Population Estimates'!$A$20:$AG$266,M$93,FALSE)</f>
        <v>7615</v>
      </c>
      <c r="N401" s="84">
        <f>VLOOKUP($A401,'US Census Population Estimates'!$A$20:$AG$266,N$93,FALSE)</f>
        <v>7678</v>
      </c>
      <c r="O401" s="84">
        <f>VLOOKUP($A401,'US Census Population Estimates'!$A$20:$AG$266,O$93,FALSE)</f>
        <v>7772</v>
      </c>
      <c r="P401" s="84">
        <f>VLOOKUP($A401,'US Census Population Estimates'!$A$20:$AG$266,P$93,FALSE)</f>
        <v>7800</v>
      </c>
      <c r="Q401" s="84">
        <f>VLOOKUP($A401,'US Census Population Estimates'!$A$20:$AG$266,Q$93,FALSE)</f>
        <v>7731</v>
      </c>
      <c r="R401" s="84">
        <f>VLOOKUP($A401,'US Census Population Estimates'!$A$20:$AG$266,R$93,FALSE)</f>
        <v>7654</v>
      </c>
      <c r="S401" s="84">
        <f>VLOOKUP($A401,'US Census Population Estimates'!$A$20:$AG$266,S$93,FALSE)</f>
        <v>7628</v>
      </c>
      <c r="T401" s="84">
        <f>VLOOKUP($A401,'US Census Population Estimates'!$A$20:$AG$266,T$93,FALSE)</f>
        <v>7551</v>
      </c>
      <c r="U401" s="84">
        <f>VLOOKUP($A401,'US Census Population Estimates'!$A$20:$AG$266,U$93,FALSE)</f>
        <v>7503</v>
      </c>
      <c r="V401" s="84" t="str">
        <f>VLOOKUP($A401,'US Census Population Estimates'!$A$20:$AG$266,V$93,FALSE)</f>
        <v/>
      </c>
      <c r="W401" s="84" t="str">
        <f>VLOOKUP($A401,'US Census Population Estimates'!$A$20:$AG$266,W$93,FALSE)</f>
        <v/>
      </c>
      <c r="X401" s="84" t="str">
        <f>VLOOKUP($A401,'US Census Population Estimates'!$A$20:$AG$266,X$93,FALSE)</f>
        <v/>
      </c>
      <c r="Y401" s="84" t="str">
        <f>VLOOKUP($A401,'US Census Population Estimates'!$A$20:$AG$266,Y$93,FALSE)</f>
        <v/>
      </c>
      <c r="Z401" s="84" t="str">
        <f>VLOOKUP($A401,'US Census Population Estimates'!$A$20:$AG$266,Z$93,FALSE)</f>
        <v/>
      </c>
      <c r="AA401" s="84" t="str">
        <f>VLOOKUP($A401,'US Census Population Estimates'!$A$20:$AG$266,AA$93,FALSE)</f>
        <v/>
      </c>
      <c r="AB401" s="84" t="str">
        <f>VLOOKUP($A401,'US Census Population Estimates'!$A$20:$AG$266,AB$93,FALSE)</f>
        <v/>
      </c>
      <c r="AC401" s="84" t="str">
        <f>VLOOKUP($A401,'US Census Population Estimates'!$A$20:$AG$266,AC$93,FALSE)</f>
        <v/>
      </c>
      <c r="AD401" s="84" t="str">
        <f>VLOOKUP($A401,'US Census Population Estimates'!$A$20:$AG$266,AD$93,FALSE)</f>
        <v/>
      </c>
      <c r="AE401" s="84" t="str">
        <f>VLOOKUP($A401,'US Census Population Estimates'!$A$20:$AG$266,AE$93,FALSE)</f>
        <v/>
      </c>
      <c r="AF401" s="84" t="str">
        <f>VLOOKUP($A401,'US Census Population Estimates'!$A$20:$AG$266,AF$93,FALSE)</f>
        <v/>
      </c>
      <c r="AG401" s="88" t="str">
        <f>VLOOKUP($A401,'US Census Population Estimates'!$A$20:$AG$266,AG$93,FALSE)</f>
        <v/>
      </c>
      <c r="AH401" s="24"/>
    </row>
    <row r="402" ht="12.75" customHeight="1">
      <c r="A402" s="46" t="s">
        <v>275</v>
      </c>
      <c r="B402" s="51" t="s">
        <v>52</v>
      </c>
      <c r="C402" s="84">
        <f>VLOOKUP($A402,'US Census Population Estimates'!$A$20:$AG$266,C$93,FALSE)</f>
        <v>9284</v>
      </c>
      <c r="D402" s="84">
        <f>VLOOKUP($A402,'US Census Population Estimates'!$A$20:$AG$266,D$93,FALSE)</f>
        <v>9270</v>
      </c>
      <c r="E402" s="84">
        <f>VLOOKUP($A402,'US Census Population Estimates'!$A$20:$AG$266,E$93,FALSE)</f>
        <v>9363</v>
      </c>
      <c r="F402" s="84">
        <f>VLOOKUP($A402,'US Census Population Estimates'!$A$20:$AG$266,F$93,FALSE)</f>
        <v>9422</v>
      </c>
      <c r="G402" s="84">
        <f>VLOOKUP($A402,'US Census Population Estimates'!$A$20:$AG$266,G$93,FALSE)</f>
        <v>9503</v>
      </c>
      <c r="H402" s="84">
        <f>VLOOKUP($A402,'US Census Population Estimates'!$A$20:$AG$266,H$93,FALSE)</f>
        <v>9655</v>
      </c>
      <c r="I402" s="84">
        <f>VLOOKUP($A402,'US Census Population Estimates'!$A$20:$AG$266,I$93,FALSE)</f>
        <v>9814</v>
      </c>
      <c r="J402" s="84">
        <f>VLOOKUP($A402,'US Census Population Estimates'!$A$20:$AG$266,J$93,FALSE)</f>
        <v>10024</v>
      </c>
      <c r="K402" s="84">
        <f>VLOOKUP($A402,'US Census Population Estimates'!$A$20:$AG$266,K$93,FALSE)</f>
        <v>10256</v>
      </c>
      <c r="L402" s="84">
        <f>VLOOKUP($A402,'US Census Population Estimates'!$A$20:$AG$266,L$93,FALSE)</f>
        <v>10491</v>
      </c>
      <c r="M402" s="84">
        <f>VLOOKUP($A402,'US Census Population Estimates'!$A$20:$AG$266,M$93,FALSE)</f>
        <v>10937</v>
      </c>
      <c r="N402" s="84">
        <f>VLOOKUP($A402,'US Census Population Estimates'!$A$20:$AG$266,N$93,FALSE)</f>
        <v>11025</v>
      </c>
      <c r="O402" s="84">
        <f>VLOOKUP($A402,'US Census Population Estimates'!$A$20:$AG$266,O$93,FALSE)</f>
        <v>11177</v>
      </c>
      <c r="P402" s="84">
        <f>VLOOKUP($A402,'US Census Population Estimates'!$A$20:$AG$266,P$93,FALSE)</f>
        <v>11180</v>
      </c>
      <c r="Q402" s="84">
        <f>VLOOKUP($A402,'US Census Population Estimates'!$A$20:$AG$266,Q$93,FALSE)</f>
        <v>11098</v>
      </c>
      <c r="R402" s="84">
        <f>VLOOKUP($A402,'US Census Population Estimates'!$A$20:$AG$266,R$93,FALSE)</f>
        <v>11061</v>
      </c>
      <c r="S402" s="84">
        <f>VLOOKUP($A402,'US Census Population Estimates'!$A$20:$AG$266,S$93,FALSE)</f>
        <v>11178</v>
      </c>
      <c r="T402" s="84">
        <f>VLOOKUP($A402,'US Census Population Estimates'!$A$20:$AG$266,T$93,FALSE)</f>
        <v>11058</v>
      </c>
      <c r="U402" s="84">
        <f>VLOOKUP($A402,'US Census Population Estimates'!$A$20:$AG$266,U$93,FALSE)</f>
        <v>10996</v>
      </c>
      <c r="V402" s="84" t="str">
        <f>VLOOKUP($A402,'US Census Population Estimates'!$A$20:$AG$266,V$93,FALSE)</f>
        <v/>
      </c>
      <c r="W402" s="84" t="str">
        <f>VLOOKUP($A402,'US Census Population Estimates'!$A$20:$AG$266,W$93,FALSE)</f>
        <v/>
      </c>
      <c r="X402" s="84" t="str">
        <f>VLOOKUP($A402,'US Census Population Estimates'!$A$20:$AG$266,X$93,FALSE)</f>
        <v/>
      </c>
      <c r="Y402" s="84" t="str">
        <f>VLOOKUP($A402,'US Census Population Estimates'!$A$20:$AG$266,Y$93,FALSE)</f>
        <v/>
      </c>
      <c r="Z402" s="84" t="str">
        <f>VLOOKUP($A402,'US Census Population Estimates'!$A$20:$AG$266,Z$93,FALSE)</f>
        <v/>
      </c>
      <c r="AA402" s="84" t="str">
        <f>VLOOKUP($A402,'US Census Population Estimates'!$A$20:$AG$266,AA$93,FALSE)</f>
        <v/>
      </c>
      <c r="AB402" s="84" t="str">
        <f>VLOOKUP($A402,'US Census Population Estimates'!$A$20:$AG$266,AB$93,FALSE)</f>
        <v/>
      </c>
      <c r="AC402" s="84" t="str">
        <f>VLOOKUP($A402,'US Census Population Estimates'!$A$20:$AG$266,AC$93,FALSE)</f>
        <v/>
      </c>
      <c r="AD402" s="84" t="str">
        <f>VLOOKUP($A402,'US Census Population Estimates'!$A$20:$AG$266,AD$93,FALSE)</f>
        <v/>
      </c>
      <c r="AE402" s="84" t="str">
        <f>VLOOKUP($A402,'US Census Population Estimates'!$A$20:$AG$266,AE$93,FALSE)</f>
        <v/>
      </c>
      <c r="AF402" s="84" t="str">
        <f>VLOOKUP($A402,'US Census Population Estimates'!$A$20:$AG$266,AF$93,FALSE)</f>
        <v/>
      </c>
      <c r="AG402" s="88" t="str">
        <f>VLOOKUP($A402,'US Census Population Estimates'!$A$20:$AG$266,AG$93,FALSE)</f>
        <v/>
      </c>
      <c r="AH402" s="24"/>
    </row>
    <row r="403" ht="12.75" customHeight="1">
      <c r="A403" s="46" t="s">
        <v>283</v>
      </c>
      <c r="B403" s="51" t="s">
        <v>52</v>
      </c>
      <c r="C403" s="84">
        <f>VLOOKUP($A403,'US Census Population Estimates'!$A$20:$AG$266,C$93,FALSE)</f>
        <v>3149</v>
      </c>
      <c r="D403" s="84">
        <f>VLOOKUP($A403,'US Census Population Estimates'!$A$20:$AG$266,D$93,FALSE)</f>
        <v>3080</v>
      </c>
      <c r="E403" s="84">
        <f>VLOOKUP($A403,'US Census Population Estimates'!$A$20:$AG$266,E$93,FALSE)</f>
        <v>3056</v>
      </c>
      <c r="F403" s="84">
        <f>VLOOKUP($A403,'US Census Population Estimates'!$A$20:$AG$266,F$93,FALSE)</f>
        <v>2974</v>
      </c>
      <c r="G403" s="84">
        <f>VLOOKUP($A403,'US Census Population Estimates'!$A$20:$AG$266,G$93,FALSE)</f>
        <v>2960</v>
      </c>
      <c r="H403" s="84">
        <f>VLOOKUP($A403,'US Census Population Estimates'!$A$20:$AG$266,H$93,FALSE)</f>
        <v>2933</v>
      </c>
      <c r="I403" s="84">
        <f>VLOOKUP($A403,'US Census Population Estimates'!$A$20:$AG$266,I$93,FALSE)</f>
        <v>2940</v>
      </c>
      <c r="J403" s="84">
        <f>VLOOKUP($A403,'US Census Population Estimates'!$A$20:$AG$266,J$93,FALSE)</f>
        <v>2937</v>
      </c>
      <c r="K403" s="84">
        <f>VLOOKUP($A403,'US Census Population Estimates'!$A$20:$AG$266,K$93,FALSE)</f>
        <v>2958</v>
      </c>
      <c r="L403" s="84">
        <f>VLOOKUP($A403,'US Census Population Estimates'!$A$20:$AG$266,L$93,FALSE)</f>
        <v>3022</v>
      </c>
      <c r="M403" s="84">
        <f>VLOOKUP($A403,'US Census Population Estimates'!$A$20:$AG$266,M$93,FALSE)</f>
        <v>3007</v>
      </c>
      <c r="N403" s="84">
        <f>VLOOKUP($A403,'US Census Population Estimates'!$A$20:$AG$266,N$93,FALSE)</f>
        <v>3006</v>
      </c>
      <c r="O403" s="84">
        <f>VLOOKUP($A403,'US Census Population Estimates'!$A$20:$AG$266,O$93,FALSE)</f>
        <v>3021</v>
      </c>
      <c r="P403" s="84">
        <f>VLOOKUP($A403,'US Census Population Estimates'!$A$20:$AG$266,P$93,FALSE)</f>
        <v>3021</v>
      </c>
      <c r="Q403" s="84">
        <f>VLOOKUP($A403,'US Census Population Estimates'!$A$20:$AG$266,Q$93,FALSE)</f>
        <v>2992</v>
      </c>
      <c r="R403" s="84">
        <f>VLOOKUP($A403,'US Census Population Estimates'!$A$20:$AG$266,R$93,FALSE)</f>
        <v>2945</v>
      </c>
      <c r="S403" s="84">
        <f>VLOOKUP($A403,'US Census Population Estimates'!$A$20:$AG$266,S$93,FALSE)</f>
        <v>2916</v>
      </c>
      <c r="T403" s="84">
        <f>VLOOKUP($A403,'US Census Population Estimates'!$A$20:$AG$266,T$93,FALSE)</f>
        <v>2930</v>
      </c>
      <c r="U403" s="84">
        <f>VLOOKUP($A403,'US Census Population Estimates'!$A$20:$AG$266,U$93,FALSE)</f>
        <v>2850</v>
      </c>
      <c r="V403" s="84" t="str">
        <f>VLOOKUP($A403,'US Census Population Estimates'!$A$20:$AG$266,V$93,FALSE)</f>
        <v/>
      </c>
      <c r="W403" s="84" t="str">
        <f>VLOOKUP($A403,'US Census Population Estimates'!$A$20:$AG$266,W$93,FALSE)</f>
        <v/>
      </c>
      <c r="X403" s="84" t="str">
        <f>VLOOKUP($A403,'US Census Population Estimates'!$A$20:$AG$266,X$93,FALSE)</f>
        <v/>
      </c>
      <c r="Y403" s="84" t="str">
        <f>VLOOKUP($A403,'US Census Population Estimates'!$A$20:$AG$266,Y$93,FALSE)</f>
        <v/>
      </c>
      <c r="Z403" s="84" t="str">
        <f>VLOOKUP($A403,'US Census Population Estimates'!$A$20:$AG$266,Z$93,FALSE)</f>
        <v/>
      </c>
      <c r="AA403" s="84" t="str">
        <f>VLOOKUP($A403,'US Census Population Estimates'!$A$20:$AG$266,AA$93,FALSE)</f>
        <v/>
      </c>
      <c r="AB403" s="84" t="str">
        <f>VLOOKUP($A403,'US Census Population Estimates'!$A$20:$AG$266,AB$93,FALSE)</f>
        <v/>
      </c>
      <c r="AC403" s="84" t="str">
        <f>VLOOKUP($A403,'US Census Population Estimates'!$A$20:$AG$266,AC$93,FALSE)</f>
        <v/>
      </c>
      <c r="AD403" s="84" t="str">
        <f>VLOOKUP($A403,'US Census Population Estimates'!$A$20:$AG$266,AD$93,FALSE)</f>
        <v/>
      </c>
      <c r="AE403" s="84" t="str">
        <f>VLOOKUP($A403,'US Census Population Estimates'!$A$20:$AG$266,AE$93,FALSE)</f>
        <v/>
      </c>
      <c r="AF403" s="84" t="str">
        <f>VLOOKUP($A403,'US Census Population Estimates'!$A$20:$AG$266,AF$93,FALSE)</f>
        <v/>
      </c>
      <c r="AG403" s="88" t="str">
        <f>VLOOKUP($A403,'US Census Population Estimates'!$A$20:$AG$266,AG$93,FALSE)</f>
        <v/>
      </c>
      <c r="AH403" s="24"/>
    </row>
    <row r="404" ht="12.75" customHeight="1">
      <c r="A404" s="46" t="s">
        <v>268</v>
      </c>
      <c r="B404" s="51" t="s">
        <v>52</v>
      </c>
      <c r="C404" s="84">
        <f>VLOOKUP($A404,'US Census Population Estimates'!$A$20:$AG$266,C$93,FALSE)</f>
        <v>344</v>
      </c>
      <c r="D404" s="84">
        <f>VLOOKUP($A404,'US Census Population Estimates'!$A$20:$AG$266,D$93,FALSE)</f>
        <v>338</v>
      </c>
      <c r="E404" s="84">
        <f>VLOOKUP($A404,'US Census Population Estimates'!$A$20:$AG$266,E$93,FALSE)</f>
        <v>335</v>
      </c>
      <c r="F404" s="84">
        <f>VLOOKUP($A404,'US Census Population Estimates'!$A$20:$AG$266,F$93,FALSE)</f>
        <v>333</v>
      </c>
      <c r="G404" s="84">
        <f>VLOOKUP($A404,'US Census Population Estimates'!$A$20:$AG$266,G$93,FALSE)</f>
        <v>329</v>
      </c>
      <c r="H404" s="84">
        <f>VLOOKUP($A404,'US Census Population Estimates'!$A$20:$AG$266,H$93,FALSE)</f>
        <v>328</v>
      </c>
      <c r="I404" s="84">
        <f>VLOOKUP($A404,'US Census Population Estimates'!$A$20:$AG$266,I$93,FALSE)</f>
        <v>328</v>
      </c>
      <c r="J404" s="84">
        <f>VLOOKUP($A404,'US Census Population Estimates'!$A$20:$AG$266,J$93,FALSE)</f>
        <v>328</v>
      </c>
      <c r="K404" s="84">
        <f>VLOOKUP($A404,'US Census Population Estimates'!$A$20:$AG$266,K$93,FALSE)</f>
        <v>329</v>
      </c>
      <c r="L404" s="84">
        <f>VLOOKUP($A404,'US Census Population Estimates'!$A$20:$AG$266,L$93,FALSE)</f>
        <v>328</v>
      </c>
      <c r="M404" s="84">
        <f>VLOOKUP($A404,'US Census Population Estimates'!$A$20:$AG$266,M$93,FALSE)</f>
        <v>327</v>
      </c>
      <c r="N404" s="84">
        <f>VLOOKUP($A404,'US Census Population Estimates'!$A$20:$AG$266,N$93,FALSE)</f>
        <v>330</v>
      </c>
      <c r="O404" s="84">
        <f>VLOOKUP($A404,'US Census Population Estimates'!$A$20:$AG$266,O$93,FALSE)</f>
        <v>333</v>
      </c>
      <c r="P404" s="84">
        <f>VLOOKUP($A404,'US Census Population Estimates'!$A$20:$AG$266,P$93,FALSE)</f>
        <v>334</v>
      </c>
      <c r="Q404" s="84">
        <f>VLOOKUP($A404,'US Census Population Estimates'!$A$20:$AG$266,Q$93,FALSE)</f>
        <v>332</v>
      </c>
      <c r="R404" s="84">
        <f>VLOOKUP($A404,'US Census Population Estimates'!$A$20:$AG$266,R$93,FALSE)</f>
        <v>332</v>
      </c>
      <c r="S404" s="84">
        <f>VLOOKUP($A404,'US Census Population Estimates'!$A$20:$AG$266,S$93,FALSE)</f>
        <v>334</v>
      </c>
      <c r="T404" s="84">
        <f>VLOOKUP($A404,'US Census Population Estimates'!$A$20:$AG$266,T$93,FALSE)</f>
        <v>335</v>
      </c>
      <c r="U404" s="84">
        <f>VLOOKUP($A404,'US Census Population Estimates'!$A$20:$AG$266,U$93,FALSE)</f>
        <v>330</v>
      </c>
      <c r="V404" s="84" t="str">
        <f>VLOOKUP($A404,'US Census Population Estimates'!$A$20:$AG$266,V$93,FALSE)</f>
        <v/>
      </c>
      <c r="W404" s="84" t="str">
        <f>VLOOKUP($A404,'US Census Population Estimates'!$A$20:$AG$266,W$93,FALSE)</f>
        <v/>
      </c>
      <c r="X404" s="84" t="str">
        <f>VLOOKUP($A404,'US Census Population Estimates'!$A$20:$AG$266,X$93,FALSE)</f>
        <v/>
      </c>
      <c r="Y404" s="84" t="str">
        <f>VLOOKUP($A404,'US Census Population Estimates'!$A$20:$AG$266,Y$93,FALSE)</f>
        <v/>
      </c>
      <c r="Z404" s="84" t="str">
        <f>VLOOKUP($A404,'US Census Population Estimates'!$A$20:$AG$266,Z$93,FALSE)</f>
        <v/>
      </c>
      <c r="AA404" s="84" t="str">
        <f>VLOOKUP($A404,'US Census Population Estimates'!$A$20:$AG$266,AA$93,FALSE)</f>
        <v/>
      </c>
      <c r="AB404" s="84" t="str">
        <f>VLOOKUP($A404,'US Census Population Estimates'!$A$20:$AG$266,AB$93,FALSE)</f>
        <v/>
      </c>
      <c r="AC404" s="84" t="str">
        <f>VLOOKUP($A404,'US Census Population Estimates'!$A$20:$AG$266,AC$93,FALSE)</f>
        <v/>
      </c>
      <c r="AD404" s="84" t="str">
        <f>VLOOKUP($A404,'US Census Population Estimates'!$A$20:$AG$266,AD$93,FALSE)</f>
        <v/>
      </c>
      <c r="AE404" s="84" t="str">
        <f>VLOOKUP($A404,'US Census Population Estimates'!$A$20:$AG$266,AE$93,FALSE)</f>
        <v/>
      </c>
      <c r="AF404" s="84" t="str">
        <f>VLOOKUP($A404,'US Census Population Estimates'!$A$20:$AG$266,AF$93,FALSE)</f>
        <v/>
      </c>
      <c r="AG404" s="88" t="str">
        <f>VLOOKUP($A404,'US Census Population Estimates'!$A$20:$AG$266,AG$93,FALSE)</f>
        <v/>
      </c>
      <c r="AH404" s="24"/>
    </row>
    <row r="405" ht="12.75" customHeight="1">
      <c r="A405" s="46" t="s">
        <v>249</v>
      </c>
      <c r="B405" s="51" t="s">
        <v>52</v>
      </c>
      <c r="C405" s="84">
        <f>VLOOKUP($A405,'US Census Population Estimates'!$A$20:$AG$266,C$93,FALSE)</f>
        <v>546</v>
      </c>
      <c r="D405" s="84">
        <f>VLOOKUP($A405,'US Census Population Estimates'!$A$20:$AG$266,D$93,FALSE)</f>
        <v>541</v>
      </c>
      <c r="E405" s="84">
        <f>VLOOKUP($A405,'US Census Population Estimates'!$A$20:$AG$266,E$93,FALSE)</f>
        <v>542</v>
      </c>
      <c r="F405" s="84">
        <f>VLOOKUP($A405,'US Census Population Estimates'!$A$20:$AG$266,F$93,FALSE)</f>
        <v>541</v>
      </c>
      <c r="G405" s="84">
        <f>VLOOKUP($A405,'US Census Population Estimates'!$A$20:$AG$266,G$93,FALSE)</f>
        <v>552</v>
      </c>
      <c r="H405" s="84">
        <f>VLOOKUP($A405,'US Census Population Estimates'!$A$20:$AG$266,H$93,FALSE)</f>
        <v>554</v>
      </c>
      <c r="I405" s="84">
        <f>VLOOKUP($A405,'US Census Population Estimates'!$A$20:$AG$266,I$93,FALSE)</f>
        <v>558</v>
      </c>
      <c r="J405" s="84">
        <f>VLOOKUP($A405,'US Census Population Estimates'!$A$20:$AG$266,J$93,FALSE)</f>
        <v>568</v>
      </c>
      <c r="K405" s="84">
        <f>VLOOKUP($A405,'US Census Population Estimates'!$A$20:$AG$266,K$93,FALSE)</f>
        <v>575</v>
      </c>
      <c r="L405" s="84">
        <f>VLOOKUP($A405,'US Census Population Estimates'!$A$20:$AG$266,L$93,FALSE)</f>
        <v>584</v>
      </c>
      <c r="M405" s="84">
        <f>VLOOKUP($A405,'US Census Population Estimates'!$A$20:$AG$266,M$93,FALSE)</f>
        <v>592</v>
      </c>
      <c r="N405" s="84">
        <f>VLOOKUP($A405,'US Census Population Estimates'!$A$20:$AG$266,N$93,FALSE)</f>
        <v>596</v>
      </c>
      <c r="O405" s="84">
        <f>VLOOKUP($A405,'US Census Population Estimates'!$A$20:$AG$266,O$93,FALSE)</f>
        <v>601</v>
      </c>
      <c r="P405" s="84">
        <f>VLOOKUP($A405,'US Census Population Estimates'!$A$20:$AG$266,P$93,FALSE)</f>
        <v>613</v>
      </c>
      <c r="Q405" s="84">
        <f>VLOOKUP($A405,'US Census Population Estimates'!$A$20:$AG$266,Q$93,FALSE)</f>
        <v>610</v>
      </c>
      <c r="R405" s="84">
        <f>VLOOKUP($A405,'US Census Population Estimates'!$A$20:$AG$266,R$93,FALSE)</f>
        <v>619</v>
      </c>
      <c r="S405" s="84">
        <f>VLOOKUP($A405,'US Census Population Estimates'!$A$20:$AG$266,S$93,FALSE)</f>
        <v>617</v>
      </c>
      <c r="T405" s="84">
        <f>VLOOKUP($A405,'US Census Population Estimates'!$A$20:$AG$266,T$93,FALSE)</f>
        <v>616</v>
      </c>
      <c r="U405" s="84">
        <f>VLOOKUP($A405,'US Census Population Estimates'!$A$20:$AG$266,U$93,FALSE)</f>
        <v>612</v>
      </c>
      <c r="V405" s="84" t="str">
        <f>VLOOKUP($A405,'US Census Population Estimates'!$A$20:$AG$266,V$93,FALSE)</f>
        <v/>
      </c>
      <c r="W405" s="84" t="str">
        <f>VLOOKUP($A405,'US Census Population Estimates'!$A$20:$AG$266,W$93,FALSE)</f>
        <v/>
      </c>
      <c r="X405" s="84" t="str">
        <f>VLOOKUP($A405,'US Census Population Estimates'!$A$20:$AG$266,X$93,FALSE)</f>
        <v/>
      </c>
      <c r="Y405" s="84" t="str">
        <f>VLOOKUP($A405,'US Census Population Estimates'!$A$20:$AG$266,Y$93,FALSE)</f>
        <v/>
      </c>
      <c r="Z405" s="84" t="str">
        <f>VLOOKUP($A405,'US Census Population Estimates'!$A$20:$AG$266,Z$93,FALSE)</f>
        <v/>
      </c>
      <c r="AA405" s="84" t="str">
        <f>VLOOKUP($A405,'US Census Population Estimates'!$A$20:$AG$266,AA$93,FALSE)</f>
        <v/>
      </c>
      <c r="AB405" s="84" t="str">
        <f>VLOOKUP($A405,'US Census Population Estimates'!$A$20:$AG$266,AB$93,FALSE)</f>
        <v/>
      </c>
      <c r="AC405" s="84" t="str">
        <f>VLOOKUP($A405,'US Census Population Estimates'!$A$20:$AG$266,AC$93,FALSE)</f>
        <v/>
      </c>
      <c r="AD405" s="84" t="str">
        <f>VLOOKUP($A405,'US Census Population Estimates'!$A$20:$AG$266,AD$93,FALSE)</f>
        <v/>
      </c>
      <c r="AE405" s="84" t="str">
        <f>VLOOKUP($A405,'US Census Population Estimates'!$A$20:$AG$266,AE$93,FALSE)</f>
        <v/>
      </c>
      <c r="AF405" s="84" t="str">
        <f>VLOOKUP($A405,'US Census Population Estimates'!$A$20:$AG$266,AF$93,FALSE)</f>
        <v/>
      </c>
      <c r="AG405" s="88" t="str">
        <f>VLOOKUP($A405,'US Census Population Estimates'!$A$20:$AG$266,AG$93,FALSE)</f>
        <v/>
      </c>
      <c r="AH405" s="24"/>
    </row>
    <row r="406" ht="12.75" customHeight="1">
      <c r="A406" s="46" t="s">
        <v>254</v>
      </c>
      <c r="B406" s="51" t="s">
        <v>52</v>
      </c>
      <c r="C406" s="84">
        <f>VLOOKUP($A406,'US Census Population Estimates'!$A$20:$AG$266,C$93,FALSE)</f>
        <v>176</v>
      </c>
      <c r="D406" s="84">
        <f>VLOOKUP($A406,'US Census Population Estimates'!$A$20:$AG$266,D$93,FALSE)</f>
        <v>173</v>
      </c>
      <c r="E406" s="84">
        <f>VLOOKUP($A406,'US Census Population Estimates'!$A$20:$AG$266,E$93,FALSE)</f>
        <v>172</v>
      </c>
      <c r="F406" s="84">
        <f>VLOOKUP($A406,'US Census Population Estimates'!$A$20:$AG$266,F$93,FALSE)</f>
        <v>171</v>
      </c>
      <c r="G406" s="84">
        <f>VLOOKUP($A406,'US Census Population Estimates'!$A$20:$AG$266,G$93,FALSE)</f>
        <v>173</v>
      </c>
      <c r="H406" s="84">
        <f>VLOOKUP($A406,'US Census Population Estimates'!$A$20:$AG$266,H$93,FALSE)</f>
        <v>172</v>
      </c>
      <c r="I406" s="84">
        <f>VLOOKUP($A406,'US Census Population Estimates'!$A$20:$AG$266,I$93,FALSE)</f>
        <v>172</v>
      </c>
      <c r="J406" s="84">
        <f>VLOOKUP($A406,'US Census Population Estimates'!$A$20:$AG$266,J$93,FALSE)</f>
        <v>174</v>
      </c>
      <c r="K406" s="84">
        <f>VLOOKUP($A406,'US Census Population Estimates'!$A$20:$AG$266,K$93,FALSE)</f>
        <v>175</v>
      </c>
      <c r="L406" s="84">
        <f>VLOOKUP($A406,'US Census Population Estimates'!$A$20:$AG$266,L$93,FALSE)</f>
        <v>176</v>
      </c>
      <c r="M406" s="84">
        <f>VLOOKUP($A406,'US Census Population Estimates'!$A$20:$AG$266,M$93,FALSE)</f>
        <v>178</v>
      </c>
      <c r="N406" s="84">
        <f>VLOOKUP($A406,'US Census Population Estimates'!$A$20:$AG$266,N$93,FALSE)</f>
        <v>180</v>
      </c>
      <c r="O406" s="84">
        <f>VLOOKUP($A406,'US Census Population Estimates'!$A$20:$AG$266,O$93,FALSE)</f>
        <v>180</v>
      </c>
      <c r="P406" s="84">
        <f>VLOOKUP($A406,'US Census Population Estimates'!$A$20:$AG$266,P$93,FALSE)</f>
        <v>183</v>
      </c>
      <c r="Q406" s="84">
        <f>VLOOKUP($A406,'US Census Population Estimates'!$A$20:$AG$266,Q$93,FALSE)</f>
        <v>181</v>
      </c>
      <c r="R406" s="84">
        <f>VLOOKUP($A406,'US Census Population Estimates'!$A$20:$AG$266,R$93,FALSE)</f>
        <v>184</v>
      </c>
      <c r="S406" s="84">
        <f>VLOOKUP($A406,'US Census Population Estimates'!$A$20:$AG$266,S$93,FALSE)</f>
        <v>183</v>
      </c>
      <c r="T406" s="84">
        <f>VLOOKUP($A406,'US Census Population Estimates'!$A$20:$AG$266,T$93,FALSE)</f>
        <v>185</v>
      </c>
      <c r="U406" s="84">
        <f>VLOOKUP($A406,'US Census Population Estimates'!$A$20:$AG$266,U$93,FALSE)</f>
        <v>185</v>
      </c>
      <c r="V406" s="84" t="str">
        <f>VLOOKUP($A406,'US Census Population Estimates'!$A$20:$AG$266,V$93,FALSE)</f>
        <v/>
      </c>
      <c r="W406" s="84" t="str">
        <f>VLOOKUP($A406,'US Census Population Estimates'!$A$20:$AG$266,W$93,FALSE)</f>
        <v/>
      </c>
      <c r="X406" s="84" t="str">
        <f>VLOOKUP($A406,'US Census Population Estimates'!$A$20:$AG$266,X$93,FALSE)</f>
        <v/>
      </c>
      <c r="Y406" s="84" t="str">
        <f>VLOOKUP($A406,'US Census Population Estimates'!$A$20:$AG$266,Y$93,FALSE)</f>
        <v/>
      </c>
      <c r="Z406" s="84" t="str">
        <f>VLOOKUP($A406,'US Census Population Estimates'!$A$20:$AG$266,Z$93,FALSE)</f>
        <v/>
      </c>
      <c r="AA406" s="84" t="str">
        <f>VLOOKUP($A406,'US Census Population Estimates'!$A$20:$AG$266,AA$93,FALSE)</f>
        <v/>
      </c>
      <c r="AB406" s="84" t="str">
        <f>VLOOKUP($A406,'US Census Population Estimates'!$A$20:$AG$266,AB$93,FALSE)</f>
        <v/>
      </c>
      <c r="AC406" s="84" t="str">
        <f>VLOOKUP($A406,'US Census Population Estimates'!$A$20:$AG$266,AC$93,FALSE)</f>
        <v/>
      </c>
      <c r="AD406" s="84" t="str">
        <f>VLOOKUP($A406,'US Census Population Estimates'!$A$20:$AG$266,AD$93,FALSE)</f>
        <v/>
      </c>
      <c r="AE406" s="84" t="str">
        <f>VLOOKUP($A406,'US Census Population Estimates'!$A$20:$AG$266,AE$93,FALSE)</f>
        <v/>
      </c>
      <c r="AF406" s="84" t="str">
        <f>VLOOKUP($A406,'US Census Population Estimates'!$A$20:$AG$266,AF$93,FALSE)</f>
        <v/>
      </c>
      <c r="AG406" s="88" t="str">
        <f>VLOOKUP($A406,'US Census Population Estimates'!$A$20:$AG$266,AG$93,FALSE)</f>
        <v/>
      </c>
      <c r="AH406" s="24"/>
    </row>
    <row r="407" ht="12.75" customHeight="1">
      <c r="A407" s="46" t="s">
        <v>272</v>
      </c>
      <c r="B407" s="51" t="s">
        <v>52</v>
      </c>
      <c r="C407" s="84">
        <f>VLOOKUP($A407,'US Census Population Estimates'!$A$20:$AG$266,C$93,FALSE)</f>
        <v>5611</v>
      </c>
      <c r="D407" s="84">
        <f>VLOOKUP($A407,'US Census Population Estimates'!$A$20:$AG$266,D$93,FALSE)</f>
        <v>5571</v>
      </c>
      <c r="E407" s="84">
        <f>VLOOKUP($A407,'US Census Population Estimates'!$A$20:$AG$266,E$93,FALSE)</f>
        <v>5584</v>
      </c>
      <c r="F407" s="84">
        <f>VLOOKUP($A407,'US Census Population Estimates'!$A$20:$AG$266,F$93,FALSE)</f>
        <v>5658</v>
      </c>
      <c r="G407" s="84">
        <f>VLOOKUP($A407,'US Census Population Estimates'!$A$20:$AG$266,G$93,FALSE)</f>
        <v>5705</v>
      </c>
      <c r="H407" s="84">
        <f>VLOOKUP($A407,'US Census Population Estimates'!$A$20:$AG$266,H$93,FALSE)</f>
        <v>5794</v>
      </c>
      <c r="I407" s="84">
        <f>VLOOKUP($A407,'US Census Population Estimates'!$A$20:$AG$266,I$93,FALSE)</f>
        <v>5907</v>
      </c>
      <c r="J407" s="84">
        <f>VLOOKUP($A407,'US Census Population Estimates'!$A$20:$AG$266,J$93,FALSE)</f>
        <v>6023</v>
      </c>
      <c r="K407" s="84">
        <f>VLOOKUP($A407,'US Census Population Estimates'!$A$20:$AG$266,K$93,FALSE)</f>
        <v>6119</v>
      </c>
      <c r="L407" s="84">
        <f>VLOOKUP($A407,'US Census Population Estimates'!$A$20:$AG$266,L$93,FALSE)</f>
        <v>6264</v>
      </c>
      <c r="M407" s="84">
        <f>VLOOKUP($A407,'US Census Population Estimates'!$A$20:$AG$266,M$93,FALSE)</f>
        <v>6317</v>
      </c>
      <c r="N407" s="84">
        <f>VLOOKUP($A407,'US Census Population Estimates'!$A$20:$AG$266,N$93,FALSE)</f>
        <v>6311</v>
      </c>
      <c r="O407" s="84">
        <f>VLOOKUP($A407,'US Census Population Estimates'!$A$20:$AG$266,O$93,FALSE)</f>
        <v>6404</v>
      </c>
      <c r="P407" s="84">
        <f>VLOOKUP($A407,'US Census Population Estimates'!$A$20:$AG$266,P$93,FALSE)</f>
        <v>6411</v>
      </c>
      <c r="Q407" s="84">
        <f>VLOOKUP($A407,'US Census Population Estimates'!$A$20:$AG$266,Q$93,FALSE)</f>
        <v>6428</v>
      </c>
      <c r="R407" s="84">
        <f>VLOOKUP($A407,'US Census Population Estimates'!$A$20:$AG$266,R$93,FALSE)</f>
        <v>6367</v>
      </c>
      <c r="S407" s="84">
        <f>VLOOKUP($A407,'US Census Population Estimates'!$A$20:$AG$266,S$93,FALSE)</f>
        <v>6438</v>
      </c>
      <c r="T407" s="84">
        <f>VLOOKUP($A407,'US Census Population Estimates'!$A$20:$AG$266,T$93,FALSE)</f>
        <v>6440</v>
      </c>
      <c r="U407" s="84">
        <f>VLOOKUP($A407,'US Census Population Estimates'!$A$20:$AG$266,U$93,FALSE)</f>
        <v>6310</v>
      </c>
      <c r="V407" s="84" t="str">
        <f>VLOOKUP($A407,'US Census Population Estimates'!$A$20:$AG$266,V$93,FALSE)</f>
        <v/>
      </c>
      <c r="W407" s="84" t="str">
        <f>VLOOKUP($A407,'US Census Population Estimates'!$A$20:$AG$266,W$93,FALSE)</f>
        <v/>
      </c>
      <c r="X407" s="84" t="str">
        <f>VLOOKUP($A407,'US Census Population Estimates'!$A$20:$AG$266,X$93,FALSE)</f>
        <v/>
      </c>
      <c r="Y407" s="84" t="str">
        <f>VLOOKUP($A407,'US Census Population Estimates'!$A$20:$AG$266,Y$93,FALSE)</f>
        <v/>
      </c>
      <c r="Z407" s="84" t="str">
        <f>VLOOKUP($A407,'US Census Population Estimates'!$A$20:$AG$266,Z$93,FALSE)</f>
        <v/>
      </c>
      <c r="AA407" s="84" t="str">
        <f>VLOOKUP($A407,'US Census Population Estimates'!$A$20:$AG$266,AA$93,FALSE)</f>
        <v/>
      </c>
      <c r="AB407" s="84" t="str">
        <f>VLOOKUP($A407,'US Census Population Estimates'!$A$20:$AG$266,AB$93,FALSE)</f>
        <v/>
      </c>
      <c r="AC407" s="84" t="str">
        <f>VLOOKUP($A407,'US Census Population Estimates'!$A$20:$AG$266,AC$93,FALSE)</f>
        <v/>
      </c>
      <c r="AD407" s="84" t="str">
        <f>VLOOKUP($A407,'US Census Population Estimates'!$A$20:$AG$266,AD$93,FALSE)</f>
        <v/>
      </c>
      <c r="AE407" s="84" t="str">
        <f>VLOOKUP($A407,'US Census Population Estimates'!$A$20:$AG$266,AE$93,FALSE)</f>
        <v/>
      </c>
      <c r="AF407" s="84" t="str">
        <f>VLOOKUP($A407,'US Census Population Estimates'!$A$20:$AG$266,AF$93,FALSE)</f>
        <v/>
      </c>
      <c r="AG407" s="88" t="str">
        <f>VLOOKUP($A407,'US Census Population Estimates'!$A$20:$AG$266,AG$93,FALSE)</f>
        <v/>
      </c>
      <c r="AH407" s="24"/>
    </row>
    <row r="408" ht="12.75" customHeight="1">
      <c r="A408" s="46" t="s">
        <v>258</v>
      </c>
      <c r="B408" s="51" t="s">
        <v>52</v>
      </c>
      <c r="C408" s="84">
        <f>VLOOKUP($A408,'US Census Population Estimates'!$A$20:$AG$266,C$93,FALSE)</f>
        <v>204</v>
      </c>
      <c r="D408" s="84">
        <f>VLOOKUP($A408,'US Census Population Estimates'!$A$20:$AG$266,D$93,FALSE)</f>
        <v>196</v>
      </c>
      <c r="E408" s="84">
        <f>VLOOKUP($A408,'US Census Population Estimates'!$A$20:$AG$266,E$93,FALSE)</f>
        <v>189</v>
      </c>
      <c r="F408" s="84">
        <f>VLOOKUP($A408,'US Census Population Estimates'!$A$20:$AG$266,F$93,FALSE)</f>
        <v>183</v>
      </c>
      <c r="G408" s="84">
        <f>VLOOKUP($A408,'US Census Population Estimates'!$A$20:$AG$266,G$93,FALSE)</f>
        <v>181</v>
      </c>
      <c r="H408" s="84">
        <f>VLOOKUP($A408,'US Census Population Estimates'!$A$20:$AG$266,H$93,FALSE)</f>
        <v>175</v>
      </c>
      <c r="I408" s="84">
        <f>VLOOKUP($A408,'US Census Population Estimates'!$A$20:$AG$266,I$93,FALSE)</f>
        <v>170</v>
      </c>
      <c r="J408" s="84">
        <f>VLOOKUP($A408,'US Census Population Estimates'!$A$20:$AG$266,J$93,FALSE)</f>
        <v>167</v>
      </c>
      <c r="K408" s="84">
        <f>VLOOKUP($A408,'US Census Population Estimates'!$A$20:$AG$266,K$93,FALSE)</f>
        <v>163</v>
      </c>
      <c r="L408" s="84">
        <f>VLOOKUP($A408,'US Census Population Estimates'!$A$20:$AG$266,L$93,FALSE)</f>
        <v>160</v>
      </c>
      <c r="M408" s="84">
        <f>VLOOKUP($A408,'US Census Population Estimates'!$A$20:$AG$266,M$93,FALSE)</f>
        <v>157</v>
      </c>
      <c r="N408" s="84">
        <f>VLOOKUP($A408,'US Census Population Estimates'!$A$20:$AG$266,N$93,FALSE)</f>
        <v>157</v>
      </c>
      <c r="O408" s="84">
        <f>VLOOKUP($A408,'US Census Population Estimates'!$A$20:$AG$266,O$93,FALSE)</f>
        <v>157</v>
      </c>
      <c r="P408" s="84">
        <f>VLOOKUP($A408,'US Census Population Estimates'!$A$20:$AG$266,P$93,FALSE)</f>
        <v>161</v>
      </c>
      <c r="Q408" s="84">
        <f>VLOOKUP($A408,'US Census Population Estimates'!$A$20:$AG$266,Q$93,FALSE)</f>
        <v>159</v>
      </c>
      <c r="R408" s="84">
        <f>VLOOKUP($A408,'US Census Population Estimates'!$A$20:$AG$266,R$93,FALSE)</f>
        <v>159</v>
      </c>
      <c r="S408" s="84">
        <f>VLOOKUP($A408,'US Census Population Estimates'!$A$20:$AG$266,S$93,FALSE)</f>
        <v>159</v>
      </c>
      <c r="T408" s="84">
        <f>VLOOKUP($A408,'US Census Population Estimates'!$A$20:$AG$266,T$93,FALSE)</f>
        <v>158</v>
      </c>
      <c r="U408" s="84">
        <f>VLOOKUP($A408,'US Census Population Estimates'!$A$20:$AG$266,U$93,FALSE)</f>
        <v>158</v>
      </c>
      <c r="V408" s="84" t="str">
        <f>VLOOKUP($A408,'US Census Population Estimates'!$A$20:$AG$266,V$93,FALSE)</f>
        <v/>
      </c>
      <c r="W408" s="84" t="str">
        <f>VLOOKUP($A408,'US Census Population Estimates'!$A$20:$AG$266,W$93,FALSE)</f>
        <v/>
      </c>
      <c r="X408" s="84" t="str">
        <f>VLOOKUP($A408,'US Census Population Estimates'!$A$20:$AG$266,X$93,FALSE)</f>
        <v/>
      </c>
      <c r="Y408" s="84" t="str">
        <f>VLOOKUP($A408,'US Census Population Estimates'!$A$20:$AG$266,Y$93,FALSE)</f>
        <v/>
      </c>
      <c r="Z408" s="84" t="str">
        <f>VLOOKUP($A408,'US Census Population Estimates'!$A$20:$AG$266,Z$93,FALSE)</f>
        <v/>
      </c>
      <c r="AA408" s="84" t="str">
        <f>VLOOKUP($A408,'US Census Population Estimates'!$A$20:$AG$266,AA$93,FALSE)</f>
        <v/>
      </c>
      <c r="AB408" s="84" t="str">
        <f>VLOOKUP($A408,'US Census Population Estimates'!$A$20:$AG$266,AB$93,FALSE)</f>
        <v/>
      </c>
      <c r="AC408" s="84" t="str">
        <f>VLOOKUP($A408,'US Census Population Estimates'!$A$20:$AG$266,AC$93,FALSE)</f>
        <v/>
      </c>
      <c r="AD408" s="84" t="str">
        <f>VLOOKUP($A408,'US Census Population Estimates'!$A$20:$AG$266,AD$93,FALSE)</f>
        <v/>
      </c>
      <c r="AE408" s="84" t="str">
        <f>VLOOKUP($A408,'US Census Population Estimates'!$A$20:$AG$266,AE$93,FALSE)</f>
        <v/>
      </c>
      <c r="AF408" s="84" t="str">
        <f>VLOOKUP($A408,'US Census Population Estimates'!$A$20:$AG$266,AF$93,FALSE)</f>
        <v/>
      </c>
      <c r="AG408" s="88" t="str">
        <f>VLOOKUP($A408,'US Census Population Estimates'!$A$20:$AG$266,AG$93,FALSE)</f>
        <v/>
      </c>
      <c r="AH408" s="24"/>
    </row>
    <row r="409" ht="12.75" customHeight="1">
      <c r="A409" s="46" t="s">
        <v>266</v>
      </c>
      <c r="B409" s="51" t="s">
        <v>52</v>
      </c>
      <c r="C409" s="84">
        <f>VLOOKUP($A409,'US Census Population Estimates'!$A$20:$AG$266,C$93,FALSE)</f>
        <v>2350</v>
      </c>
      <c r="D409" s="84">
        <f>VLOOKUP($A409,'US Census Population Estimates'!$A$20:$AG$266,D$93,FALSE)</f>
        <v>2306</v>
      </c>
      <c r="E409" s="84">
        <f>VLOOKUP($A409,'US Census Population Estimates'!$A$20:$AG$266,E$93,FALSE)</f>
        <v>2290</v>
      </c>
      <c r="F409" s="84">
        <f>VLOOKUP($A409,'US Census Population Estimates'!$A$20:$AG$266,F$93,FALSE)</f>
        <v>2269</v>
      </c>
      <c r="G409" s="84">
        <f>VLOOKUP($A409,'US Census Population Estimates'!$A$20:$AG$266,G$93,FALSE)</f>
        <v>2296</v>
      </c>
      <c r="H409" s="84">
        <f>VLOOKUP($A409,'US Census Population Estimates'!$A$20:$AG$266,H$93,FALSE)</f>
        <v>2284</v>
      </c>
      <c r="I409" s="84">
        <f>VLOOKUP($A409,'US Census Population Estimates'!$A$20:$AG$266,I$93,FALSE)</f>
        <v>2286</v>
      </c>
      <c r="J409" s="84">
        <f>VLOOKUP($A409,'US Census Population Estimates'!$A$20:$AG$266,J$93,FALSE)</f>
        <v>2307</v>
      </c>
      <c r="K409" s="84">
        <f>VLOOKUP($A409,'US Census Population Estimates'!$A$20:$AG$266,K$93,FALSE)</f>
        <v>2317</v>
      </c>
      <c r="L409" s="84">
        <f>VLOOKUP($A409,'US Census Population Estimates'!$A$20:$AG$266,L$93,FALSE)</f>
        <v>2337</v>
      </c>
      <c r="M409" s="84">
        <f>VLOOKUP($A409,'US Census Population Estimates'!$A$20:$AG$266,M$93,FALSE)</f>
        <v>2360</v>
      </c>
      <c r="N409" s="84">
        <f>VLOOKUP($A409,'US Census Population Estimates'!$A$20:$AG$266,N$93,FALSE)</f>
        <v>2367</v>
      </c>
      <c r="O409" s="84">
        <f>VLOOKUP($A409,'US Census Population Estimates'!$A$20:$AG$266,O$93,FALSE)</f>
        <v>2372</v>
      </c>
      <c r="P409" s="84">
        <f>VLOOKUP($A409,'US Census Population Estimates'!$A$20:$AG$266,P$93,FALSE)</f>
        <v>2404</v>
      </c>
      <c r="Q409" s="84">
        <f>VLOOKUP($A409,'US Census Population Estimates'!$A$20:$AG$266,Q$93,FALSE)</f>
        <v>2387</v>
      </c>
      <c r="R409" s="84">
        <f>VLOOKUP($A409,'US Census Population Estimates'!$A$20:$AG$266,R$93,FALSE)</f>
        <v>2403</v>
      </c>
      <c r="S409" s="84">
        <f>VLOOKUP($A409,'US Census Population Estimates'!$A$20:$AG$266,S$93,FALSE)</f>
        <v>2403</v>
      </c>
      <c r="T409" s="84">
        <f>VLOOKUP($A409,'US Census Population Estimates'!$A$20:$AG$266,T$93,FALSE)</f>
        <v>2393</v>
      </c>
      <c r="U409" s="84">
        <f>VLOOKUP($A409,'US Census Population Estimates'!$A$20:$AG$266,U$93,FALSE)</f>
        <v>2386</v>
      </c>
      <c r="V409" s="84" t="str">
        <f>VLOOKUP($A409,'US Census Population Estimates'!$A$20:$AG$266,V$93,FALSE)</f>
        <v/>
      </c>
      <c r="W409" s="84" t="str">
        <f>VLOOKUP($A409,'US Census Population Estimates'!$A$20:$AG$266,W$93,FALSE)</f>
        <v/>
      </c>
      <c r="X409" s="84" t="str">
        <f>VLOOKUP($A409,'US Census Population Estimates'!$A$20:$AG$266,X$93,FALSE)</f>
        <v/>
      </c>
      <c r="Y409" s="84" t="str">
        <f>VLOOKUP($A409,'US Census Population Estimates'!$A$20:$AG$266,Y$93,FALSE)</f>
        <v/>
      </c>
      <c r="Z409" s="84" t="str">
        <f>VLOOKUP($A409,'US Census Population Estimates'!$A$20:$AG$266,Z$93,FALSE)</f>
        <v/>
      </c>
      <c r="AA409" s="84" t="str">
        <f>VLOOKUP($A409,'US Census Population Estimates'!$A$20:$AG$266,AA$93,FALSE)</f>
        <v/>
      </c>
      <c r="AB409" s="84" t="str">
        <f>VLOOKUP($A409,'US Census Population Estimates'!$A$20:$AG$266,AB$93,FALSE)</f>
        <v/>
      </c>
      <c r="AC409" s="84" t="str">
        <f>VLOOKUP($A409,'US Census Population Estimates'!$A$20:$AG$266,AC$93,FALSE)</f>
        <v/>
      </c>
      <c r="AD409" s="84" t="str">
        <f>VLOOKUP($A409,'US Census Population Estimates'!$A$20:$AG$266,AD$93,FALSE)</f>
        <v/>
      </c>
      <c r="AE409" s="84" t="str">
        <f>VLOOKUP($A409,'US Census Population Estimates'!$A$20:$AG$266,AE$93,FALSE)</f>
        <v/>
      </c>
      <c r="AF409" s="84" t="str">
        <f>VLOOKUP($A409,'US Census Population Estimates'!$A$20:$AG$266,AF$93,FALSE)</f>
        <v/>
      </c>
      <c r="AG409" s="88" t="str">
        <f>VLOOKUP($A409,'US Census Population Estimates'!$A$20:$AG$266,AG$93,FALSE)</f>
        <v/>
      </c>
      <c r="AH409" s="24"/>
    </row>
    <row r="410" ht="12.75" customHeight="1">
      <c r="A410" s="46" t="s">
        <v>256</v>
      </c>
      <c r="B410" s="51" t="s">
        <v>52</v>
      </c>
      <c r="C410" s="84">
        <f>VLOOKUP($A410,'US Census Population Estimates'!$A$20:$AG$266,C$93,FALSE)</f>
        <v>303</v>
      </c>
      <c r="D410" s="84">
        <f>VLOOKUP($A410,'US Census Population Estimates'!$A$20:$AG$266,D$93,FALSE)</f>
        <v>293</v>
      </c>
      <c r="E410" s="84">
        <f>VLOOKUP($A410,'US Census Population Estimates'!$A$20:$AG$266,E$93,FALSE)</f>
        <v>287</v>
      </c>
      <c r="F410" s="84">
        <f>VLOOKUP($A410,'US Census Population Estimates'!$A$20:$AG$266,F$93,FALSE)</f>
        <v>275</v>
      </c>
      <c r="G410" s="84">
        <f>VLOOKUP($A410,'US Census Population Estimates'!$A$20:$AG$266,G$93,FALSE)</f>
        <v>270</v>
      </c>
      <c r="H410" s="84">
        <f>VLOOKUP($A410,'US Census Population Estimates'!$A$20:$AG$266,H$93,FALSE)</f>
        <v>264</v>
      </c>
      <c r="I410" s="84">
        <f>VLOOKUP($A410,'US Census Population Estimates'!$A$20:$AG$266,I$93,FALSE)</f>
        <v>261</v>
      </c>
      <c r="J410" s="84">
        <f>VLOOKUP($A410,'US Census Population Estimates'!$A$20:$AG$266,J$93,FALSE)</f>
        <v>257</v>
      </c>
      <c r="K410" s="84">
        <f>VLOOKUP($A410,'US Census Population Estimates'!$A$20:$AG$266,K$93,FALSE)</f>
        <v>256</v>
      </c>
      <c r="L410" s="84">
        <f>VLOOKUP($A410,'US Census Population Estimates'!$A$20:$AG$266,L$93,FALSE)</f>
        <v>258</v>
      </c>
      <c r="M410" s="84">
        <f>VLOOKUP($A410,'US Census Population Estimates'!$A$20:$AG$266,M$93,FALSE)</f>
        <v>254</v>
      </c>
      <c r="N410" s="84">
        <f>VLOOKUP($A410,'US Census Population Estimates'!$A$20:$AG$266,N$93,FALSE)</f>
        <v>254</v>
      </c>
      <c r="O410" s="84">
        <f>VLOOKUP($A410,'US Census Population Estimates'!$A$20:$AG$266,O$93,FALSE)</f>
        <v>255</v>
      </c>
      <c r="P410" s="84">
        <f>VLOOKUP($A410,'US Census Population Estimates'!$A$20:$AG$266,P$93,FALSE)</f>
        <v>256</v>
      </c>
      <c r="Q410" s="84">
        <f>VLOOKUP($A410,'US Census Population Estimates'!$A$20:$AG$266,Q$93,FALSE)</f>
        <v>254</v>
      </c>
      <c r="R410" s="84">
        <f>VLOOKUP($A410,'US Census Population Estimates'!$A$20:$AG$266,R$93,FALSE)</f>
        <v>250</v>
      </c>
      <c r="S410" s="84">
        <f>VLOOKUP($A410,'US Census Population Estimates'!$A$20:$AG$266,S$93,FALSE)</f>
        <v>247</v>
      </c>
      <c r="T410" s="84">
        <f>VLOOKUP($A410,'US Census Population Estimates'!$A$20:$AG$266,T$93,FALSE)</f>
        <v>249</v>
      </c>
      <c r="U410" s="84">
        <f>VLOOKUP($A410,'US Census Population Estimates'!$A$20:$AG$266,U$93,FALSE)</f>
        <v>243</v>
      </c>
      <c r="V410" s="84" t="str">
        <f>VLOOKUP($A410,'US Census Population Estimates'!$A$20:$AG$266,V$93,FALSE)</f>
        <v/>
      </c>
      <c r="W410" s="84" t="str">
        <f>VLOOKUP($A410,'US Census Population Estimates'!$A$20:$AG$266,W$93,FALSE)</f>
        <v/>
      </c>
      <c r="X410" s="84" t="str">
        <f>VLOOKUP($A410,'US Census Population Estimates'!$A$20:$AG$266,X$93,FALSE)</f>
        <v/>
      </c>
      <c r="Y410" s="84" t="str">
        <f>VLOOKUP($A410,'US Census Population Estimates'!$A$20:$AG$266,Y$93,FALSE)</f>
        <v/>
      </c>
      <c r="Z410" s="84" t="str">
        <f>VLOOKUP($A410,'US Census Population Estimates'!$A$20:$AG$266,Z$93,FALSE)</f>
        <v/>
      </c>
      <c r="AA410" s="84" t="str">
        <f>VLOOKUP($A410,'US Census Population Estimates'!$A$20:$AG$266,AA$93,FALSE)</f>
        <v/>
      </c>
      <c r="AB410" s="84" t="str">
        <f>VLOOKUP($A410,'US Census Population Estimates'!$A$20:$AG$266,AB$93,FALSE)</f>
        <v/>
      </c>
      <c r="AC410" s="84" t="str">
        <f>VLOOKUP($A410,'US Census Population Estimates'!$A$20:$AG$266,AC$93,FALSE)</f>
        <v/>
      </c>
      <c r="AD410" s="84" t="str">
        <f>VLOOKUP($A410,'US Census Population Estimates'!$A$20:$AG$266,AD$93,FALSE)</f>
        <v/>
      </c>
      <c r="AE410" s="84" t="str">
        <f>VLOOKUP($A410,'US Census Population Estimates'!$A$20:$AG$266,AE$93,FALSE)</f>
        <v/>
      </c>
      <c r="AF410" s="84" t="str">
        <f>VLOOKUP($A410,'US Census Population Estimates'!$A$20:$AG$266,AF$93,FALSE)</f>
        <v/>
      </c>
      <c r="AG410" s="88" t="str">
        <f>VLOOKUP($A410,'US Census Population Estimates'!$A$20:$AG$266,AG$93,FALSE)</f>
        <v/>
      </c>
      <c r="AH410" s="24"/>
    </row>
    <row r="411" ht="12.75" customHeight="1">
      <c r="A411" s="46" t="s">
        <v>263</v>
      </c>
      <c r="B411" s="51" t="s">
        <v>52</v>
      </c>
      <c r="C411" s="84">
        <f>VLOOKUP($A411,'US Census Population Estimates'!$A$20:$AG$266,C$93,FALSE)</f>
        <v>66</v>
      </c>
      <c r="D411" s="84">
        <f>VLOOKUP($A411,'US Census Population Estimates'!$A$20:$AG$266,D$93,FALSE)</f>
        <v>68</v>
      </c>
      <c r="E411" s="84">
        <f>VLOOKUP($A411,'US Census Population Estimates'!$A$20:$AG$266,E$93,FALSE)</f>
        <v>70</v>
      </c>
      <c r="F411" s="84">
        <f>VLOOKUP($A411,'US Census Population Estimates'!$A$20:$AG$266,F$93,FALSE)</f>
        <v>71</v>
      </c>
      <c r="G411" s="84">
        <f>VLOOKUP($A411,'US Census Population Estimates'!$A$20:$AG$266,G$93,FALSE)</f>
        <v>74</v>
      </c>
      <c r="H411" s="84">
        <f>VLOOKUP($A411,'US Census Population Estimates'!$A$20:$AG$266,H$93,FALSE)</f>
        <v>76</v>
      </c>
      <c r="I411" s="84">
        <f>VLOOKUP($A411,'US Census Population Estimates'!$A$20:$AG$266,I$93,FALSE)</f>
        <v>79</v>
      </c>
      <c r="J411" s="84">
        <f>VLOOKUP($A411,'US Census Population Estimates'!$A$20:$AG$266,J$93,FALSE)</f>
        <v>82</v>
      </c>
      <c r="K411" s="84">
        <f>VLOOKUP($A411,'US Census Population Estimates'!$A$20:$AG$266,K$93,FALSE)</f>
        <v>85</v>
      </c>
      <c r="L411" s="84">
        <f>VLOOKUP($A411,'US Census Population Estimates'!$A$20:$AG$266,L$93,FALSE)</f>
        <v>90</v>
      </c>
      <c r="M411" s="84">
        <f>VLOOKUP($A411,'US Census Population Estimates'!$A$20:$AG$266,M$93,FALSE)</f>
        <v>92</v>
      </c>
      <c r="N411" s="84">
        <f>VLOOKUP($A411,'US Census Population Estimates'!$A$20:$AG$266,N$93,FALSE)</f>
        <v>92</v>
      </c>
      <c r="O411" s="84">
        <f>VLOOKUP($A411,'US Census Population Estimates'!$A$20:$AG$266,O$93,FALSE)</f>
        <v>92</v>
      </c>
      <c r="P411" s="84">
        <f>VLOOKUP($A411,'US Census Population Estimates'!$A$20:$AG$266,P$93,FALSE)</f>
        <v>92</v>
      </c>
      <c r="Q411" s="84">
        <f>VLOOKUP($A411,'US Census Population Estimates'!$A$20:$AG$266,Q$93,FALSE)</f>
        <v>91</v>
      </c>
      <c r="R411" s="84">
        <f>VLOOKUP($A411,'US Census Population Estimates'!$A$20:$AG$266,R$93,FALSE)</f>
        <v>90</v>
      </c>
      <c r="S411" s="84">
        <f>VLOOKUP($A411,'US Census Population Estimates'!$A$20:$AG$266,S$93,FALSE)</f>
        <v>89</v>
      </c>
      <c r="T411" s="84">
        <f>VLOOKUP($A411,'US Census Population Estimates'!$A$20:$AG$266,T$93,FALSE)</f>
        <v>90</v>
      </c>
      <c r="U411" s="84">
        <f>VLOOKUP($A411,'US Census Population Estimates'!$A$20:$AG$266,U$93,FALSE)</f>
        <v>87</v>
      </c>
      <c r="V411" s="84" t="str">
        <f>VLOOKUP($A411,'US Census Population Estimates'!$A$20:$AG$266,V$93,FALSE)</f>
        <v/>
      </c>
      <c r="W411" s="84" t="str">
        <f>VLOOKUP($A411,'US Census Population Estimates'!$A$20:$AG$266,W$93,FALSE)</f>
        <v/>
      </c>
      <c r="X411" s="84" t="str">
        <f>VLOOKUP($A411,'US Census Population Estimates'!$A$20:$AG$266,X$93,FALSE)</f>
        <v/>
      </c>
      <c r="Y411" s="84" t="str">
        <f>VLOOKUP($A411,'US Census Population Estimates'!$A$20:$AG$266,Y$93,FALSE)</f>
        <v/>
      </c>
      <c r="Z411" s="84" t="str">
        <f>VLOOKUP($A411,'US Census Population Estimates'!$A$20:$AG$266,Z$93,FALSE)</f>
        <v/>
      </c>
      <c r="AA411" s="84" t="str">
        <f>VLOOKUP($A411,'US Census Population Estimates'!$A$20:$AG$266,AA$93,FALSE)</f>
        <v/>
      </c>
      <c r="AB411" s="84" t="str">
        <f>VLOOKUP($A411,'US Census Population Estimates'!$A$20:$AG$266,AB$93,FALSE)</f>
        <v/>
      </c>
      <c r="AC411" s="84" t="str">
        <f>VLOOKUP($A411,'US Census Population Estimates'!$A$20:$AG$266,AC$93,FALSE)</f>
        <v/>
      </c>
      <c r="AD411" s="84" t="str">
        <f>VLOOKUP($A411,'US Census Population Estimates'!$A$20:$AG$266,AD$93,FALSE)</f>
        <v/>
      </c>
      <c r="AE411" s="84" t="str">
        <f>VLOOKUP($A411,'US Census Population Estimates'!$A$20:$AG$266,AE$93,FALSE)</f>
        <v/>
      </c>
      <c r="AF411" s="84" t="str">
        <f>VLOOKUP($A411,'US Census Population Estimates'!$A$20:$AG$266,AF$93,FALSE)</f>
        <v/>
      </c>
      <c r="AG411" s="88" t="str">
        <f>VLOOKUP($A411,'US Census Population Estimates'!$A$20:$AG$266,AG$93,FALSE)</f>
        <v/>
      </c>
      <c r="AH411" s="24"/>
    </row>
    <row r="412" ht="12.75" customHeight="1">
      <c r="A412" s="46" t="s">
        <v>414</v>
      </c>
      <c r="B412" s="51" t="s">
        <v>52</v>
      </c>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c r="AG412" s="88"/>
      <c r="AH412" s="24"/>
    </row>
    <row r="413" ht="12.75" customHeight="1">
      <c r="A413" s="52" t="s">
        <v>251</v>
      </c>
      <c r="B413" s="58" t="s">
        <v>52</v>
      </c>
      <c r="C413" s="98">
        <f>VLOOKUP($A413,'US Census Population Estimates'!$A$20:$AG$266,C$93,FALSE)</f>
        <v>8957</v>
      </c>
      <c r="D413" s="98">
        <f>VLOOKUP($A413,'US Census Population Estimates'!$A$20:$AG$266,D$93,FALSE)</f>
        <v>8892</v>
      </c>
      <c r="E413" s="98">
        <f>VLOOKUP($A413,'US Census Population Estimates'!$A$20:$AG$266,E$93,FALSE)</f>
        <v>8893</v>
      </c>
      <c r="F413" s="98">
        <f>VLOOKUP($A413,'US Census Population Estimates'!$A$20:$AG$266,F$93,FALSE)</f>
        <v>8946</v>
      </c>
      <c r="G413" s="98">
        <f>VLOOKUP($A413,'US Census Population Estimates'!$A$20:$AG$266,G$93,FALSE)</f>
        <v>8949</v>
      </c>
      <c r="H413" s="98">
        <f>VLOOKUP($A413,'US Census Population Estimates'!$A$20:$AG$266,H$93,FALSE)</f>
        <v>9024</v>
      </c>
      <c r="I413" s="98">
        <f>VLOOKUP($A413,'US Census Population Estimates'!$A$20:$AG$266,I$93,FALSE)</f>
        <v>9140</v>
      </c>
      <c r="J413" s="98">
        <f>VLOOKUP($A413,'US Census Population Estimates'!$A$20:$AG$266,J$93,FALSE)</f>
        <v>9257</v>
      </c>
      <c r="K413" s="98">
        <f>VLOOKUP($A413,'US Census Population Estimates'!$A$20:$AG$266,K$93,FALSE)</f>
        <v>9366</v>
      </c>
      <c r="L413" s="98">
        <f>VLOOKUP($A413,'US Census Population Estimates'!$A$20:$AG$266,L$93,FALSE)</f>
        <v>9469</v>
      </c>
      <c r="M413" s="98">
        <f>VLOOKUP($A413,'US Census Population Estimates'!$A$20:$AG$266,M$93,FALSE)</f>
        <v>9541</v>
      </c>
      <c r="N413" s="98">
        <f>VLOOKUP($A413,'US Census Population Estimates'!$A$20:$AG$266,N$93,FALSE)</f>
        <v>9632</v>
      </c>
      <c r="O413" s="98">
        <f>VLOOKUP($A413,'US Census Population Estimates'!$A$20:$AG$266,O$93,FALSE)</f>
        <v>9745</v>
      </c>
      <c r="P413" s="98">
        <f>VLOOKUP($A413,'US Census Population Estimates'!$A$20:$AG$266,P$93,FALSE)</f>
        <v>9827</v>
      </c>
      <c r="Q413" s="98">
        <f>VLOOKUP($A413,'US Census Population Estimates'!$A$20:$AG$266,Q$93,FALSE)</f>
        <v>9775</v>
      </c>
      <c r="R413" s="98">
        <f>VLOOKUP($A413,'US Census Population Estimates'!$A$20:$AG$266,R$93,FALSE)</f>
        <v>9769</v>
      </c>
      <c r="S413" s="98">
        <f>VLOOKUP($A413,'US Census Population Estimates'!$A$20:$AG$266,S$93,FALSE)</f>
        <v>9836</v>
      </c>
      <c r="T413" s="98">
        <f>VLOOKUP($A413,'US Census Population Estimates'!$A$20:$AG$266,T$93,FALSE)</f>
        <v>9885</v>
      </c>
      <c r="U413" s="98">
        <f>VLOOKUP($A413,'US Census Population Estimates'!$A$20:$AG$266,U$93,FALSE)</f>
        <v>9828</v>
      </c>
      <c r="V413" s="98" t="str">
        <f>VLOOKUP($A413,'US Census Population Estimates'!$A$20:$AG$266,V$93,FALSE)</f>
        <v/>
      </c>
      <c r="W413" s="98" t="str">
        <f>VLOOKUP($A413,'US Census Population Estimates'!$A$20:$AG$266,W$93,FALSE)</f>
        <v/>
      </c>
      <c r="X413" s="98" t="str">
        <f>VLOOKUP($A413,'US Census Population Estimates'!$A$20:$AG$266,X$93,FALSE)</f>
        <v/>
      </c>
      <c r="Y413" s="98" t="str">
        <f>VLOOKUP($A413,'US Census Population Estimates'!$A$20:$AG$266,Y$93,FALSE)</f>
        <v/>
      </c>
      <c r="Z413" s="98" t="str">
        <f>VLOOKUP($A413,'US Census Population Estimates'!$A$20:$AG$266,Z$93,FALSE)</f>
        <v/>
      </c>
      <c r="AA413" s="98" t="str">
        <f>VLOOKUP($A413,'US Census Population Estimates'!$A$20:$AG$266,AA$93,FALSE)</f>
        <v/>
      </c>
      <c r="AB413" s="98" t="str">
        <f>VLOOKUP($A413,'US Census Population Estimates'!$A$20:$AG$266,AB$93,FALSE)</f>
        <v/>
      </c>
      <c r="AC413" s="98" t="str">
        <f>VLOOKUP($A413,'US Census Population Estimates'!$A$20:$AG$266,AC$93,FALSE)</f>
        <v/>
      </c>
      <c r="AD413" s="98" t="str">
        <f>VLOOKUP($A413,'US Census Population Estimates'!$A$20:$AG$266,AD$93,FALSE)</f>
        <v/>
      </c>
      <c r="AE413" s="98" t="str">
        <f>VLOOKUP($A413,'US Census Population Estimates'!$A$20:$AG$266,AE$93,FALSE)</f>
        <v/>
      </c>
      <c r="AF413" s="98" t="str">
        <f>VLOOKUP($A413,'US Census Population Estimates'!$A$20:$AG$266,AF$93,FALSE)</f>
        <v/>
      </c>
      <c r="AG413" s="113" t="str">
        <f>VLOOKUP($A413,'US Census Population Estimates'!$A$20:$AG$266,AG$93,FALSE)</f>
        <v/>
      </c>
      <c r="AH413" s="24"/>
    </row>
    <row r="414" ht="12.75" customHeight="1">
      <c r="A414" s="59" t="s">
        <v>61</v>
      </c>
      <c r="B414" s="60"/>
      <c r="C414" s="277"/>
      <c r="D414" s="277"/>
      <c r="E414" s="115">
        <f t="shared" ref="E414:K414" si="75">E415+E416</f>
        <v>13665.75521</v>
      </c>
      <c r="F414" s="115">
        <f t="shared" si="75"/>
        <v>13633.05989</v>
      </c>
      <c r="G414" s="115">
        <f t="shared" si="75"/>
        <v>13686.4964</v>
      </c>
      <c r="H414" s="115">
        <f t="shared" si="75"/>
        <v>13756.56141</v>
      </c>
      <c r="I414" s="115">
        <f t="shared" si="75"/>
        <v>13811.81205</v>
      </c>
      <c r="J414" s="115">
        <f t="shared" si="75"/>
        <v>14040.6648</v>
      </c>
      <c r="K414" s="115">
        <f t="shared" si="75"/>
        <v>14186.42795</v>
      </c>
      <c r="L414" s="115">
        <f t="shared" ref="L414:L416" si="78">L385</f>
        <v>13428</v>
      </c>
      <c r="M414" s="115">
        <f t="shared" ref="M414:T414" si="76">M415+M416</f>
        <v>13652.78515</v>
      </c>
      <c r="N414" s="115">
        <f t="shared" si="76"/>
        <v>13707.14659</v>
      </c>
      <c r="O414" s="115">
        <f t="shared" si="76"/>
        <v>13816.57947</v>
      </c>
      <c r="P414" s="115">
        <f t="shared" si="76"/>
        <v>13879.62975</v>
      </c>
      <c r="Q414" s="115">
        <f t="shared" si="76"/>
        <v>13774.8252</v>
      </c>
      <c r="R414" s="115">
        <f t="shared" si="76"/>
        <v>13748.51686</v>
      </c>
      <c r="S414" s="115">
        <f t="shared" si="76"/>
        <v>13749.38767</v>
      </c>
      <c r="T414" s="115">
        <f t="shared" si="76"/>
        <v>13674.64208</v>
      </c>
      <c r="U414" s="243"/>
      <c r="V414" s="243"/>
      <c r="W414" s="243"/>
      <c r="X414" s="243"/>
      <c r="Y414" s="243"/>
      <c r="Z414" s="243"/>
      <c r="AA414" s="243"/>
      <c r="AB414" s="243"/>
      <c r="AC414" s="243"/>
      <c r="AD414" s="243"/>
      <c r="AE414" s="243"/>
      <c r="AF414" s="243"/>
      <c r="AG414" s="244"/>
      <c r="AH414" s="24"/>
    </row>
    <row r="415" ht="12.75" customHeight="1">
      <c r="A415" s="46" t="s">
        <v>48</v>
      </c>
      <c r="B415" s="47"/>
      <c r="C415" s="71"/>
      <c r="D415" s="71"/>
      <c r="E415" s="84">
        <f t="shared" ref="E415:E416" si="80">E386</f>
        <v>9292.713541</v>
      </c>
      <c r="F415" s="84">
        <f t="shared" ref="F415:K415" si="77">$E$415*SUM(F389:F400)/SUM($E$389:$E$400)</f>
        <v>9252.589562</v>
      </c>
      <c r="G415" s="84">
        <f t="shared" si="77"/>
        <v>9286.293704</v>
      </c>
      <c r="H415" s="84">
        <f t="shared" si="77"/>
        <v>9317.590408</v>
      </c>
      <c r="I415" s="84">
        <f t="shared" si="77"/>
        <v>9317.590408</v>
      </c>
      <c r="J415" s="84">
        <f t="shared" si="77"/>
        <v>9478.888804</v>
      </c>
      <c r="K415" s="84">
        <f t="shared" si="77"/>
        <v>9555.124364</v>
      </c>
      <c r="L415" s="84">
        <f t="shared" si="78"/>
        <v>5700</v>
      </c>
      <c r="M415" s="84">
        <f t="shared" ref="M415:AG415" si="79">$L$415*SUM(M389:M400)/SUM($L$389:$L$400)</f>
        <v>5777.663088</v>
      </c>
      <c r="N415" s="84">
        <f t="shared" si="79"/>
        <v>5784.252684</v>
      </c>
      <c r="O415" s="84">
        <f t="shared" si="79"/>
        <v>5802.138728</v>
      </c>
      <c r="P415" s="84">
        <f t="shared" si="79"/>
        <v>5832.262593</v>
      </c>
      <c r="Q415" s="84">
        <f t="shared" si="79"/>
        <v>5773.897605</v>
      </c>
      <c r="R415" s="84">
        <f t="shared" si="79"/>
        <v>5786.606111</v>
      </c>
      <c r="S415" s="84">
        <f t="shared" si="79"/>
        <v>5750.363336</v>
      </c>
      <c r="T415" s="84">
        <f t="shared" si="79"/>
        <v>5701.882742</v>
      </c>
      <c r="U415" s="84">
        <f t="shared" si="79"/>
        <v>5640.693642</v>
      </c>
      <c r="V415" s="84">
        <f t="shared" si="79"/>
        <v>0</v>
      </c>
      <c r="W415" s="84">
        <f t="shared" si="79"/>
        <v>0</v>
      </c>
      <c r="X415" s="84">
        <f t="shared" si="79"/>
        <v>0</v>
      </c>
      <c r="Y415" s="84">
        <f t="shared" si="79"/>
        <v>0</v>
      </c>
      <c r="Z415" s="84">
        <f t="shared" si="79"/>
        <v>0</v>
      </c>
      <c r="AA415" s="84">
        <f t="shared" si="79"/>
        <v>0</v>
      </c>
      <c r="AB415" s="84">
        <f t="shared" si="79"/>
        <v>0</v>
      </c>
      <c r="AC415" s="84">
        <f t="shared" si="79"/>
        <v>0</v>
      </c>
      <c r="AD415" s="84">
        <f t="shared" si="79"/>
        <v>0</v>
      </c>
      <c r="AE415" s="84">
        <f t="shared" si="79"/>
        <v>0</v>
      </c>
      <c r="AF415" s="84">
        <f t="shared" si="79"/>
        <v>0</v>
      </c>
      <c r="AG415" s="88">
        <f t="shared" si="79"/>
        <v>0</v>
      </c>
      <c r="AH415" s="24"/>
    </row>
    <row r="416" ht="12.75" customHeight="1">
      <c r="A416" s="74" t="s">
        <v>49</v>
      </c>
      <c r="B416" s="75"/>
      <c r="C416" s="79"/>
      <c r="D416" s="79"/>
      <c r="E416" s="126">
        <f t="shared" si="80"/>
        <v>4373.041666</v>
      </c>
      <c r="F416" s="126">
        <f t="shared" ref="F416:K416" si="81">$E$416*SUM(F401:F413)/SUM($E$401:$E$413)</f>
        <v>4380.470324</v>
      </c>
      <c r="G416" s="126">
        <f t="shared" si="81"/>
        <v>4400.202695</v>
      </c>
      <c r="H416" s="126">
        <f t="shared" si="81"/>
        <v>4438.971</v>
      </c>
      <c r="I416" s="126">
        <f t="shared" si="81"/>
        <v>4494.22164</v>
      </c>
      <c r="J416" s="126">
        <f t="shared" si="81"/>
        <v>4561.775993</v>
      </c>
      <c r="K416" s="126">
        <f t="shared" si="81"/>
        <v>4631.303583</v>
      </c>
      <c r="L416" s="126">
        <f t="shared" si="78"/>
        <v>7728</v>
      </c>
      <c r="M416" s="126">
        <f t="shared" ref="M416:AG416" si="82">$L$416*SUM(M401:M413)/SUM($L$401:$L$413)</f>
        <v>7875.122057</v>
      </c>
      <c r="N416" s="126">
        <f t="shared" si="82"/>
        <v>7922.893902</v>
      </c>
      <c r="O416" s="126">
        <f t="shared" si="82"/>
        <v>8014.440745</v>
      </c>
      <c r="P416" s="126">
        <f t="shared" si="82"/>
        <v>8047.367156</v>
      </c>
      <c r="Q416" s="126">
        <f t="shared" si="82"/>
        <v>8000.927593</v>
      </c>
      <c r="R416" s="126">
        <f t="shared" si="82"/>
        <v>7961.910748</v>
      </c>
      <c r="S416" s="126">
        <f t="shared" si="82"/>
        <v>7999.024333</v>
      </c>
      <c r="T416" s="126">
        <f t="shared" si="82"/>
        <v>7972.759334</v>
      </c>
      <c r="U416" s="126">
        <f t="shared" si="82"/>
        <v>7896.248251</v>
      </c>
      <c r="V416" s="126">
        <f t="shared" si="82"/>
        <v>0</v>
      </c>
      <c r="W416" s="126">
        <f t="shared" si="82"/>
        <v>0</v>
      </c>
      <c r="X416" s="126">
        <f t="shared" si="82"/>
        <v>0</v>
      </c>
      <c r="Y416" s="126">
        <f t="shared" si="82"/>
        <v>0</v>
      </c>
      <c r="Z416" s="126">
        <f t="shared" si="82"/>
        <v>0</v>
      </c>
      <c r="AA416" s="126">
        <f t="shared" si="82"/>
        <v>0</v>
      </c>
      <c r="AB416" s="126">
        <f t="shared" si="82"/>
        <v>0</v>
      </c>
      <c r="AC416" s="126">
        <f t="shared" si="82"/>
        <v>0</v>
      </c>
      <c r="AD416" s="126">
        <f t="shared" si="82"/>
        <v>0</v>
      </c>
      <c r="AE416" s="126">
        <f t="shared" si="82"/>
        <v>0</v>
      </c>
      <c r="AF416" s="126">
        <f t="shared" si="82"/>
        <v>0</v>
      </c>
      <c r="AG416" s="129">
        <f t="shared" si="82"/>
        <v>0</v>
      </c>
      <c r="AH416" s="24"/>
    </row>
    <row r="417" ht="12.75" customHeight="1">
      <c r="A417" s="130" t="s">
        <v>63</v>
      </c>
      <c r="B417" s="131"/>
      <c r="C417" s="132"/>
      <c r="D417" s="132"/>
      <c r="E417" s="132"/>
      <c r="F417" s="132"/>
      <c r="G417" s="132"/>
      <c r="H417" s="132"/>
      <c r="I417" s="132"/>
      <c r="J417" s="132"/>
      <c r="K417" s="132"/>
      <c r="L417" s="132"/>
      <c r="M417" s="132"/>
      <c r="N417" s="132"/>
      <c r="O417" s="134"/>
      <c r="P417" s="134"/>
      <c r="Q417" s="134"/>
      <c r="R417" s="134"/>
      <c r="S417" s="134"/>
      <c r="T417" s="134"/>
      <c r="U417" s="134"/>
      <c r="V417" s="134"/>
      <c r="W417" s="134"/>
      <c r="X417" s="134"/>
      <c r="Y417" s="134"/>
      <c r="Z417" s="134"/>
      <c r="AA417" s="134"/>
      <c r="AB417" s="134"/>
      <c r="AC417" s="134"/>
      <c r="AD417" s="134"/>
      <c r="AE417" s="134"/>
      <c r="AF417" s="134"/>
      <c r="AG417" s="135"/>
      <c r="AH417" s="24"/>
    </row>
    <row r="418" ht="12.75" customHeight="1">
      <c r="A418" s="46" t="s">
        <v>353</v>
      </c>
      <c r="B418" s="51" t="s">
        <v>51</v>
      </c>
      <c r="C418" s="71" t="s">
        <v>7</v>
      </c>
      <c r="D418" s="71" t="s">
        <v>7</v>
      </c>
      <c r="E418" s="48">
        <v>34287.0</v>
      </c>
      <c r="F418" s="71" t="s">
        <v>7</v>
      </c>
      <c r="G418" s="71" t="s">
        <v>7</v>
      </c>
      <c r="H418" s="71" t="s">
        <v>7</v>
      </c>
      <c r="I418" s="71" t="s">
        <v>7</v>
      </c>
      <c r="J418" s="71" t="s">
        <v>7</v>
      </c>
      <c r="K418" s="71" t="s">
        <v>7</v>
      </c>
      <c r="L418" s="50">
        <v>18400.0</v>
      </c>
      <c r="M418" s="71" t="s">
        <v>7</v>
      </c>
      <c r="N418" s="71" t="s">
        <v>7</v>
      </c>
      <c r="O418" s="71" t="s">
        <v>7</v>
      </c>
      <c r="P418" s="71" t="s">
        <v>7</v>
      </c>
      <c r="Q418" s="71" t="s">
        <v>7</v>
      </c>
      <c r="R418" s="71" t="s">
        <v>7</v>
      </c>
      <c r="S418" s="71" t="s">
        <v>7</v>
      </c>
      <c r="T418" s="71" t="s">
        <v>7</v>
      </c>
      <c r="U418" s="24"/>
      <c r="V418" s="24"/>
      <c r="W418" s="24"/>
      <c r="X418" s="24"/>
      <c r="Y418" s="24"/>
      <c r="Z418" s="24"/>
      <c r="AA418" s="24"/>
      <c r="AB418" s="24"/>
      <c r="AC418" s="24"/>
      <c r="AD418" s="24"/>
      <c r="AE418" s="24"/>
      <c r="AF418" s="24"/>
      <c r="AG418" s="272"/>
      <c r="AH418" s="24"/>
    </row>
    <row r="419" ht="14.25" customHeight="1">
      <c r="A419" s="46" t="s">
        <v>498</v>
      </c>
      <c r="B419" s="47"/>
      <c r="C419" s="71" t="s">
        <v>7</v>
      </c>
      <c r="D419" s="71" t="s">
        <v>7</v>
      </c>
      <c r="E419" s="48">
        <v>75.0</v>
      </c>
      <c r="F419" s="71" t="s">
        <v>7</v>
      </c>
      <c r="G419" s="71" t="s">
        <v>7</v>
      </c>
      <c r="H419" s="71" t="s">
        <v>7</v>
      </c>
      <c r="I419" s="71" t="s">
        <v>7</v>
      </c>
      <c r="J419" s="71" t="s">
        <v>7</v>
      </c>
      <c r="K419" s="71" t="s">
        <v>7</v>
      </c>
      <c r="L419" s="50">
        <v>75.0</v>
      </c>
      <c r="M419" s="71" t="s">
        <v>7</v>
      </c>
      <c r="N419" s="71" t="s">
        <v>7</v>
      </c>
      <c r="O419" s="71" t="s">
        <v>7</v>
      </c>
      <c r="P419" s="71" t="s">
        <v>7</v>
      </c>
      <c r="Q419" s="71" t="s">
        <v>7</v>
      </c>
      <c r="R419" s="71" t="s">
        <v>7</v>
      </c>
      <c r="S419" s="71" t="s">
        <v>7</v>
      </c>
      <c r="T419" s="71" t="s">
        <v>7</v>
      </c>
      <c r="U419" s="24"/>
      <c r="V419" s="24"/>
      <c r="W419" s="24"/>
      <c r="X419" s="24"/>
      <c r="Y419" s="24"/>
      <c r="Z419" s="24"/>
      <c r="AA419" s="24"/>
      <c r="AB419" s="24"/>
      <c r="AC419" s="24"/>
      <c r="AD419" s="24"/>
      <c r="AE419" s="24"/>
      <c r="AF419" s="24"/>
      <c r="AG419" s="272"/>
      <c r="AH419" s="24"/>
    </row>
    <row r="420" ht="12.75" customHeight="1">
      <c r="A420" s="46" t="s">
        <v>499</v>
      </c>
      <c r="B420" s="51" t="s">
        <v>51</v>
      </c>
      <c r="C420" s="71" t="s">
        <v>7</v>
      </c>
      <c r="D420" s="71" t="s">
        <v>7</v>
      </c>
      <c r="E420" s="50">
        <v>26002.0</v>
      </c>
      <c r="F420" s="71" t="s">
        <v>7</v>
      </c>
      <c r="G420" s="71" t="s">
        <v>7</v>
      </c>
      <c r="H420" s="71" t="s">
        <v>7</v>
      </c>
      <c r="I420" s="71" t="s">
        <v>7</v>
      </c>
      <c r="J420" s="71" t="s">
        <v>7</v>
      </c>
      <c r="K420" s="71" t="s">
        <v>7</v>
      </c>
      <c r="L420" s="50">
        <v>25120.0</v>
      </c>
      <c r="M420" s="71" t="s">
        <v>7</v>
      </c>
      <c r="N420" s="71" t="s">
        <v>7</v>
      </c>
      <c r="O420" s="71" t="s">
        <v>7</v>
      </c>
      <c r="P420" s="71" t="s">
        <v>7</v>
      </c>
      <c r="Q420" s="71" t="s">
        <v>7</v>
      </c>
      <c r="R420" s="71" t="s">
        <v>7</v>
      </c>
      <c r="S420" s="71" t="s">
        <v>7</v>
      </c>
      <c r="T420" s="71" t="s">
        <v>7</v>
      </c>
      <c r="U420" s="24"/>
      <c r="V420" s="24"/>
      <c r="W420" s="24"/>
      <c r="X420" s="24"/>
      <c r="Y420" s="24"/>
      <c r="Z420" s="24"/>
      <c r="AA420" s="24"/>
      <c r="AB420" s="24"/>
      <c r="AC420" s="24"/>
      <c r="AD420" s="24"/>
      <c r="AE420" s="24"/>
      <c r="AF420" s="24"/>
      <c r="AG420" s="272"/>
      <c r="AH420" s="24"/>
    </row>
    <row r="421" ht="12.75" customHeight="1">
      <c r="A421" s="52" t="s">
        <v>500</v>
      </c>
      <c r="B421" s="53"/>
      <c r="C421" s="256" t="s">
        <v>7</v>
      </c>
      <c r="D421" s="55" t="s">
        <v>7</v>
      </c>
      <c r="E421" s="302" t="s">
        <v>122</v>
      </c>
      <c r="F421" s="55" t="s">
        <v>7</v>
      </c>
      <c r="G421" s="55" t="s">
        <v>7</v>
      </c>
      <c r="H421" s="55" t="s">
        <v>7</v>
      </c>
      <c r="I421" s="55" t="s">
        <v>7</v>
      </c>
      <c r="J421" s="55" t="s">
        <v>7</v>
      </c>
      <c r="K421" s="55" t="s">
        <v>7</v>
      </c>
      <c r="L421" s="302" t="s">
        <v>122</v>
      </c>
      <c r="M421" s="55" t="s">
        <v>7</v>
      </c>
      <c r="N421" s="55" t="s">
        <v>7</v>
      </c>
      <c r="O421" s="55" t="s">
        <v>7</v>
      </c>
      <c r="P421" s="55" t="s">
        <v>7</v>
      </c>
      <c r="Q421" s="55" t="s">
        <v>7</v>
      </c>
      <c r="R421" s="55" t="s">
        <v>7</v>
      </c>
      <c r="S421" s="55" t="s">
        <v>7</v>
      </c>
      <c r="T421" s="55" t="s">
        <v>7</v>
      </c>
      <c r="U421" s="55"/>
      <c r="V421" s="55"/>
      <c r="W421" s="55"/>
      <c r="X421" s="55"/>
      <c r="Y421" s="55"/>
      <c r="Z421" s="55"/>
      <c r="AA421" s="55"/>
      <c r="AB421" s="55"/>
      <c r="AC421" s="55"/>
      <c r="AD421" s="55"/>
      <c r="AE421" s="55"/>
      <c r="AF421" s="55"/>
      <c r="AG421" s="58"/>
      <c r="AH421" s="24"/>
    </row>
    <row r="422" ht="12.75" customHeight="1">
      <c r="A422" s="130" t="s">
        <v>66</v>
      </c>
      <c r="B422" s="131"/>
      <c r="C422" s="132"/>
      <c r="D422" s="132"/>
      <c r="E422" s="250"/>
      <c r="F422" s="132"/>
      <c r="G422" s="132"/>
      <c r="H422" s="138"/>
      <c r="I422" s="138"/>
      <c r="J422" s="138"/>
      <c r="K422" s="138"/>
      <c r="L422" s="250"/>
      <c r="M422" s="132"/>
      <c r="N422" s="132"/>
      <c r="O422" s="132"/>
      <c r="P422" s="132"/>
      <c r="Q422" s="132"/>
      <c r="R422" s="132"/>
      <c r="S422" s="132"/>
      <c r="T422" s="132"/>
      <c r="U422" s="140"/>
      <c r="V422" s="140"/>
      <c r="W422" s="140"/>
      <c r="X422" s="140"/>
      <c r="Y422" s="140"/>
      <c r="Z422" s="140"/>
      <c r="AA422" s="140"/>
      <c r="AB422" s="140"/>
      <c r="AC422" s="140"/>
      <c r="AD422" s="140"/>
      <c r="AE422" s="140"/>
      <c r="AF422" s="140"/>
      <c r="AG422" s="142"/>
      <c r="AH422" s="24"/>
    </row>
    <row r="423" ht="12.75" customHeight="1">
      <c r="A423" s="46" t="s">
        <v>354</v>
      </c>
      <c r="B423" s="47"/>
      <c r="C423" s="480" t="s">
        <v>7</v>
      </c>
      <c r="D423" s="71" t="s">
        <v>7</v>
      </c>
      <c r="E423" s="50">
        <f>E418+E420</f>
        <v>60289</v>
      </c>
      <c r="F423" s="84">
        <f t="shared" ref="F423:K423" si="83">$E$423*F388/$E$388</f>
        <v>60306.13625</v>
      </c>
      <c r="G423" s="84">
        <f t="shared" si="83"/>
        <v>60565.62804</v>
      </c>
      <c r="H423" s="84">
        <f t="shared" si="83"/>
        <v>61022.1867</v>
      </c>
      <c r="I423" s="84">
        <f t="shared" si="83"/>
        <v>61604.81921</v>
      </c>
      <c r="J423" s="84">
        <f t="shared" si="83"/>
        <v>62563.2252</v>
      </c>
      <c r="K423" s="84">
        <f t="shared" si="83"/>
        <v>63412.69359</v>
      </c>
      <c r="L423" s="48">
        <f>L418+L420</f>
        <v>43520</v>
      </c>
      <c r="M423" s="84">
        <f t="shared" ref="M423:AG423" si="84">$E$423*M388/$E$388</f>
        <v>65671.00656</v>
      </c>
      <c r="N423" s="84">
        <f t="shared" si="84"/>
        <v>65995.37129</v>
      </c>
      <c r="O423" s="84">
        <f t="shared" si="84"/>
        <v>66630.63656</v>
      </c>
      <c r="P423" s="84">
        <f t="shared" si="84"/>
        <v>66920.7288</v>
      </c>
      <c r="Q423" s="84">
        <f t="shared" si="84"/>
        <v>66470.29022</v>
      </c>
      <c r="R423" s="84">
        <f t="shared" si="84"/>
        <v>66252.41504</v>
      </c>
      <c r="S423" s="84">
        <f t="shared" si="84"/>
        <v>66396.84915</v>
      </c>
      <c r="T423" s="84">
        <f t="shared" si="84"/>
        <v>66101.86085</v>
      </c>
      <c r="U423" s="84">
        <f t="shared" si="84"/>
        <v>65450.68334</v>
      </c>
      <c r="V423" s="84">
        <f t="shared" si="84"/>
        <v>0</v>
      </c>
      <c r="W423" s="84">
        <f t="shared" si="84"/>
        <v>0</v>
      </c>
      <c r="X423" s="84">
        <f t="shared" si="84"/>
        <v>0</v>
      </c>
      <c r="Y423" s="84">
        <f t="shared" si="84"/>
        <v>0</v>
      </c>
      <c r="Z423" s="84">
        <f t="shared" si="84"/>
        <v>0</v>
      </c>
      <c r="AA423" s="84">
        <f t="shared" si="84"/>
        <v>0</v>
      </c>
      <c r="AB423" s="84">
        <f t="shared" si="84"/>
        <v>0</v>
      </c>
      <c r="AC423" s="84">
        <f t="shared" si="84"/>
        <v>0</v>
      </c>
      <c r="AD423" s="84">
        <f t="shared" si="84"/>
        <v>0</v>
      </c>
      <c r="AE423" s="84">
        <f t="shared" si="84"/>
        <v>0</v>
      </c>
      <c r="AF423" s="84">
        <f t="shared" si="84"/>
        <v>0</v>
      </c>
      <c r="AG423" s="88">
        <f t="shared" si="84"/>
        <v>0</v>
      </c>
      <c r="AH423" s="24"/>
    </row>
    <row r="424" ht="12.75" customHeight="1">
      <c r="A424" s="46" t="s">
        <v>501</v>
      </c>
      <c r="B424" s="51" t="s">
        <v>52</v>
      </c>
      <c r="C424" s="480" t="s">
        <v>7</v>
      </c>
      <c r="D424" s="71" t="s">
        <v>7</v>
      </c>
      <c r="E424" s="50">
        <f>0.26*(E418*E419+E420*300)*365/325851</f>
        <v>3020.75078</v>
      </c>
      <c r="F424" s="84">
        <f t="shared" ref="F424:K424" si="85">$E$424*F388/$E$388</f>
        <v>3021.609384</v>
      </c>
      <c r="G424" s="84">
        <f t="shared" si="85"/>
        <v>3034.611092</v>
      </c>
      <c r="H424" s="84">
        <f t="shared" si="85"/>
        <v>3057.48674</v>
      </c>
      <c r="I424" s="84">
        <f t="shared" si="85"/>
        <v>3086.679256</v>
      </c>
      <c r="J424" s="84">
        <f t="shared" si="85"/>
        <v>3134.699718</v>
      </c>
      <c r="K424" s="84">
        <f t="shared" si="85"/>
        <v>3177.261916</v>
      </c>
      <c r="L424" s="50">
        <f>0.26*(L418*L419+L420*300)*365/325851</f>
        <v>2596.672712</v>
      </c>
      <c r="M424" s="84">
        <f t="shared" ref="M424:AG424" si="86">$L$424*M388/$L$388</f>
        <v>2642.878256</v>
      </c>
      <c r="N424" s="84">
        <f t="shared" si="86"/>
        <v>2655.93206</v>
      </c>
      <c r="O424" s="84">
        <f t="shared" si="86"/>
        <v>2681.497814</v>
      </c>
      <c r="P424" s="84">
        <f t="shared" si="86"/>
        <v>2693.172349</v>
      </c>
      <c r="Q424" s="84">
        <f t="shared" si="86"/>
        <v>2675.044801</v>
      </c>
      <c r="R424" s="84">
        <f t="shared" si="86"/>
        <v>2666.276585</v>
      </c>
      <c r="S424" s="84">
        <f t="shared" si="86"/>
        <v>2672.089223</v>
      </c>
      <c r="T424" s="84">
        <f t="shared" si="86"/>
        <v>2660.217649</v>
      </c>
      <c r="U424" s="84">
        <f t="shared" si="86"/>
        <v>2634.01152</v>
      </c>
      <c r="V424" s="84">
        <f t="shared" si="86"/>
        <v>0</v>
      </c>
      <c r="W424" s="84">
        <f t="shared" si="86"/>
        <v>0</v>
      </c>
      <c r="X424" s="84">
        <f t="shared" si="86"/>
        <v>0</v>
      </c>
      <c r="Y424" s="84">
        <f t="shared" si="86"/>
        <v>0</v>
      </c>
      <c r="Z424" s="84">
        <f t="shared" si="86"/>
        <v>0</v>
      </c>
      <c r="AA424" s="84">
        <f t="shared" si="86"/>
        <v>0</v>
      </c>
      <c r="AB424" s="84">
        <f t="shared" si="86"/>
        <v>0</v>
      </c>
      <c r="AC424" s="84">
        <f t="shared" si="86"/>
        <v>0</v>
      </c>
      <c r="AD424" s="84">
        <f t="shared" si="86"/>
        <v>0</v>
      </c>
      <c r="AE424" s="84">
        <f t="shared" si="86"/>
        <v>0</v>
      </c>
      <c r="AF424" s="84">
        <f t="shared" si="86"/>
        <v>0</v>
      </c>
      <c r="AG424" s="88">
        <f t="shared" si="86"/>
        <v>0</v>
      </c>
      <c r="AH424" s="24"/>
    </row>
    <row r="425" ht="12.75" customHeight="1">
      <c r="A425" s="46" t="s">
        <v>502</v>
      </c>
      <c r="B425" s="51" t="s">
        <v>52</v>
      </c>
      <c r="C425" s="480" t="s">
        <v>7</v>
      </c>
      <c r="D425" s="71" t="s">
        <v>7</v>
      </c>
      <c r="E425" s="50">
        <f>0.26*(E418*E419+E420*150)*365/325851</f>
        <v>1884.837525</v>
      </c>
      <c r="F425" s="84">
        <f t="shared" ref="F425:K425" si="87">$E$425*F388/$E$388</f>
        <v>1885.373262</v>
      </c>
      <c r="G425" s="84">
        <f t="shared" si="87"/>
        <v>1893.485851</v>
      </c>
      <c r="H425" s="84">
        <f t="shared" si="87"/>
        <v>1907.759415</v>
      </c>
      <c r="I425" s="84">
        <f t="shared" si="87"/>
        <v>1925.974473</v>
      </c>
      <c r="J425" s="84">
        <f t="shared" si="87"/>
        <v>1955.937477</v>
      </c>
      <c r="K425" s="84">
        <f t="shared" si="87"/>
        <v>1982.494725</v>
      </c>
      <c r="L425" s="50">
        <f>0.26*(L418*L419+L420*150)*365/325851</f>
        <v>1499.290166</v>
      </c>
      <c r="M425" s="84">
        <f t="shared" ref="M425:AG425" si="88">$L$425*M388/$L$388</f>
        <v>1525.968737</v>
      </c>
      <c r="N425" s="84">
        <f t="shared" si="88"/>
        <v>1533.50586</v>
      </c>
      <c r="O425" s="84">
        <f t="shared" si="88"/>
        <v>1548.267244</v>
      </c>
      <c r="P425" s="84">
        <f t="shared" si="88"/>
        <v>1555.007992</v>
      </c>
      <c r="Q425" s="84">
        <f t="shared" si="88"/>
        <v>1544.541345</v>
      </c>
      <c r="R425" s="84">
        <f t="shared" si="88"/>
        <v>1539.478674</v>
      </c>
      <c r="S425" s="84">
        <f t="shared" si="88"/>
        <v>1542.834827</v>
      </c>
      <c r="T425" s="84">
        <f t="shared" si="88"/>
        <v>1535.980312</v>
      </c>
      <c r="U425" s="84">
        <f t="shared" si="88"/>
        <v>1520.849182</v>
      </c>
      <c r="V425" s="84">
        <f t="shared" si="88"/>
        <v>0</v>
      </c>
      <c r="W425" s="84">
        <f t="shared" si="88"/>
        <v>0</v>
      </c>
      <c r="X425" s="84">
        <f t="shared" si="88"/>
        <v>0</v>
      </c>
      <c r="Y425" s="84">
        <f t="shared" si="88"/>
        <v>0</v>
      </c>
      <c r="Z425" s="84">
        <f t="shared" si="88"/>
        <v>0</v>
      </c>
      <c r="AA425" s="84">
        <f t="shared" si="88"/>
        <v>0</v>
      </c>
      <c r="AB425" s="84">
        <f t="shared" si="88"/>
        <v>0</v>
      </c>
      <c r="AC425" s="84">
        <f t="shared" si="88"/>
        <v>0</v>
      </c>
      <c r="AD425" s="84">
        <f t="shared" si="88"/>
        <v>0</v>
      </c>
      <c r="AE425" s="84">
        <f t="shared" si="88"/>
        <v>0</v>
      </c>
      <c r="AF425" s="84">
        <f t="shared" si="88"/>
        <v>0</v>
      </c>
      <c r="AG425" s="88">
        <f t="shared" si="88"/>
        <v>0</v>
      </c>
      <c r="AH425" s="24"/>
    </row>
    <row r="426" ht="12.75" customHeight="1">
      <c r="A426" s="46" t="s">
        <v>503</v>
      </c>
      <c r="B426" s="51" t="s">
        <v>51</v>
      </c>
      <c r="C426" s="480" t="s">
        <v>7</v>
      </c>
      <c r="D426" s="71" t="s">
        <v>7</v>
      </c>
      <c r="E426" s="50">
        <f>0.74*(E418*E419+E420*300)*365/325851</f>
        <v>8597.521452</v>
      </c>
      <c r="F426" s="84">
        <f t="shared" ref="F426:K426" si="89">$E$426*F388/$E$388</f>
        <v>8599.965169</v>
      </c>
      <c r="G426" s="84">
        <f t="shared" si="89"/>
        <v>8636.970032</v>
      </c>
      <c r="H426" s="84">
        <f t="shared" si="89"/>
        <v>8702.077646</v>
      </c>
      <c r="I426" s="84">
        <f t="shared" si="89"/>
        <v>8785.164037</v>
      </c>
      <c r="J426" s="84">
        <f t="shared" si="89"/>
        <v>8921.83766</v>
      </c>
      <c r="K426" s="84">
        <f t="shared" si="89"/>
        <v>9042.976222</v>
      </c>
      <c r="L426" s="50">
        <f>0.74*(L418*L419+L420*300)*365/325851</f>
        <v>7390.530028</v>
      </c>
      <c r="M426" s="84">
        <f t="shared" ref="M426:AG426" si="90">$L$426*M388/$L$388</f>
        <v>7522.038112</v>
      </c>
      <c r="N426" s="84">
        <f t="shared" si="90"/>
        <v>7559.191249</v>
      </c>
      <c r="O426" s="84">
        <f t="shared" si="90"/>
        <v>7631.955317</v>
      </c>
      <c r="P426" s="84">
        <f t="shared" si="90"/>
        <v>7665.182839</v>
      </c>
      <c r="Q426" s="84">
        <f t="shared" si="90"/>
        <v>7613.589049</v>
      </c>
      <c r="R426" s="84">
        <f t="shared" si="90"/>
        <v>7588.633357</v>
      </c>
      <c r="S426" s="84">
        <f t="shared" si="90"/>
        <v>7605.177018</v>
      </c>
      <c r="T426" s="84">
        <f t="shared" si="90"/>
        <v>7571.388694</v>
      </c>
      <c r="U426" s="84">
        <f t="shared" si="90"/>
        <v>7496.802019</v>
      </c>
      <c r="V426" s="84">
        <f t="shared" si="90"/>
        <v>0</v>
      </c>
      <c r="W426" s="84">
        <f t="shared" si="90"/>
        <v>0</v>
      </c>
      <c r="X426" s="84">
        <f t="shared" si="90"/>
        <v>0</v>
      </c>
      <c r="Y426" s="84">
        <f t="shared" si="90"/>
        <v>0</v>
      </c>
      <c r="Z426" s="84">
        <f t="shared" si="90"/>
        <v>0</v>
      </c>
      <c r="AA426" s="84">
        <f t="shared" si="90"/>
        <v>0</v>
      </c>
      <c r="AB426" s="84">
        <f t="shared" si="90"/>
        <v>0</v>
      </c>
      <c r="AC426" s="84">
        <f t="shared" si="90"/>
        <v>0</v>
      </c>
      <c r="AD426" s="84">
        <f t="shared" si="90"/>
        <v>0</v>
      </c>
      <c r="AE426" s="84">
        <f t="shared" si="90"/>
        <v>0</v>
      </c>
      <c r="AF426" s="84">
        <f t="shared" si="90"/>
        <v>0</v>
      </c>
      <c r="AG426" s="88">
        <f t="shared" si="90"/>
        <v>0</v>
      </c>
      <c r="AH426" s="24"/>
    </row>
    <row r="427" ht="12.75" customHeight="1">
      <c r="A427" s="153" t="s">
        <v>504</v>
      </c>
      <c r="B427" s="215" t="s">
        <v>51</v>
      </c>
      <c r="C427" s="483" t="s">
        <v>7</v>
      </c>
      <c r="D427" s="484" t="s">
        <v>7</v>
      </c>
      <c r="E427" s="485">
        <f>0.74*(E418*E419+E420*150)*365/325851</f>
        <v>5364.537572</v>
      </c>
      <c r="F427" s="157">
        <f t="shared" ref="F427:K427" si="91">$E$427*F388/$E$388</f>
        <v>5366.062362</v>
      </c>
      <c r="G427" s="157">
        <f t="shared" si="91"/>
        <v>5389.152038</v>
      </c>
      <c r="H427" s="157">
        <f t="shared" si="91"/>
        <v>5429.776797</v>
      </c>
      <c r="I427" s="157">
        <f t="shared" si="91"/>
        <v>5481.619653</v>
      </c>
      <c r="J427" s="157">
        <f t="shared" si="91"/>
        <v>5566.898973</v>
      </c>
      <c r="K427" s="157">
        <f t="shared" si="91"/>
        <v>5642.484987</v>
      </c>
      <c r="L427" s="485">
        <f>0.74*(L418*L419+L420*150)*365/325851</f>
        <v>4267.210473</v>
      </c>
      <c r="M427" s="157">
        <f t="shared" ref="M427:AG427" si="92">$L$427*M388/$L$388</f>
        <v>4343.14179</v>
      </c>
      <c r="N427" s="157">
        <f t="shared" si="92"/>
        <v>4364.593601</v>
      </c>
      <c r="O427" s="157">
        <f t="shared" si="92"/>
        <v>4406.606771</v>
      </c>
      <c r="P427" s="157">
        <f t="shared" si="92"/>
        <v>4425.791976</v>
      </c>
      <c r="Q427" s="157">
        <f t="shared" si="92"/>
        <v>4396.002291</v>
      </c>
      <c r="R427" s="157">
        <f t="shared" si="92"/>
        <v>4381.59315</v>
      </c>
      <c r="S427" s="157">
        <f t="shared" si="92"/>
        <v>4391.145277</v>
      </c>
      <c r="T427" s="157">
        <f t="shared" si="92"/>
        <v>4371.636271</v>
      </c>
      <c r="U427" s="157">
        <f t="shared" si="92"/>
        <v>4328.570749</v>
      </c>
      <c r="V427" s="157">
        <f t="shared" si="92"/>
        <v>0</v>
      </c>
      <c r="W427" s="157">
        <f t="shared" si="92"/>
        <v>0</v>
      </c>
      <c r="X427" s="157">
        <f t="shared" si="92"/>
        <v>0</v>
      </c>
      <c r="Y427" s="157">
        <f t="shared" si="92"/>
        <v>0</v>
      </c>
      <c r="Z427" s="157">
        <f t="shared" si="92"/>
        <v>0</v>
      </c>
      <c r="AA427" s="157">
        <f t="shared" si="92"/>
        <v>0</v>
      </c>
      <c r="AB427" s="157">
        <f t="shared" si="92"/>
        <v>0</v>
      </c>
      <c r="AC427" s="157">
        <f t="shared" si="92"/>
        <v>0</v>
      </c>
      <c r="AD427" s="157">
        <f t="shared" si="92"/>
        <v>0</v>
      </c>
      <c r="AE427" s="157">
        <f t="shared" si="92"/>
        <v>0</v>
      </c>
      <c r="AF427" s="157">
        <f t="shared" si="92"/>
        <v>0</v>
      </c>
      <c r="AG427" s="158">
        <f t="shared" si="92"/>
        <v>0</v>
      </c>
      <c r="AH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row>
    <row r="429" ht="12.75" customHeight="1">
      <c r="A429" s="46"/>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row>
    <row r="430" ht="12.75" customHeight="1">
      <c r="A430" s="46"/>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row>
    <row r="431" ht="12.75" customHeight="1">
      <c r="A431" s="46"/>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row>
    <row r="434" ht="12.75" customHeight="1">
      <c r="A434" s="46"/>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row>
    <row r="435" ht="12.75" customHeight="1">
      <c r="A435" s="46"/>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row>
    <row r="436" ht="12.75" customHeight="1">
      <c r="A436" s="46"/>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row>
    <row r="437" ht="12.75" customHeight="1">
      <c r="A437" s="46"/>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row>
  </sheetData>
  <mergeCells count="75">
    <mergeCell ref="A15:B15"/>
    <mergeCell ref="A13:B13"/>
    <mergeCell ref="A9:B9"/>
    <mergeCell ref="A10:B10"/>
    <mergeCell ref="A23:B23"/>
    <mergeCell ref="A22:B22"/>
    <mergeCell ref="A16:B16"/>
    <mergeCell ref="A26:B26"/>
    <mergeCell ref="A8:AG8"/>
    <mergeCell ref="A33:AG33"/>
    <mergeCell ref="A12:B12"/>
    <mergeCell ref="A118:B118"/>
    <mergeCell ref="A105:B105"/>
    <mergeCell ref="A106:B106"/>
    <mergeCell ref="A86:B86"/>
    <mergeCell ref="A84:B84"/>
    <mergeCell ref="A275:B275"/>
    <mergeCell ref="A276:B276"/>
    <mergeCell ref="A415:B415"/>
    <mergeCell ref="A416:B416"/>
    <mergeCell ref="A313:B313"/>
    <mergeCell ref="A314:B314"/>
    <mergeCell ref="A79:B79"/>
    <mergeCell ref="A130:B130"/>
    <mergeCell ref="A131:B131"/>
    <mergeCell ref="A239:B239"/>
    <mergeCell ref="A240:B240"/>
    <mergeCell ref="A287:B287"/>
    <mergeCell ref="A59:B59"/>
    <mergeCell ref="A346:B346"/>
    <mergeCell ref="A347:B347"/>
    <mergeCell ref="A419:B419"/>
    <mergeCell ref="A421:B421"/>
    <mergeCell ref="A423:B423"/>
    <mergeCell ref="A357:B357"/>
    <mergeCell ref="A358:B358"/>
    <mergeCell ref="A386:B386"/>
    <mergeCell ref="A387:B387"/>
    <mergeCell ref="A119:B119"/>
    <mergeCell ref="A124:B124"/>
    <mergeCell ref="A122:B122"/>
    <mergeCell ref="A129:AG129"/>
    <mergeCell ref="A92:B92"/>
    <mergeCell ref="A93:B93"/>
    <mergeCell ref="A91:AG91"/>
    <mergeCell ref="A58:B58"/>
    <mergeCell ref="A57:B57"/>
    <mergeCell ref="H38:H41"/>
    <mergeCell ref="H45:H46"/>
    <mergeCell ref="H49:H50"/>
    <mergeCell ref="A80:B80"/>
    <mergeCell ref="A81:B81"/>
    <mergeCell ref="C45:C46"/>
    <mergeCell ref="C49:C50"/>
    <mergeCell ref="C38:C41"/>
    <mergeCell ref="A35:B35"/>
    <mergeCell ref="A34:B34"/>
    <mergeCell ref="A28:B28"/>
    <mergeCell ref="A29:B29"/>
    <mergeCell ref="A279:B279"/>
    <mergeCell ref="A281:B281"/>
    <mergeCell ref="A288:B288"/>
    <mergeCell ref="A300:B300"/>
    <mergeCell ref="A301:B301"/>
    <mergeCell ref="A286:AG286"/>
    <mergeCell ref="A352:B352"/>
    <mergeCell ref="A356:AG356"/>
    <mergeCell ref="A321:B321"/>
    <mergeCell ref="A319:B319"/>
    <mergeCell ref="A350:B350"/>
    <mergeCell ref="A327:AG327"/>
    <mergeCell ref="A328:B328"/>
    <mergeCell ref="A329:B329"/>
    <mergeCell ref="A337:B337"/>
    <mergeCell ref="A338:B338"/>
  </mergeCells>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pane xSplit="1.0" ySplit="20.0" topLeftCell="B21" activePane="bottomRight" state="frozen"/>
      <selection activeCell="B1" sqref="B1" pane="topRight"/>
      <selection activeCell="A21" sqref="A21" pane="bottomLeft"/>
      <selection activeCell="B21" sqref="B21" pane="bottomRight"/>
    </sheetView>
  </sheetViews>
  <sheetFormatPr customHeight="1" defaultColWidth="14.43" defaultRowHeight="15.0"/>
  <cols>
    <col customWidth="1" min="1" max="1" width="27.71"/>
    <col customWidth="1" min="2" max="2" width="10.0"/>
    <col customWidth="1" min="3" max="12" width="18.29"/>
    <col customWidth="1" min="13" max="20" width="19.57"/>
    <col customWidth="1" min="21" max="33" width="18.0"/>
    <col customWidth="1" min="34" max="35" width="8.71"/>
    <col customWidth="1" min="36" max="36" width="22.14"/>
    <col customWidth="1" min="37" max="39" width="8.71"/>
  </cols>
  <sheetData>
    <row r="1">
      <c r="A1" s="283" t="s">
        <v>179</v>
      </c>
    </row>
    <row r="3">
      <c r="A3" s="284" t="s">
        <v>180</v>
      </c>
      <c r="L3" s="285" t="s">
        <v>181</v>
      </c>
    </row>
    <row r="4">
      <c r="A4" s="284" t="s">
        <v>182</v>
      </c>
      <c r="L4" s="286" t="s">
        <v>183</v>
      </c>
    </row>
    <row r="5">
      <c r="A5" s="286" t="s">
        <v>184</v>
      </c>
      <c r="L5" s="286" t="s">
        <v>185</v>
      </c>
    </row>
    <row r="6">
      <c r="A6" s="286" t="s">
        <v>186</v>
      </c>
      <c r="L6" s="286" t="s">
        <v>187</v>
      </c>
    </row>
    <row r="7">
      <c r="A7" s="286" t="s">
        <v>188</v>
      </c>
      <c r="L7" s="286" t="s">
        <v>189</v>
      </c>
    </row>
    <row r="8">
      <c r="A8" s="287" t="s">
        <v>190</v>
      </c>
      <c r="L8" s="287" t="s">
        <v>191</v>
      </c>
    </row>
    <row r="10">
      <c r="A10" s="286" t="s">
        <v>192</v>
      </c>
      <c r="L10" s="285" t="s">
        <v>193</v>
      </c>
    </row>
    <row r="11">
      <c r="A11" s="288" t="s">
        <v>194</v>
      </c>
      <c r="L11" s="286" t="s">
        <v>195</v>
      </c>
    </row>
    <row r="12">
      <c r="A12" s="286" t="s">
        <v>196</v>
      </c>
      <c r="L12" s="286" t="s">
        <v>197</v>
      </c>
    </row>
    <row r="13">
      <c r="A13" s="286" t="s">
        <v>198</v>
      </c>
      <c r="L13" s="286" t="s">
        <v>199</v>
      </c>
    </row>
    <row r="14">
      <c r="A14" s="286" t="s">
        <v>200</v>
      </c>
      <c r="L14" s="286" t="s">
        <v>201</v>
      </c>
    </row>
    <row r="15">
      <c r="A15" s="286" t="s">
        <v>202</v>
      </c>
      <c r="L15" s="287" t="s">
        <v>203</v>
      </c>
    </row>
    <row r="16">
      <c r="A16" s="286" t="s">
        <v>204</v>
      </c>
    </row>
    <row r="17">
      <c r="A17" s="286" t="s">
        <v>205</v>
      </c>
    </row>
    <row r="19">
      <c r="A19" s="289">
        <v>1.0</v>
      </c>
      <c r="B19" s="289">
        <v>2.0</v>
      </c>
      <c r="C19" s="289">
        <v>3.0</v>
      </c>
      <c r="D19" s="289">
        <v>4.0</v>
      </c>
      <c r="E19" s="289">
        <v>5.0</v>
      </c>
      <c r="F19" s="289">
        <v>6.0</v>
      </c>
      <c r="G19" s="289">
        <v>7.0</v>
      </c>
      <c r="H19" s="289">
        <v>8.0</v>
      </c>
      <c r="I19" s="289">
        <v>9.0</v>
      </c>
      <c r="J19" s="289">
        <v>10.0</v>
      </c>
      <c r="K19" s="289">
        <v>11.0</v>
      </c>
      <c r="L19" s="289">
        <v>12.0</v>
      </c>
      <c r="M19" s="289">
        <v>13.0</v>
      </c>
      <c r="N19" s="289">
        <v>14.0</v>
      </c>
      <c r="O19" s="289">
        <v>15.0</v>
      </c>
      <c r="P19" s="289">
        <v>16.0</v>
      </c>
      <c r="Q19" s="289">
        <v>17.0</v>
      </c>
      <c r="R19" s="289">
        <v>18.0</v>
      </c>
      <c r="S19" s="289">
        <v>19.0</v>
      </c>
      <c r="T19" s="289">
        <v>20.0</v>
      </c>
      <c r="U19" s="289">
        <v>21.0</v>
      </c>
      <c r="V19" s="289">
        <v>22.0</v>
      </c>
      <c r="W19" s="289">
        <v>23.0</v>
      </c>
      <c r="X19" s="289">
        <v>24.0</v>
      </c>
      <c r="Y19" s="289">
        <v>25.0</v>
      </c>
      <c r="Z19" s="289">
        <v>26.0</v>
      </c>
      <c r="AA19" s="289">
        <v>27.0</v>
      </c>
      <c r="AB19" s="289">
        <v>28.0</v>
      </c>
      <c r="AC19" s="289">
        <v>29.0</v>
      </c>
      <c r="AD19" s="289">
        <v>30.0</v>
      </c>
      <c r="AE19" s="289">
        <v>31.0</v>
      </c>
      <c r="AF19" s="289">
        <v>32.0</v>
      </c>
      <c r="AG19" s="289">
        <v>33.0</v>
      </c>
    </row>
    <row r="20">
      <c r="A20" s="290" t="s">
        <v>206</v>
      </c>
      <c r="B20" s="291" t="s">
        <v>207</v>
      </c>
      <c r="C20" s="291" t="s">
        <v>208</v>
      </c>
      <c r="D20" s="291" t="s">
        <v>209</v>
      </c>
      <c r="E20" s="291" t="s">
        <v>210</v>
      </c>
      <c r="F20" s="291" t="s">
        <v>211</v>
      </c>
      <c r="G20" s="291" t="s">
        <v>212</v>
      </c>
      <c r="H20" s="291" t="s">
        <v>213</v>
      </c>
      <c r="I20" s="291" t="s">
        <v>214</v>
      </c>
      <c r="J20" s="291" t="s">
        <v>215</v>
      </c>
      <c r="K20" s="291" t="s">
        <v>216</v>
      </c>
      <c r="L20" s="291" t="s">
        <v>217</v>
      </c>
      <c r="M20" s="291" t="s">
        <v>218</v>
      </c>
      <c r="N20" s="291" t="s">
        <v>219</v>
      </c>
      <c r="O20" s="291" t="s">
        <v>220</v>
      </c>
      <c r="P20" s="291" t="s">
        <v>221</v>
      </c>
      <c r="Q20" s="291" t="s">
        <v>222</v>
      </c>
      <c r="R20" s="291" t="s">
        <v>223</v>
      </c>
      <c r="S20" s="291" t="s">
        <v>224</v>
      </c>
      <c r="T20" s="291" t="s">
        <v>225</v>
      </c>
      <c r="U20" s="291" t="s">
        <v>226</v>
      </c>
      <c r="V20" s="291" t="s">
        <v>227</v>
      </c>
      <c r="W20" s="291" t="s">
        <v>228</v>
      </c>
      <c r="X20" s="291" t="s">
        <v>229</v>
      </c>
      <c r="Y20" s="291" t="s">
        <v>230</v>
      </c>
      <c r="Z20" s="291" t="s">
        <v>231</v>
      </c>
      <c r="AA20" s="291" t="s">
        <v>232</v>
      </c>
      <c r="AB20" s="291" t="s">
        <v>233</v>
      </c>
      <c r="AC20" s="291" t="s">
        <v>234</v>
      </c>
      <c r="AD20" s="291" t="s">
        <v>235</v>
      </c>
      <c r="AE20" s="291" t="s">
        <v>236</v>
      </c>
      <c r="AF20" s="291" t="s">
        <v>237</v>
      </c>
      <c r="AG20" s="292" t="s">
        <v>238</v>
      </c>
    </row>
    <row r="21" ht="15.75" customHeight="1">
      <c r="A21" s="293" t="s">
        <v>239</v>
      </c>
      <c r="B21" s="294" t="s">
        <v>239</v>
      </c>
      <c r="C21" s="294">
        <v>494300.0</v>
      </c>
      <c r="D21" s="294">
        <v>494657.0</v>
      </c>
      <c r="E21" s="294">
        <v>500017.0</v>
      </c>
      <c r="F21" s="294">
        <v>503453.0</v>
      </c>
      <c r="G21" s="294">
        <v>509106.0</v>
      </c>
      <c r="H21" s="294">
        <v>514157.0</v>
      </c>
      <c r="I21" s="294">
        <v>522667.0</v>
      </c>
      <c r="J21" s="294">
        <v>534876.0</v>
      </c>
      <c r="K21" s="294">
        <v>546043.0</v>
      </c>
      <c r="L21" s="294">
        <v>559851.0</v>
      </c>
      <c r="M21" s="294">
        <v>564376.0</v>
      </c>
      <c r="N21" s="294">
        <v>567602.0</v>
      </c>
      <c r="O21" s="294">
        <v>576608.0</v>
      </c>
      <c r="P21" s="294">
        <v>582341.0</v>
      </c>
      <c r="Q21" s="294">
        <v>583334.0</v>
      </c>
      <c r="R21" s="294">
        <v>586102.0</v>
      </c>
      <c r="S21" s="294">
        <v>584910.0</v>
      </c>
      <c r="T21" s="294">
        <v>579315.0</v>
      </c>
      <c r="U21" s="294"/>
      <c r="V21" s="294"/>
      <c r="W21" s="294"/>
      <c r="X21" s="294"/>
      <c r="Y21" s="294"/>
      <c r="Z21" s="294"/>
      <c r="AA21" s="294"/>
      <c r="AB21" s="294"/>
      <c r="AC21" s="294"/>
      <c r="AD21" s="294"/>
      <c r="AE21" s="294"/>
      <c r="AF21" s="294"/>
      <c r="AG21" s="295"/>
    </row>
    <row r="22" ht="15.75" customHeight="1">
      <c r="A22" s="296" t="s">
        <v>240</v>
      </c>
      <c r="B22" s="297" t="s">
        <v>239</v>
      </c>
      <c r="C22" s="297">
        <v>1855.0</v>
      </c>
      <c r="D22" s="297">
        <v>1826.0</v>
      </c>
      <c r="E22" s="297">
        <v>1809.0</v>
      </c>
      <c r="F22" s="297">
        <v>1803.0</v>
      </c>
      <c r="G22" s="297">
        <v>1818.0</v>
      </c>
      <c r="H22" s="297">
        <v>1827.0</v>
      </c>
      <c r="I22" s="297">
        <v>1852.0</v>
      </c>
      <c r="J22" s="297">
        <v>1884.0</v>
      </c>
      <c r="K22" s="297">
        <v>1917.0</v>
      </c>
      <c r="L22" s="297">
        <v>1933.0</v>
      </c>
      <c r="M22" s="297">
        <v>1918.0</v>
      </c>
      <c r="N22" s="297">
        <v>1910.0</v>
      </c>
      <c r="O22" s="297">
        <v>1906.0</v>
      </c>
      <c r="P22" s="297">
        <v>1941.0</v>
      </c>
      <c r="Q22" s="297">
        <v>1963.0</v>
      </c>
      <c r="R22" s="297">
        <v>1969.0</v>
      </c>
      <c r="S22" s="297">
        <v>1986.0</v>
      </c>
      <c r="T22" s="297">
        <v>2005.0</v>
      </c>
      <c r="U22" s="297">
        <v>2006.0</v>
      </c>
      <c r="V22" s="298"/>
      <c r="W22" s="298"/>
      <c r="X22" s="298"/>
      <c r="Y22" s="298"/>
      <c r="Z22" s="298"/>
      <c r="AA22" s="298"/>
      <c r="AB22" s="298"/>
      <c r="AC22" s="298"/>
      <c r="AD22" s="298"/>
      <c r="AE22" s="298"/>
      <c r="AF22" s="298"/>
      <c r="AG22" s="299"/>
      <c r="AJ22" t="s">
        <v>240</v>
      </c>
      <c r="AK22" t="s">
        <v>242</v>
      </c>
      <c r="AM22" t="str">
        <f t="shared" ref="AM22:AM120" si="1">IF(AJ22=A22,"","!!!!!")</f>
        <v/>
      </c>
    </row>
    <row r="23" ht="15.75" customHeight="1">
      <c r="A23" s="296" t="s">
        <v>149</v>
      </c>
      <c r="B23" s="297" t="s">
        <v>239</v>
      </c>
      <c r="C23" s="297">
        <v>119.0</v>
      </c>
      <c r="D23" s="297">
        <v>125.0</v>
      </c>
      <c r="E23" s="297">
        <v>131.0</v>
      </c>
      <c r="F23" s="297">
        <v>137.0</v>
      </c>
      <c r="G23" s="297">
        <v>144.0</v>
      </c>
      <c r="H23" s="297">
        <v>149.0</v>
      </c>
      <c r="I23" s="297">
        <v>156.0</v>
      </c>
      <c r="J23" s="297">
        <v>161.0</v>
      </c>
      <c r="K23" s="297">
        <v>168.0</v>
      </c>
      <c r="L23" s="297">
        <v>175.0</v>
      </c>
      <c r="M23" s="297">
        <v>181.0</v>
      </c>
      <c r="N23" s="297">
        <v>181.0</v>
      </c>
      <c r="O23" s="297">
        <v>184.0</v>
      </c>
      <c r="P23" s="297">
        <v>184.0</v>
      </c>
      <c r="Q23" s="297">
        <v>182.0</v>
      </c>
      <c r="R23" s="297">
        <v>187.0</v>
      </c>
      <c r="S23" s="297">
        <v>197.0</v>
      </c>
      <c r="T23" s="297">
        <v>204.0</v>
      </c>
      <c r="U23" s="297">
        <v>208.0</v>
      </c>
      <c r="V23" s="298"/>
      <c r="W23" s="298"/>
      <c r="X23" s="298"/>
      <c r="Y23" s="298"/>
      <c r="Z23" s="298"/>
      <c r="AA23" s="298"/>
      <c r="AB23" s="298"/>
      <c r="AC23" s="298"/>
      <c r="AD23" s="298"/>
      <c r="AE23" s="298"/>
      <c r="AF23" s="298"/>
      <c r="AG23" s="299"/>
      <c r="AJ23" t="s">
        <v>149</v>
      </c>
      <c r="AK23" t="s">
        <v>242</v>
      </c>
      <c r="AM23" t="str">
        <f t="shared" si="1"/>
        <v/>
      </c>
    </row>
    <row r="24" ht="15.75" customHeight="1">
      <c r="A24" s="296" t="s">
        <v>243</v>
      </c>
      <c r="B24" s="297" t="s">
        <v>239</v>
      </c>
      <c r="C24" s="297">
        <v>562.0</v>
      </c>
      <c r="D24" s="297">
        <v>578.0</v>
      </c>
      <c r="E24" s="297">
        <v>597.0</v>
      </c>
      <c r="F24" s="297">
        <v>620.0</v>
      </c>
      <c r="G24" s="297">
        <v>649.0</v>
      </c>
      <c r="H24" s="297">
        <v>677.0</v>
      </c>
      <c r="I24" s="297">
        <v>711.0</v>
      </c>
      <c r="J24" s="297">
        <v>748.0</v>
      </c>
      <c r="K24" s="297">
        <v>787.0</v>
      </c>
      <c r="L24" s="297">
        <v>818.0</v>
      </c>
      <c r="M24" s="297">
        <v>826.0</v>
      </c>
      <c r="N24" s="297">
        <v>821.0</v>
      </c>
      <c r="O24" s="297">
        <v>814.0</v>
      </c>
      <c r="P24" s="297">
        <v>828.0</v>
      </c>
      <c r="Q24" s="297">
        <v>837.0</v>
      </c>
      <c r="R24" s="297">
        <v>842.0</v>
      </c>
      <c r="S24" s="297">
        <v>855.0</v>
      </c>
      <c r="T24" s="297">
        <v>866.0</v>
      </c>
      <c r="U24" s="297">
        <v>878.0</v>
      </c>
      <c r="V24" s="298"/>
      <c r="W24" s="298"/>
      <c r="X24" s="298"/>
      <c r="Y24" s="298"/>
      <c r="Z24" s="298"/>
      <c r="AA24" s="298"/>
      <c r="AB24" s="298"/>
      <c r="AC24" s="298"/>
      <c r="AD24" s="298"/>
      <c r="AE24" s="298"/>
      <c r="AF24" s="298"/>
      <c r="AG24" s="299"/>
      <c r="AJ24" t="s">
        <v>243</v>
      </c>
      <c r="AK24" t="s">
        <v>242</v>
      </c>
      <c r="AM24" t="str">
        <f t="shared" si="1"/>
        <v/>
      </c>
    </row>
    <row r="25" ht="15.75" customHeight="1">
      <c r="A25" s="296" t="s">
        <v>75</v>
      </c>
      <c r="B25" s="297" t="s">
        <v>239</v>
      </c>
      <c r="C25" s="297">
        <v>376.0</v>
      </c>
      <c r="D25" s="297">
        <v>377.0</v>
      </c>
      <c r="E25" s="297">
        <v>383.0</v>
      </c>
      <c r="F25" s="297">
        <v>387.0</v>
      </c>
      <c r="G25" s="297">
        <v>392.0</v>
      </c>
      <c r="H25" s="297">
        <v>393.0</v>
      </c>
      <c r="I25" s="297">
        <v>402.0</v>
      </c>
      <c r="J25" s="297">
        <v>416.0</v>
      </c>
      <c r="K25" s="297">
        <v>428.0</v>
      </c>
      <c r="L25" s="297">
        <v>438.0</v>
      </c>
      <c r="M25" s="297">
        <v>439.0</v>
      </c>
      <c r="N25" s="297">
        <v>446.0</v>
      </c>
      <c r="O25" s="297">
        <v>441.0</v>
      </c>
      <c r="P25" s="297">
        <v>445.0</v>
      </c>
      <c r="Q25" s="297">
        <v>447.0</v>
      </c>
      <c r="R25" s="297">
        <v>439.0</v>
      </c>
      <c r="S25" s="297">
        <v>440.0</v>
      </c>
      <c r="T25" s="297">
        <v>428.0</v>
      </c>
      <c r="U25" s="297">
        <v>418.0</v>
      </c>
      <c r="V25" s="298"/>
      <c r="W25" s="298"/>
      <c r="X25" s="298"/>
      <c r="Y25" s="298"/>
      <c r="Z25" s="298"/>
      <c r="AA25" s="298"/>
      <c r="AB25" s="298"/>
      <c r="AC25" s="298"/>
      <c r="AD25" s="298"/>
      <c r="AE25" s="298"/>
      <c r="AF25" s="298"/>
      <c r="AG25" s="299"/>
      <c r="AJ25" t="s">
        <v>75</v>
      </c>
      <c r="AK25" t="s">
        <v>242</v>
      </c>
      <c r="AM25" t="str">
        <f t="shared" si="1"/>
        <v/>
      </c>
    </row>
    <row r="26" ht="15.75" customHeight="1">
      <c r="A26" s="296" t="s">
        <v>244</v>
      </c>
      <c r="B26" s="297" t="s">
        <v>239</v>
      </c>
      <c r="C26" s="297">
        <v>97.0</v>
      </c>
      <c r="D26" s="297">
        <v>94.0</v>
      </c>
      <c r="E26" s="297">
        <v>95.0</v>
      </c>
      <c r="F26" s="297">
        <v>94.0</v>
      </c>
      <c r="G26" s="297">
        <v>95.0</v>
      </c>
      <c r="H26" s="297">
        <v>96.0</v>
      </c>
      <c r="I26" s="297">
        <v>98.0</v>
      </c>
      <c r="J26" s="297">
        <v>102.0</v>
      </c>
      <c r="K26" s="297">
        <v>103.0</v>
      </c>
      <c r="L26" s="297">
        <v>107.0</v>
      </c>
      <c r="M26" s="297">
        <v>105.0</v>
      </c>
      <c r="N26" s="297">
        <v>105.0</v>
      </c>
      <c r="O26" s="297">
        <v>107.0</v>
      </c>
      <c r="P26" s="297">
        <v>106.0</v>
      </c>
      <c r="Q26" s="297">
        <v>106.0</v>
      </c>
      <c r="R26" s="297">
        <v>104.0</v>
      </c>
      <c r="S26" s="297">
        <v>102.0</v>
      </c>
      <c r="T26" s="297">
        <v>100.0</v>
      </c>
      <c r="U26" s="297">
        <v>98.0</v>
      </c>
      <c r="V26" s="298"/>
      <c r="W26" s="298"/>
      <c r="X26" s="298"/>
      <c r="Y26" s="298"/>
      <c r="Z26" s="298"/>
      <c r="AA26" s="298"/>
      <c r="AB26" s="298"/>
      <c r="AC26" s="298"/>
      <c r="AD26" s="298"/>
      <c r="AE26" s="298"/>
      <c r="AF26" s="298"/>
      <c r="AG26" s="299"/>
      <c r="AJ26" t="s">
        <v>244</v>
      </c>
      <c r="AK26" t="s">
        <v>242</v>
      </c>
      <c r="AM26" t="str">
        <f t="shared" si="1"/>
        <v/>
      </c>
    </row>
    <row r="27" ht="15.75" customHeight="1">
      <c r="A27" s="296" t="s">
        <v>245</v>
      </c>
      <c r="B27" s="297" t="s">
        <v>239</v>
      </c>
      <c r="C27" s="297">
        <v>980.0</v>
      </c>
      <c r="D27" s="297">
        <v>1096.0</v>
      </c>
      <c r="E27" s="297">
        <v>1216.0</v>
      </c>
      <c r="F27" s="297">
        <v>1336.0</v>
      </c>
      <c r="G27" s="297">
        <v>1459.0</v>
      </c>
      <c r="H27" s="297">
        <v>1583.0</v>
      </c>
      <c r="I27" s="297">
        <v>1706.0</v>
      </c>
      <c r="J27" s="297">
        <v>1848.0</v>
      </c>
      <c r="K27" s="297">
        <v>1986.0</v>
      </c>
      <c r="L27" s="297">
        <v>2131.0</v>
      </c>
      <c r="M27" s="297">
        <v>2212.0</v>
      </c>
      <c r="N27" s="297">
        <v>2260.0</v>
      </c>
      <c r="O27" s="297">
        <v>2436.0</v>
      </c>
      <c r="P27" s="297">
        <v>2675.0</v>
      </c>
      <c r="Q27" s="297">
        <v>2758.0</v>
      </c>
      <c r="R27" s="297">
        <v>2849.0</v>
      </c>
      <c r="S27" s="297">
        <v>2815.0</v>
      </c>
      <c r="T27" s="297">
        <v>2781.0</v>
      </c>
      <c r="U27" s="297">
        <v>2761.0</v>
      </c>
      <c r="V27" s="298"/>
      <c r="W27" s="298"/>
      <c r="X27" s="298"/>
      <c r="Y27" s="298"/>
      <c r="Z27" s="298"/>
      <c r="AA27" s="298"/>
      <c r="AB27" s="298"/>
      <c r="AC27" s="298"/>
      <c r="AD27" s="298"/>
      <c r="AE27" s="298"/>
      <c r="AF27" s="298"/>
      <c r="AG27" s="299"/>
      <c r="AJ27" t="s">
        <v>245</v>
      </c>
      <c r="AK27" t="s">
        <v>242</v>
      </c>
      <c r="AM27" t="str">
        <f t="shared" si="1"/>
        <v/>
      </c>
    </row>
    <row r="28" ht="15.75" customHeight="1">
      <c r="A28" s="296" t="s">
        <v>246</v>
      </c>
      <c r="B28" s="297" t="s">
        <v>239</v>
      </c>
      <c r="C28" s="297">
        <v>1257.0</v>
      </c>
      <c r="D28" s="297">
        <v>1235.0</v>
      </c>
      <c r="E28" s="297">
        <v>1228.0</v>
      </c>
      <c r="F28" s="297">
        <v>1218.0</v>
      </c>
      <c r="G28" s="297">
        <v>1233.0</v>
      </c>
      <c r="H28" s="297">
        <v>1229.0</v>
      </c>
      <c r="I28" s="297">
        <v>1234.0</v>
      </c>
      <c r="J28" s="297">
        <v>1248.0</v>
      </c>
      <c r="K28" s="297">
        <v>1256.0</v>
      </c>
      <c r="L28" s="297">
        <v>1271.0</v>
      </c>
      <c r="M28" s="297">
        <v>1286.0</v>
      </c>
      <c r="N28" s="297">
        <v>1290.0</v>
      </c>
      <c r="O28" s="297">
        <v>1291.0</v>
      </c>
      <c r="P28" s="297">
        <v>1305.0</v>
      </c>
      <c r="Q28" s="297">
        <v>1294.0</v>
      </c>
      <c r="R28" s="297">
        <v>1300.0</v>
      </c>
      <c r="S28" s="297">
        <v>1296.0</v>
      </c>
      <c r="T28" s="297">
        <v>1293.0</v>
      </c>
      <c r="U28" s="297">
        <v>1292.0</v>
      </c>
      <c r="V28" s="298"/>
      <c r="W28" s="298"/>
      <c r="X28" s="298"/>
      <c r="Y28" s="298"/>
      <c r="Z28" s="298"/>
      <c r="AA28" s="298"/>
      <c r="AB28" s="298"/>
      <c r="AC28" s="298"/>
      <c r="AD28" s="298"/>
      <c r="AE28" s="298"/>
      <c r="AF28" s="298"/>
      <c r="AG28" s="299"/>
      <c r="AJ28" t="s">
        <v>246</v>
      </c>
      <c r="AK28" t="s">
        <v>242</v>
      </c>
      <c r="AM28" t="str">
        <f t="shared" si="1"/>
        <v/>
      </c>
    </row>
    <row r="29" ht="15.75" customHeight="1">
      <c r="A29" s="296" t="s">
        <v>54</v>
      </c>
      <c r="B29" s="297" t="s">
        <v>239</v>
      </c>
      <c r="C29" s="297">
        <v>474.0</v>
      </c>
      <c r="D29" s="297">
        <v>469.0</v>
      </c>
      <c r="E29" s="297">
        <v>474.0</v>
      </c>
      <c r="F29" s="297">
        <v>472.0</v>
      </c>
      <c r="G29" s="297">
        <v>473.0</v>
      </c>
      <c r="H29" s="297">
        <v>475.0</v>
      </c>
      <c r="I29" s="297">
        <v>480.0</v>
      </c>
      <c r="J29" s="297">
        <v>493.0</v>
      </c>
      <c r="K29" s="297">
        <v>504.0</v>
      </c>
      <c r="L29" s="297">
        <v>515.0</v>
      </c>
      <c r="M29" s="297">
        <v>517.0</v>
      </c>
      <c r="N29" s="297">
        <v>521.0</v>
      </c>
      <c r="O29" s="297">
        <v>524.0</v>
      </c>
      <c r="P29" s="297">
        <v>521.0</v>
      </c>
      <c r="Q29" s="297">
        <v>528.0</v>
      </c>
      <c r="R29" s="297">
        <v>527.0</v>
      </c>
      <c r="S29" s="297">
        <v>526.0</v>
      </c>
      <c r="T29" s="297">
        <v>518.0</v>
      </c>
      <c r="U29" s="297">
        <v>513.0</v>
      </c>
      <c r="V29" s="298"/>
      <c r="W29" s="298"/>
      <c r="X29" s="298"/>
      <c r="Y29" s="298"/>
      <c r="Z29" s="298"/>
      <c r="AA29" s="298"/>
      <c r="AB29" s="298"/>
      <c r="AC29" s="298"/>
      <c r="AD29" s="298"/>
      <c r="AE29" s="298"/>
      <c r="AF29" s="298"/>
      <c r="AG29" s="299"/>
      <c r="AJ29" t="s">
        <v>54</v>
      </c>
      <c r="AK29" t="s">
        <v>242</v>
      </c>
      <c r="AM29" t="str">
        <f t="shared" si="1"/>
        <v/>
      </c>
    </row>
    <row r="30" ht="15.75" customHeight="1">
      <c r="A30" s="296" t="s">
        <v>96</v>
      </c>
      <c r="B30" s="297" t="s">
        <v>239</v>
      </c>
      <c r="C30" s="297">
        <v>407.0</v>
      </c>
      <c r="D30" s="297">
        <v>396.0</v>
      </c>
      <c r="E30" s="297">
        <v>407.0</v>
      </c>
      <c r="F30" s="297">
        <v>414.0</v>
      </c>
      <c r="G30" s="297">
        <v>425.0</v>
      </c>
      <c r="H30" s="297">
        <v>442.0</v>
      </c>
      <c r="I30" s="297">
        <v>457.0</v>
      </c>
      <c r="J30" s="297">
        <v>497.0</v>
      </c>
      <c r="K30" s="297">
        <v>526.0</v>
      </c>
      <c r="L30" s="297">
        <v>553.0</v>
      </c>
      <c r="M30" s="297">
        <v>563.0</v>
      </c>
      <c r="N30" s="297">
        <v>558.0</v>
      </c>
      <c r="O30" s="297">
        <v>574.0</v>
      </c>
      <c r="P30" s="297">
        <v>555.0</v>
      </c>
      <c r="Q30" s="297">
        <v>548.0</v>
      </c>
      <c r="R30" s="297">
        <v>544.0</v>
      </c>
      <c r="S30" s="297">
        <v>540.0</v>
      </c>
      <c r="T30" s="297">
        <v>524.0</v>
      </c>
      <c r="U30" s="297">
        <v>524.0</v>
      </c>
      <c r="V30" s="298"/>
      <c r="W30" s="298"/>
      <c r="X30" s="298"/>
      <c r="Y30" s="298"/>
      <c r="Z30" s="298"/>
      <c r="AA30" s="298"/>
      <c r="AB30" s="298"/>
      <c r="AC30" s="298"/>
      <c r="AD30" s="298"/>
      <c r="AE30" s="298"/>
      <c r="AF30" s="298"/>
      <c r="AG30" s="299"/>
      <c r="AJ30" t="s">
        <v>96</v>
      </c>
      <c r="AK30" t="s">
        <v>242</v>
      </c>
      <c r="AM30" t="str">
        <f t="shared" si="1"/>
        <v/>
      </c>
    </row>
    <row r="31" ht="15.75" customHeight="1">
      <c r="A31" s="296" t="s">
        <v>247</v>
      </c>
      <c r="B31" s="297" t="s">
        <v>239</v>
      </c>
      <c r="C31" s="297">
        <v>3933.0</v>
      </c>
      <c r="D31" s="297">
        <v>3951.0</v>
      </c>
      <c r="E31" s="297">
        <v>4047.0</v>
      </c>
      <c r="F31" s="297">
        <v>4101.0</v>
      </c>
      <c r="G31" s="297">
        <v>4118.0</v>
      </c>
      <c r="H31" s="297">
        <v>4175.0</v>
      </c>
      <c r="I31" s="297">
        <v>4221.0</v>
      </c>
      <c r="J31" s="297">
        <v>4395.0</v>
      </c>
      <c r="K31" s="297">
        <v>4550.0</v>
      </c>
      <c r="L31" s="297">
        <v>4593.0</v>
      </c>
      <c r="M31" s="297">
        <v>4595.0</v>
      </c>
      <c r="N31" s="297">
        <v>4637.0</v>
      </c>
      <c r="O31" s="297">
        <v>4635.0</v>
      </c>
      <c r="P31" s="297">
        <v>4637.0</v>
      </c>
      <c r="Q31" s="297">
        <v>4616.0</v>
      </c>
      <c r="R31" s="297">
        <v>4642.0</v>
      </c>
      <c r="S31" s="297">
        <v>4587.0</v>
      </c>
      <c r="T31" s="297">
        <v>4584.0</v>
      </c>
      <c r="U31" s="297">
        <v>4573.0</v>
      </c>
      <c r="V31" s="298"/>
      <c r="W31" s="298"/>
      <c r="X31" s="298"/>
      <c r="Y31" s="298"/>
      <c r="Z31" s="298"/>
      <c r="AA31" s="298"/>
      <c r="AB31" s="298"/>
      <c r="AC31" s="298"/>
      <c r="AD31" s="298"/>
      <c r="AE31" s="298"/>
      <c r="AF31" s="298"/>
      <c r="AG31" s="299"/>
      <c r="AJ31" t="s">
        <v>247</v>
      </c>
      <c r="AK31" t="s">
        <v>242</v>
      </c>
      <c r="AM31" t="str">
        <f t="shared" si="1"/>
        <v/>
      </c>
    </row>
    <row r="32" ht="15.75" customHeight="1">
      <c r="A32" s="296" t="s">
        <v>248</v>
      </c>
      <c r="B32" s="297" t="s">
        <v>239</v>
      </c>
      <c r="C32" s="297">
        <v>238.0</v>
      </c>
      <c r="D32" s="297">
        <v>238.0</v>
      </c>
      <c r="E32" s="297">
        <v>242.0</v>
      </c>
      <c r="F32" s="297">
        <v>244.0</v>
      </c>
      <c r="G32" s="297">
        <v>253.0</v>
      </c>
      <c r="H32" s="297">
        <v>256.0</v>
      </c>
      <c r="I32" s="297">
        <v>261.0</v>
      </c>
      <c r="J32" s="297">
        <v>268.0</v>
      </c>
      <c r="K32" s="297">
        <v>274.0</v>
      </c>
      <c r="L32" s="297">
        <v>282.0</v>
      </c>
      <c r="M32" s="297">
        <v>291.0</v>
      </c>
      <c r="N32" s="297">
        <v>301.0</v>
      </c>
      <c r="O32" s="297">
        <v>307.0</v>
      </c>
      <c r="P32" s="297">
        <v>319.0</v>
      </c>
      <c r="Q32" s="297">
        <v>326.0</v>
      </c>
      <c r="R32" s="297">
        <v>333.0</v>
      </c>
      <c r="S32" s="297">
        <v>335.0</v>
      </c>
      <c r="T32" s="297">
        <v>337.0</v>
      </c>
      <c r="U32" s="297">
        <v>339.0</v>
      </c>
      <c r="V32" s="298"/>
      <c r="W32" s="298"/>
      <c r="X32" s="298"/>
      <c r="Y32" s="298"/>
      <c r="Z32" s="298"/>
      <c r="AA32" s="298"/>
      <c r="AB32" s="298"/>
      <c r="AC32" s="298"/>
      <c r="AD32" s="298"/>
      <c r="AE32" s="298"/>
      <c r="AF32" s="298"/>
      <c r="AG32" s="299"/>
      <c r="AJ32" t="s">
        <v>248</v>
      </c>
      <c r="AK32" t="s">
        <v>242</v>
      </c>
      <c r="AM32" t="str">
        <f t="shared" si="1"/>
        <v/>
      </c>
    </row>
    <row r="33" ht="15.75" customHeight="1">
      <c r="A33" s="296" t="s">
        <v>146</v>
      </c>
      <c r="B33" s="297" t="s">
        <v>239</v>
      </c>
      <c r="C33" s="297">
        <v>274.0</v>
      </c>
      <c r="D33" s="297">
        <v>277.0</v>
      </c>
      <c r="E33" s="297">
        <v>278.0</v>
      </c>
      <c r="F33" s="297">
        <v>281.0</v>
      </c>
      <c r="G33" s="297">
        <v>285.0</v>
      </c>
      <c r="H33" s="297">
        <v>285.0</v>
      </c>
      <c r="I33" s="297">
        <v>288.0</v>
      </c>
      <c r="J33" s="297">
        <v>290.0</v>
      </c>
      <c r="K33" s="297">
        <v>294.0</v>
      </c>
      <c r="L33" s="297">
        <v>297.0</v>
      </c>
      <c r="M33" s="297">
        <v>302.0</v>
      </c>
      <c r="N33" s="297">
        <v>301.0</v>
      </c>
      <c r="O33" s="297">
        <v>305.0</v>
      </c>
      <c r="P33" s="297">
        <v>311.0</v>
      </c>
      <c r="Q33" s="297">
        <v>309.0</v>
      </c>
      <c r="R33" s="297">
        <v>312.0</v>
      </c>
      <c r="S33" s="297">
        <v>314.0</v>
      </c>
      <c r="T33" s="297">
        <v>311.0</v>
      </c>
      <c r="U33" s="297">
        <v>309.0</v>
      </c>
      <c r="V33" s="298"/>
      <c r="W33" s="298"/>
      <c r="X33" s="298"/>
      <c r="Y33" s="298"/>
      <c r="Z33" s="298"/>
      <c r="AA33" s="298"/>
      <c r="AB33" s="298"/>
      <c r="AC33" s="298"/>
      <c r="AD33" s="298"/>
      <c r="AE33" s="298"/>
      <c r="AF33" s="298"/>
      <c r="AG33" s="299"/>
      <c r="AJ33" t="s">
        <v>146</v>
      </c>
      <c r="AK33" t="s">
        <v>242</v>
      </c>
      <c r="AM33" t="str">
        <f t="shared" si="1"/>
        <v/>
      </c>
    </row>
    <row r="34" ht="15.75" customHeight="1">
      <c r="A34" s="296" t="s">
        <v>249</v>
      </c>
      <c r="B34" s="297" t="s">
        <v>239</v>
      </c>
      <c r="C34" s="297">
        <v>546.0</v>
      </c>
      <c r="D34" s="297">
        <v>541.0</v>
      </c>
      <c r="E34" s="297">
        <v>542.0</v>
      </c>
      <c r="F34" s="297">
        <v>541.0</v>
      </c>
      <c r="G34" s="297">
        <v>552.0</v>
      </c>
      <c r="H34" s="297">
        <v>554.0</v>
      </c>
      <c r="I34" s="297">
        <v>558.0</v>
      </c>
      <c r="J34" s="297">
        <v>568.0</v>
      </c>
      <c r="K34" s="297">
        <v>575.0</v>
      </c>
      <c r="L34" s="297">
        <v>584.0</v>
      </c>
      <c r="M34" s="297">
        <v>592.0</v>
      </c>
      <c r="N34" s="297">
        <v>596.0</v>
      </c>
      <c r="O34" s="297">
        <v>601.0</v>
      </c>
      <c r="P34" s="297">
        <v>613.0</v>
      </c>
      <c r="Q34" s="297">
        <v>610.0</v>
      </c>
      <c r="R34" s="297">
        <v>619.0</v>
      </c>
      <c r="S34" s="297">
        <v>617.0</v>
      </c>
      <c r="T34" s="297">
        <v>616.0</v>
      </c>
      <c r="U34" s="297">
        <v>612.0</v>
      </c>
      <c r="V34" s="298"/>
      <c r="W34" s="298"/>
      <c r="X34" s="298"/>
      <c r="Y34" s="298"/>
      <c r="Z34" s="298"/>
      <c r="AA34" s="298"/>
      <c r="AB34" s="298"/>
      <c r="AC34" s="298"/>
      <c r="AD34" s="298"/>
      <c r="AE34" s="298"/>
      <c r="AF34" s="298"/>
      <c r="AG34" s="299"/>
      <c r="AJ34" t="s">
        <v>249</v>
      </c>
      <c r="AK34" t="s">
        <v>242</v>
      </c>
      <c r="AM34" t="str">
        <f t="shared" si="1"/>
        <v/>
      </c>
    </row>
    <row r="35" ht="15.75" customHeight="1">
      <c r="A35" s="296" t="s">
        <v>172</v>
      </c>
      <c r="B35" s="297" t="s">
        <v>239</v>
      </c>
      <c r="C35" s="297">
        <v>50042.0</v>
      </c>
      <c r="D35" s="297">
        <v>50187.0</v>
      </c>
      <c r="E35" s="297">
        <v>50480.0</v>
      </c>
      <c r="F35" s="297">
        <v>50863.0</v>
      </c>
      <c r="G35" s="297">
        <v>51315.0</v>
      </c>
      <c r="H35" s="297">
        <v>51844.0</v>
      </c>
      <c r="I35" s="297">
        <v>52370.0</v>
      </c>
      <c r="J35" s="297">
        <v>53392.0</v>
      </c>
      <c r="K35" s="297">
        <v>54235.0</v>
      </c>
      <c r="L35" s="297">
        <v>55255.0</v>
      </c>
      <c r="M35" s="297">
        <v>55249.0</v>
      </c>
      <c r="N35" s="297">
        <v>56104.0</v>
      </c>
      <c r="O35" s="297">
        <v>57692.0</v>
      </c>
      <c r="P35" s="297">
        <v>59480.0</v>
      </c>
      <c r="Q35" s="297">
        <v>59711.0</v>
      </c>
      <c r="R35" s="297">
        <v>59999.0</v>
      </c>
      <c r="S35" s="297">
        <v>58906.0</v>
      </c>
      <c r="T35" s="297">
        <v>57814.0</v>
      </c>
      <c r="U35" s="297">
        <v>57461.0</v>
      </c>
      <c r="V35" s="298"/>
      <c r="W35" s="298"/>
      <c r="X35" s="298"/>
      <c r="Y35" s="298"/>
      <c r="Z35" s="298"/>
      <c r="AA35" s="298"/>
      <c r="AB35" s="298"/>
      <c r="AC35" s="298"/>
      <c r="AD35" s="298"/>
      <c r="AE35" s="298"/>
      <c r="AF35" s="298"/>
      <c r="AG35" s="299"/>
      <c r="AJ35" t="s">
        <v>172</v>
      </c>
      <c r="AK35" t="s">
        <v>242</v>
      </c>
      <c r="AM35" t="str">
        <f t="shared" si="1"/>
        <v/>
      </c>
    </row>
    <row r="36" ht="15.75" customHeight="1">
      <c r="A36" s="296" t="s">
        <v>81</v>
      </c>
      <c r="B36" s="297" t="s">
        <v>239</v>
      </c>
      <c r="C36" s="297">
        <v>53474.0</v>
      </c>
      <c r="D36" s="297">
        <v>53934.0</v>
      </c>
      <c r="E36" s="297">
        <v>54332.0</v>
      </c>
      <c r="F36" s="297">
        <v>54852.0</v>
      </c>
      <c r="G36" s="297">
        <v>55693.0</v>
      </c>
      <c r="H36" s="297">
        <v>55845.0</v>
      </c>
      <c r="I36" s="297">
        <v>56468.0</v>
      </c>
      <c r="J36" s="297">
        <v>56958.0</v>
      </c>
      <c r="K36" s="297">
        <v>57829.0</v>
      </c>
      <c r="L36" s="297">
        <v>58658.0</v>
      </c>
      <c r="M36" s="297">
        <v>59884.0</v>
      </c>
      <c r="N36" s="297">
        <v>60299.0</v>
      </c>
      <c r="O36" s="297">
        <v>61555.0</v>
      </c>
      <c r="P36" s="297">
        <v>62245.0</v>
      </c>
      <c r="Q36" s="297">
        <v>62440.0</v>
      </c>
      <c r="R36" s="297">
        <v>63026.0</v>
      </c>
      <c r="S36" s="297">
        <v>63601.0</v>
      </c>
      <c r="T36" s="297">
        <v>63624.0</v>
      </c>
      <c r="U36" s="297">
        <v>63957.0</v>
      </c>
      <c r="V36" s="298"/>
      <c r="W36" s="298"/>
      <c r="X36" s="298"/>
      <c r="Y36" s="298"/>
      <c r="Z36" s="298"/>
      <c r="AA36" s="298"/>
      <c r="AB36" s="298"/>
      <c r="AC36" s="298"/>
      <c r="AD36" s="298"/>
      <c r="AE36" s="298"/>
      <c r="AF36" s="298"/>
      <c r="AG36" s="299"/>
      <c r="AJ36" t="s">
        <v>81</v>
      </c>
      <c r="AK36" t="s">
        <v>242</v>
      </c>
      <c r="AM36" t="str">
        <f t="shared" si="1"/>
        <v/>
      </c>
    </row>
    <row r="37" ht="15.75" customHeight="1">
      <c r="A37" s="296" t="s">
        <v>150</v>
      </c>
      <c r="B37" s="297" t="s">
        <v>239</v>
      </c>
      <c r="C37" s="297">
        <v>242.0</v>
      </c>
      <c r="D37" s="297">
        <v>240.0</v>
      </c>
      <c r="E37" s="297">
        <v>237.0</v>
      </c>
      <c r="F37" s="297">
        <v>232.0</v>
      </c>
      <c r="G37" s="297">
        <v>230.0</v>
      </c>
      <c r="H37" s="297">
        <v>227.0</v>
      </c>
      <c r="I37" s="297">
        <v>224.0</v>
      </c>
      <c r="J37" s="297">
        <v>221.0</v>
      </c>
      <c r="K37" s="297">
        <v>216.0</v>
      </c>
      <c r="L37" s="297">
        <v>213.0</v>
      </c>
      <c r="M37" s="297">
        <v>212.0</v>
      </c>
      <c r="N37" s="297">
        <v>213.0</v>
      </c>
      <c r="O37" s="297">
        <v>214.0</v>
      </c>
      <c r="P37" s="297">
        <v>211.0</v>
      </c>
      <c r="Q37" s="297">
        <v>212.0</v>
      </c>
      <c r="R37" s="297">
        <v>211.0</v>
      </c>
      <c r="S37" s="297">
        <v>208.0</v>
      </c>
      <c r="T37" s="297">
        <v>203.0</v>
      </c>
      <c r="U37" s="297">
        <v>202.0</v>
      </c>
      <c r="V37" s="298"/>
      <c r="W37" s="298"/>
      <c r="X37" s="298"/>
      <c r="Y37" s="298"/>
      <c r="Z37" s="298"/>
      <c r="AA37" s="298"/>
      <c r="AB37" s="298"/>
      <c r="AC37" s="298"/>
      <c r="AD37" s="298"/>
      <c r="AE37" s="298"/>
      <c r="AF37" s="298"/>
      <c r="AG37" s="299"/>
      <c r="AJ37" t="s">
        <v>150</v>
      </c>
      <c r="AK37" t="s">
        <v>242</v>
      </c>
      <c r="AM37" t="str">
        <f t="shared" si="1"/>
        <v/>
      </c>
    </row>
    <row r="38" ht="15.75" customHeight="1">
      <c r="A38" s="296" t="s">
        <v>250</v>
      </c>
      <c r="B38" s="297" t="s">
        <v>239</v>
      </c>
      <c r="C38" s="297">
        <v>118.0</v>
      </c>
      <c r="D38" s="297">
        <v>120.0</v>
      </c>
      <c r="E38" s="297">
        <v>122.0</v>
      </c>
      <c r="F38" s="297">
        <v>124.0</v>
      </c>
      <c r="G38" s="297">
        <v>125.0</v>
      </c>
      <c r="H38" s="297">
        <v>127.0</v>
      </c>
      <c r="I38" s="297">
        <v>130.0</v>
      </c>
      <c r="J38" s="297">
        <v>133.0</v>
      </c>
      <c r="K38" s="297">
        <v>137.0</v>
      </c>
      <c r="L38" s="297">
        <v>141.0</v>
      </c>
      <c r="M38" s="297">
        <v>141.0</v>
      </c>
      <c r="N38" s="297">
        <v>143.0</v>
      </c>
      <c r="O38" s="297">
        <v>142.0</v>
      </c>
      <c r="P38" s="297">
        <v>144.0</v>
      </c>
      <c r="Q38" s="297">
        <v>145.0</v>
      </c>
      <c r="R38" s="297">
        <v>144.0</v>
      </c>
      <c r="S38" s="297">
        <v>146.0</v>
      </c>
      <c r="T38" s="297">
        <v>147.0</v>
      </c>
      <c r="U38" s="297">
        <v>150.0</v>
      </c>
      <c r="V38" s="298"/>
      <c r="W38" s="298"/>
      <c r="X38" s="298"/>
      <c r="Y38" s="298"/>
      <c r="Z38" s="298"/>
      <c r="AA38" s="298"/>
      <c r="AB38" s="298"/>
      <c r="AC38" s="298"/>
      <c r="AD38" s="298"/>
      <c r="AE38" s="298"/>
      <c r="AF38" s="298"/>
      <c r="AG38" s="299"/>
      <c r="AJ38" t="s">
        <v>250</v>
      </c>
      <c r="AK38" t="s">
        <v>242</v>
      </c>
      <c r="AM38" t="str">
        <f t="shared" si="1"/>
        <v/>
      </c>
    </row>
    <row r="39" ht="15.75" customHeight="1">
      <c r="A39" s="296" t="s">
        <v>251</v>
      </c>
      <c r="B39" s="297" t="s">
        <v>239</v>
      </c>
      <c r="C39" s="297">
        <v>8957.0</v>
      </c>
      <c r="D39" s="297">
        <v>8892.0</v>
      </c>
      <c r="E39" s="297">
        <v>8893.0</v>
      </c>
      <c r="F39" s="297">
        <v>8946.0</v>
      </c>
      <c r="G39" s="297">
        <v>8949.0</v>
      </c>
      <c r="H39" s="297">
        <v>9024.0</v>
      </c>
      <c r="I39" s="297">
        <v>9140.0</v>
      </c>
      <c r="J39" s="297">
        <v>9257.0</v>
      </c>
      <c r="K39" s="297">
        <v>9366.0</v>
      </c>
      <c r="L39" s="297">
        <v>9469.0</v>
      </c>
      <c r="M39" s="297">
        <v>9541.0</v>
      </c>
      <c r="N39" s="297">
        <v>9632.0</v>
      </c>
      <c r="O39" s="297">
        <v>9745.0</v>
      </c>
      <c r="P39" s="297">
        <v>9827.0</v>
      </c>
      <c r="Q39" s="297">
        <v>9775.0</v>
      </c>
      <c r="R39" s="297">
        <v>9769.0</v>
      </c>
      <c r="S39" s="297">
        <v>9836.0</v>
      </c>
      <c r="T39" s="297">
        <v>9885.0</v>
      </c>
      <c r="U39" s="297">
        <v>9828.0</v>
      </c>
      <c r="V39" s="298"/>
      <c r="W39" s="298"/>
      <c r="X39" s="298"/>
      <c r="Y39" s="298"/>
      <c r="Z39" s="298"/>
      <c r="AA39" s="298"/>
      <c r="AB39" s="298"/>
      <c r="AC39" s="298"/>
      <c r="AD39" s="298"/>
      <c r="AE39" s="298"/>
      <c r="AF39" s="298"/>
      <c r="AG39" s="299"/>
      <c r="AJ39" t="s">
        <v>251</v>
      </c>
      <c r="AK39" t="s">
        <v>242</v>
      </c>
      <c r="AM39" t="str">
        <f t="shared" si="1"/>
        <v/>
      </c>
    </row>
    <row r="40" ht="15.75" customHeight="1">
      <c r="A40" s="296" t="s">
        <v>40</v>
      </c>
      <c r="B40" s="297" t="s">
        <v>239</v>
      </c>
      <c r="C40" s="297">
        <v>517.0</v>
      </c>
      <c r="D40" s="297">
        <v>510.0</v>
      </c>
      <c r="E40" s="297">
        <v>505.0</v>
      </c>
      <c r="F40" s="297">
        <v>504.0</v>
      </c>
      <c r="G40" s="297">
        <v>508.0</v>
      </c>
      <c r="H40" s="297">
        <v>511.0</v>
      </c>
      <c r="I40" s="297">
        <v>518.0</v>
      </c>
      <c r="J40" s="297">
        <v>527.0</v>
      </c>
      <c r="K40" s="297">
        <v>536.0</v>
      </c>
      <c r="L40" s="297">
        <v>541.0</v>
      </c>
      <c r="M40" s="297">
        <v>534.0</v>
      </c>
      <c r="N40" s="297">
        <v>528.0</v>
      </c>
      <c r="O40" s="297">
        <v>529.0</v>
      </c>
      <c r="P40" s="297">
        <v>538.0</v>
      </c>
      <c r="Q40" s="297">
        <v>546.0</v>
      </c>
      <c r="R40" s="297">
        <v>547.0</v>
      </c>
      <c r="S40" s="297">
        <v>554.0</v>
      </c>
      <c r="T40" s="297">
        <v>551.0</v>
      </c>
      <c r="U40" s="297">
        <v>548.0</v>
      </c>
      <c r="V40" s="298"/>
      <c r="W40" s="298"/>
      <c r="X40" s="298"/>
      <c r="Y40" s="298"/>
      <c r="Z40" s="298"/>
      <c r="AA40" s="298"/>
      <c r="AB40" s="298"/>
      <c r="AC40" s="298"/>
      <c r="AD40" s="298"/>
      <c r="AE40" s="298"/>
      <c r="AF40" s="298"/>
      <c r="AG40" s="299"/>
      <c r="AJ40" t="s">
        <v>40</v>
      </c>
      <c r="AK40" t="s">
        <v>242</v>
      </c>
      <c r="AM40" t="str">
        <f t="shared" si="1"/>
        <v/>
      </c>
    </row>
    <row r="41" ht="15.75" customHeight="1">
      <c r="A41" s="296" t="s">
        <v>252</v>
      </c>
      <c r="B41" s="297" t="s">
        <v>239</v>
      </c>
      <c r="C41" s="297">
        <v>564.0</v>
      </c>
      <c r="D41" s="297">
        <v>563.0</v>
      </c>
      <c r="E41" s="297">
        <v>568.0</v>
      </c>
      <c r="F41" s="297">
        <v>571.0</v>
      </c>
      <c r="G41" s="297">
        <v>588.0</v>
      </c>
      <c r="H41" s="297">
        <v>593.0</v>
      </c>
      <c r="I41" s="297">
        <v>602.0</v>
      </c>
      <c r="J41" s="297">
        <v>617.0</v>
      </c>
      <c r="K41" s="297">
        <v>628.0</v>
      </c>
      <c r="L41" s="297">
        <v>642.0</v>
      </c>
      <c r="M41" s="297">
        <v>657.0</v>
      </c>
      <c r="N41" s="297">
        <v>677.0</v>
      </c>
      <c r="O41" s="297">
        <v>693.0</v>
      </c>
      <c r="P41" s="297">
        <v>711.0</v>
      </c>
      <c r="Q41" s="297">
        <v>715.0</v>
      </c>
      <c r="R41" s="297">
        <v>735.0</v>
      </c>
      <c r="S41" s="297">
        <v>743.0</v>
      </c>
      <c r="T41" s="297">
        <v>748.0</v>
      </c>
      <c r="U41" s="297">
        <v>755.0</v>
      </c>
      <c r="V41" s="298"/>
      <c r="W41" s="298"/>
      <c r="X41" s="298"/>
      <c r="Y41" s="298"/>
      <c r="Z41" s="298"/>
      <c r="AA41" s="298"/>
      <c r="AB41" s="298"/>
      <c r="AC41" s="298"/>
      <c r="AD41" s="298"/>
      <c r="AE41" s="298"/>
      <c r="AF41" s="298"/>
      <c r="AG41" s="299"/>
      <c r="AJ41" t="s">
        <v>252</v>
      </c>
      <c r="AK41" s="300" t="s">
        <v>242</v>
      </c>
      <c r="AM41" t="str">
        <f t="shared" si="1"/>
        <v/>
      </c>
    </row>
    <row r="42" ht="15.75" customHeight="1">
      <c r="A42" s="296" t="s">
        <v>253</v>
      </c>
      <c r="B42" s="297" t="s">
        <v>239</v>
      </c>
      <c r="C42" s="297">
        <v>678.0</v>
      </c>
      <c r="D42" s="297">
        <v>680.0</v>
      </c>
      <c r="E42" s="297">
        <v>688.0</v>
      </c>
      <c r="F42" s="297">
        <v>693.0</v>
      </c>
      <c r="G42" s="297">
        <v>694.0</v>
      </c>
      <c r="H42" s="297">
        <v>699.0</v>
      </c>
      <c r="I42" s="297">
        <v>709.0</v>
      </c>
      <c r="J42" s="297">
        <v>721.0</v>
      </c>
      <c r="K42" s="297">
        <v>738.0</v>
      </c>
      <c r="L42" s="297">
        <v>753.0</v>
      </c>
      <c r="M42" s="297">
        <v>760.0</v>
      </c>
      <c r="N42" s="297">
        <v>771.0</v>
      </c>
      <c r="O42" s="297">
        <v>779.0</v>
      </c>
      <c r="P42" s="297">
        <v>783.0</v>
      </c>
      <c r="Q42" s="297">
        <v>793.0</v>
      </c>
      <c r="R42" s="297">
        <v>805.0</v>
      </c>
      <c r="S42" s="297">
        <v>821.0</v>
      </c>
      <c r="T42" s="297">
        <v>824.0</v>
      </c>
      <c r="U42" s="297">
        <v>822.0</v>
      </c>
      <c r="V42" s="298"/>
      <c r="W42" s="298"/>
      <c r="X42" s="298"/>
      <c r="Y42" s="298"/>
      <c r="Z42" s="298"/>
      <c r="AA42" s="298"/>
      <c r="AB42" s="298"/>
      <c r="AC42" s="298"/>
      <c r="AD42" s="298"/>
      <c r="AE42" s="298"/>
      <c r="AF42" s="298"/>
      <c r="AG42" s="299"/>
      <c r="AJ42" t="s">
        <v>253</v>
      </c>
      <c r="AK42" s="300" t="s">
        <v>242</v>
      </c>
      <c r="AM42" t="str">
        <f t="shared" si="1"/>
        <v/>
      </c>
    </row>
    <row r="43" ht="15.75" customHeight="1">
      <c r="A43" s="296" t="s">
        <v>254</v>
      </c>
      <c r="B43" s="297" t="s">
        <v>239</v>
      </c>
      <c r="C43" s="297">
        <v>176.0</v>
      </c>
      <c r="D43" s="297">
        <v>173.0</v>
      </c>
      <c r="E43" s="297">
        <v>172.0</v>
      </c>
      <c r="F43" s="297">
        <v>171.0</v>
      </c>
      <c r="G43" s="297">
        <v>173.0</v>
      </c>
      <c r="H43" s="297">
        <v>172.0</v>
      </c>
      <c r="I43" s="297">
        <v>172.0</v>
      </c>
      <c r="J43" s="297">
        <v>174.0</v>
      </c>
      <c r="K43" s="297">
        <v>175.0</v>
      </c>
      <c r="L43" s="297">
        <v>176.0</v>
      </c>
      <c r="M43" s="297">
        <v>178.0</v>
      </c>
      <c r="N43" s="297">
        <v>180.0</v>
      </c>
      <c r="O43" s="297">
        <v>180.0</v>
      </c>
      <c r="P43" s="297">
        <v>183.0</v>
      </c>
      <c r="Q43" s="297">
        <v>181.0</v>
      </c>
      <c r="R43" s="297">
        <v>184.0</v>
      </c>
      <c r="S43" s="297">
        <v>183.0</v>
      </c>
      <c r="T43" s="297">
        <v>185.0</v>
      </c>
      <c r="U43" s="297">
        <v>185.0</v>
      </c>
      <c r="V43" s="298"/>
      <c r="W43" s="298"/>
      <c r="X43" s="298"/>
      <c r="Y43" s="298"/>
      <c r="Z43" s="298"/>
      <c r="AA43" s="298"/>
      <c r="AB43" s="298"/>
      <c r="AC43" s="298"/>
      <c r="AD43" s="298"/>
      <c r="AE43" s="298"/>
      <c r="AF43" s="298"/>
      <c r="AG43" s="299"/>
      <c r="AJ43" t="s">
        <v>254</v>
      </c>
      <c r="AK43" s="300" t="s">
        <v>242</v>
      </c>
      <c r="AM43" t="str">
        <f t="shared" si="1"/>
        <v/>
      </c>
    </row>
    <row r="44" ht="15.75" customHeight="1">
      <c r="A44" s="296" t="s">
        <v>88</v>
      </c>
      <c r="B44" s="297" t="s">
        <v>239</v>
      </c>
      <c r="C44" s="297">
        <v>705.0</v>
      </c>
      <c r="D44" s="297">
        <v>695.0</v>
      </c>
      <c r="E44" s="297">
        <v>690.0</v>
      </c>
      <c r="F44" s="297">
        <v>689.0</v>
      </c>
      <c r="G44" s="297">
        <v>695.0</v>
      </c>
      <c r="H44" s="297">
        <v>700.0</v>
      </c>
      <c r="I44" s="297">
        <v>710.0</v>
      </c>
      <c r="J44" s="297">
        <v>723.0</v>
      </c>
      <c r="K44" s="297">
        <v>738.0</v>
      </c>
      <c r="L44" s="297">
        <v>745.0</v>
      </c>
      <c r="M44" s="297">
        <v>737.0</v>
      </c>
      <c r="N44" s="297">
        <v>734.0</v>
      </c>
      <c r="O44" s="297">
        <v>730.0</v>
      </c>
      <c r="P44" s="297">
        <v>744.0</v>
      </c>
      <c r="Q44" s="297">
        <v>754.0</v>
      </c>
      <c r="R44" s="297">
        <v>755.0</v>
      </c>
      <c r="S44" s="297">
        <v>760.0</v>
      </c>
      <c r="T44" s="297">
        <v>758.0</v>
      </c>
      <c r="U44" s="297">
        <v>754.0</v>
      </c>
      <c r="V44" s="298"/>
      <c r="W44" s="298"/>
      <c r="X44" s="298"/>
      <c r="Y44" s="298"/>
      <c r="Z44" s="298"/>
      <c r="AA44" s="298"/>
      <c r="AB44" s="298"/>
      <c r="AC44" s="298"/>
      <c r="AD44" s="298"/>
      <c r="AE44" s="298"/>
      <c r="AF44" s="298"/>
      <c r="AG44" s="299"/>
      <c r="AJ44" t="s">
        <v>88</v>
      </c>
      <c r="AK44" s="300" t="s">
        <v>242</v>
      </c>
      <c r="AM44" t="str">
        <f t="shared" si="1"/>
        <v/>
      </c>
    </row>
    <row r="45" ht="15.75" customHeight="1">
      <c r="A45" s="296" t="s">
        <v>83</v>
      </c>
      <c r="B45" s="297" t="s">
        <v>239</v>
      </c>
      <c r="C45" s="297">
        <v>85.0</v>
      </c>
      <c r="D45" s="297">
        <v>85.0</v>
      </c>
      <c r="E45" s="297">
        <v>86.0</v>
      </c>
      <c r="F45" s="297">
        <v>87.0</v>
      </c>
      <c r="G45" s="297">
        <v>87.0</v>
      </c>
      <c r="H45" s="297">
        <v>88.0</v>
      </c>
      <c r="I45" s="297">
        <v>89.0</v>
      </c>
      <c r="J45" s="297">
        <v>92.0</v>
      </c>
      <c r="K45" s="297">
        <v>95.0</v>
      </c>
      <c r="L45" s="297">
        <v>97.0</v>
      </c>
      <c r="M45" s="297">
        <v>97.0</v>
      </c>
      <c r="N45" s="297">
        <v>98.0</v>
      </c>
      <c r="O45" s="297">
        <v>97.0</v>
      </c>
      <c r="P45" s="297">
        <v>99.0</v>
      </c>
      <c r="Q45" s="297">
        <v>99.0</v>
      </c>
      <c r="R45" s="297">
        <v>98.0</v>
      </c>
      <c r="S45" s="297">
        <v>99.0</v>
      </c>
      <c r="T45" s="297">
        <v>97.0</v>
      </c>
      <c r="U45" s="297">
        <v>95.0</v>
      </c>
      <c r="V45" s="298"/>
      <c r="W45" s="298"/>
      <c r="X45" s="298"/>
      <c r="Y45" s="298"/>
      <c r="Z45" s="298"/>
      <c r="AA45" s="298"/>
      <c r="AB45" s="298"/>
      <c r="AC45" s="298"/>
      <c r="AD45" s="298"/>
      <c r="AE45" s="298"/>
      <c r="AF45" s="298"/>
      <c r="AG45" s="299"/>
      <c r="AJ45" t="s">
        <v>83</v>
      </c>
      <c r="AK45" s="300" t="s">
        <v>242</v>
      </c>
      <c r="AM45" t="str">
        <f t="shared" si="1"/>
        <v/>
      </c>
    </row>
    <row r="46" ht="15.75" customHeight="1">
      <c r="A46" s="296" t="s">
        <v>175</v>
      </c>
      <c r="B46" s="297" t="s">
        <v>239</v>
      </c>
      <c r="C46" s="297">
        <v>5316.0</v>
      </c>
      <c r="D46" s="297">
        <v>5284.0</v>
      </c>
      <c r="E46" s="297">
        <v>5374.0</v>
      </c>
      <c r="F46" s="297">
        <v>5395.0</v>
      </c>
      <c r="G46" s="297">
        <v>5449.0</v>
      </c>
      <c r="H46" s="297">
        <v>5560.0</v>
      </c>
      <c r="I46" s="297">
        <v>5654.0</v>
      </c>
      <c r="J46" s="297">
        <v>5776.0</v>
      </c>
      <c r="K46" s="297">
        <v>5960.0</v>
      </c>
      <c r="L46" s="297">
        <v>6121.0</v>
      </c>
      <c r="M46" s="297">
        <v>6114.0</v>
      </c>
      <c r="N46" s="297">
        <v>6103.0</v>
      </c>
      <c r="O46" s="297">
        <v>6282.0</v>
      </c>
      <c r="P46" s="297">
        <v>6484.0</v>
      </c>
      <c r="Q46" s="297">
        <v>6467.0</v>
      </c>
      <c r="R46" s="297">
        <v>6552.0</v>
      </c>
      <c r="S46" s="297">
        <v>6496.0</v>
      </c>
      <c r="T46" s="297">
        <v>6350.0</v>
      </c>
      <c r="U46" s="297">
        <v>6273.0</v>
      </c>
      <c r="V46" s="298"/>
      <c r="W46" s="298"/>
      <c r="X46" s="298"/>
      <c r="Y46" s="298"/>
      <c r="Z46" s="298"/>
      <c r="AA46" s="298"/>
      <c r="AB46" s="298"/>
      <c r="AC46" s="298"/>
      <c r="AD46" s="298"/>
      <c r="AE46" s="298"/>
      <c r="AF46" s="298"/>
      <c r="AG46" s="299"/>
      <c r="AJ46" t="s">
        <v>175</v>
      </c>
      <c r="AK46" s="300" t="s">
        <v>242</v>
      </c>
      <c r="AM46" t="str">
        <f t="shared" si="1"/>
        <v/>
      </c>
    </row>
    <row r="47" ht="15.75" customHeight="1">
      <c r="A47" s="296" t="s">
        <v>255</v>
      </c>
      <c r="B47" s="297" t="s">
        <v>239</v>
      </c>
      <c r="C47" s="297">
        <v>964.0</v>
      </c>
      <c r="D47" s="297">
        <v>950.0</v>
      </c>
      <c r="E47" s="297">
        <v>948.0</v>
      </c>
      <c r="F47" s="297">
        <v>940.0</v>
      </c>
      <c r="G47" s="297">
        <v>937.0</v>
      </c>
      <c r="H47" s="297">
        <v>937.0</v>
      </c>
      <c r="I47" s="297">
        <v>942.0</v>
      </c>
      <c r="J47" s="297">
        <v>950.0</v>
      </c>
      <c r="K47" s="297">
        <v>959.0</v>
      </c>
      <c r="L47" s="297">
        <v>967.0</v>
      </c>
      <c r="M47" s="297">
        <v>985.0</v>
      </c>
      <c r="N47" s="297">
        <v>998.0</v>
      </c>
      <c r="O47" s="297">
        <v>1011.0</v>
      </c>
      <c r="P47" s="297">
        <v>1006.0</v>
      </c>
      <c r="Q47" s="297">
        <v>997.0</v>
      </c>
      <c r="R47" s="297">
        <v>987.0</v>
      </c>
      <c r="S47" s="297">
        <v>984.0</v>
      </c>
      <c r="T47" s="297">
        <v>974.0</v>
      </c>
      <c r="U47" s="297">
        <v>968.0</v>
      </c>
      <c r="V47" s="298"/>
      <c r="W47" s="298"/>
      <c r="X47" s="298"/>
      <c r="Y47" s="298"/>
      <c r="Z47" s="298"/>
      <c r="AA47" s="298"/>
      <c r="AB47" s="298"/>
      <c r="AC47" s="298"/>
      <c r="AD47" s="298"/>
      <c r="AE47" s="298"/>
      <c r="AF47" s="298"/>
      <c r="AG47" s="299"/>
      <c r="AJ47" t="s">
        <v>255</v>
      </c>
      <c r="AK47" s="300" t="s">
        <v>242</v>
      </c>
      <c r="AM47" t="str">
        <f t="shared" si="1"/>
        <v/>
      </c>
    </row>
    <row r="48" ht="15.75" customHeight="1">
      <c r="A48" s="296" t="s">
        <v>256</v>
      </c>
      <c r="B48" s="297" t="s">
        <v>239</v>
      </c>
      <c r="C48" s="297">
        <v>303.0</v>
      </c>
      <c r="D48" s="297">
        <v>293.0</v>
      </c>
      <c r="E48" s="297">
        <v>287.0</v>
      </c>
      <c r="F48" s="297">
        <v>275.0</v>
      </c>
      <c r="G48" s="297">
        <v>270.0</v>
      </c>
      <c r="H48" s="297">
        <v>264.0</v>
      </c>
      <c r="I48" s="297">
        <v>261.0</v>
      </c>
      <c r="J48" s="297">
        <v>257.0</v>
      </c>
      <c r="K48" s="297">
        <v>256.0</v>
      </c>
      <c r="L48" s="297">
        <v>258.0</v>
      </c>
      <c r="M48" s="297">
        <v>254.0</v>
      </c>
      <c r="N48" s="297">
        <v>254.0</v>
      </c>
      <c r="O48" s="297">
        <v>255.0</v>
      </c>
      <c r="P48" s="297">
        <v>256.0</v>
      </c>
      <c r="Q48" s="297">
        <v>254.0</v>
      </c>
      <c r="R48" s="297">
        <v>250.0</v>
      </c>
      <c r="S48" s="297">
        <v>247.0</v>
      </c>
      <c r="T48" s="297">
        <v>249.0</v>
      </c>
      <c r="U48" s="297">
        <v>243.0</v>
      </c>
      <c r="V48" s="298"/>
      <c r="W48" s="298"/>
      <c r="X48" s="298"/>
      <c r="Y48" s="298"/>
      <c r="Z48" s="298"/>
      <c r="AA48" s="298"/>
      <c r="AB48" s="298"/>
      <c r="AC48" s="298"/>
      <c r="AD48" s="298"/>
      <c r="AE48" s="298"/>
      <c r="AF48" s="298"/>
      <c r="AG48" s="299"/>
      <c r="AJ48" t="s">
        <v>256</v>
      </c>
      <c r="AK48" s="300" t="s">
        <v>242</v>
      </c>
      <c r="AM48" t="str">
        <f t="shared" si="1"/>
        <v/>
      </c>
    </row>
    <row r="49" ht="15.75" customHeight="1">
      <c r="A49" s="296" t="s">
        <v>257</v>
      </c>
      <c r="B49" s="297" t="s">
        <v>239</v>
      </c>
      <c r="C49" s="297">
        <v>168.0</v>
      </c>
      <c r="D49" s="297">
        <v>170.0</v>
      </c>
      <c r="E49" s="297">
        <v>171.0</v>
      </c>
      <c r="F49" s="297">
        <v>173.0</v>
      </c>
      <c r="G49" s="297">
        <v>176.0</v>
      </c>
      <c r="H49" s="297">
        <v>179.0</v>
      </c>
      <c r="I49" s="297">
        <v>181.0</v>
      </c>
      <c r="J49" s="297">
        <v>186.0</v>
      </c>
      <c r="K49" s="297">
        <v>190.0</v>
      </c>
      <c r="L49" s="297">
        <v>194.0</v>
      </c>
      <c r="M49" s="297">
        <v>194.0</v>
      </c>
      <c r="N49" s="297">
        <v>194.0</v>
      </c>
      <c r="O49" s="297">
        <v>199.0</v>
      </c>
      <c r="P49" s="297">
        <v>202.0</v>
      </c>
      <c r="Q49" s="297">
        <v>202.0</v>
      </c>
      <c r="R49" s="297">
        <v>203.0</v>
      </c>
      <c r="S49" s="297">
        <v>201.0</v>
      </c>
      <c r="T49" s="297">
        <v>198.0</v>
      </c>
      <c r="U49" s="297">
        <v>201.0</v>
      </c>
      <c r="V49" s="298"/>
      <c r="W49" s="298"/>
      <c r="X49" s="298"/>
      <c r="Y49" s="298"/>
      <c r="Z49" s="298"/>
      <c r="AA49" s="298"/>
      <c r="AB49" s="298"/>
      <c r="AC49" s="298"/>
      <c r="AD49" s="298"/>
      <c r="AE49" s="298"/>
      <c r="AF49" s="298"/>
      <c r="AG49" s="299"/>
      <c r="AJ49" t="s">
        <v>257</v>
      </c>
      <c r="AK49" s="300" t="s">
        <v>242</v>
      </c>
      <c r="AM49" t="str">
        <f t="shared" si="1"/>
        <v/>
      </c>
    </row>
    <row r="50" ht="15.75" customHeight="1">
      <c r="A50" s="296" t="s">
        <v>151</v>
      </c>
      <c r="B50" s="297" t="s">
        <v>239</v>
      </c>
      <c r="C50" s="297">
        <v>192.0</v>
      </c>
      <c r="D50" s="297">
        <v>190.0</v>
      </c>
      <c r="E50" s="297">
        <v>189.0</v>
      </c>
      <c r="F50" s="297">
        <v>188.0</v>
      </c>
      <c r="G50" s="297">
        <v>187.0</v>
      </c>
      <c r="H50" s="297">
        <v>184.0</v>
      </c>
      <c r="I50" s="297">
        <v>185.0</v>
      </c>
      <c r="J50" s="297">
        <v>189.0</v>
      </c>
      <c r="K50" s="297">
        <v>191.0</v>
      </c>
      <c r="L50" s="297">
        <v>193.0</v>
      </c>
      <c r="M50" s="297">
        <v>190.0</v>
      </c>
      <c r="N50" s="297">
        <v>192.0</v>
      </c>
      <c r="O50" s="297">
        <v>193.0</v>
      </c>
      <c r="P50" s="297">
        <v>194.0</v>
      </c>
      <c r="Q50" s="297">
        <v>194.0</v>
      </c>
      <c r="R50" s="297">
        <v>193.0</v>
      </c>
      <c r="S50" s="297">
        <v>194.0</v>
      </c>
      <c r="T50" s="297">
        <v>189.0</v>
      </c>
      <c r="U50" s="297">
        <v>186.0</v>
      </c>
      <c r="V50" s="298"/>
      <c r="W50" s="298"/>
      <c r="X50" s="298"/>
      <c r="Y50" s="298"/>
      <c r="Z50" s="298"/>
      <c r="AA50" s="298"/>
      <c r="AB50" s="298"/>
      <c r="AC50" s="298"/>
      <c r="AD50" s="298"/>
      <c r="AE50" s="298"/>
      <c r="AF50" s="298"/>
      <c r="AG50" s="299"/>
      <c r="AJ50" t="s">
        <v>151</v>
      </c>
      <c r="AK50" s="300" t="s">
        <v>242</v>
      </c>
      <c r="AM50" t="str">
        <f t="shared" si="1"/>
        <v/>
      </c>
    </row>
    <row r="51" ht="15.75" customHeight="1">
      <c r="A51" s="296" t="s">
        <v>165</v>
      </c>
      <c r="B51" s="297" t="s">
        <v>239</v>
      </c>
      <c r="C51" s="297">
        <v>440.0</v>
      </c>
      <c r="D51" s="297">
        <v>435.0</v>
      </c>
      <c r="E51" s="297">
        <v>435.0</v>
      </c>
      <c r="F51" s="297">
        <v>433.0</v>
      </c>
      <c r="G51" s="297">
        <v>433.0</v>
      </c>
      <c r="H51" s="297">
        <v>428.0</v>
      </c>
      <c r="I51" s="297">
        <v>432.0</v>
      </c>
      <c r="J51" s="297">
        <v>441.0</v>
      </c>
      <c r="K51" s="297">
        <v>447.0</v>
      </c>
      <c r="L51" s="297">
        <v>453.0</v>
      </c>
      <c r="M51" s="297">
        <v>449.0</v>
      </c>
      <c r="N51" s="297">
        <v>449.0</v>
      </c>
      <c r="O51" s="297">
        <v>446.0</v>
      </c>
      <c r="P51" s="297">
        <v>448.0</v>
      </c>
      <c r="Q51" s="297">
        <v>449.0</v>
      </c>
      <c r="R51" s="297">
        <v>440.0</v>
      </c>
      <c r="S51" s="297">
        <v>445.0</v>
      </c>
      <c r="T51" s="297">
        <v>436.0</v>
      </c>
      <c r="U51" s="297">
        <v>427.0</v>
      </c>
      <c r="V51" s="298"/>
      <c r="W51" s="298"/>
      <c r="X51" s="298"/>
      <c r="Y51" s="298"/>
      <c r="Z51" s="298"/>
      <c r="AA51" s="298"/>
      <c r="AB51" s="298"/>
      <c r="AC51" s="298"/>
      <c r="AD51" s="298"/>
      <c r="AE51" s="298"/>
      <c r="AF51" s="298"/>
      <c r="AG51" s="299"/>
      <c r="AJ51" t="s">
        <v>165</v>
      </c>
      <c r="AK51" s="300" t="s">
        <v>242</v>
      </c>
      <c r="AM51" t="str">
        <f t="shared" si="1"/>
        <v/>
      </c>
    </row>
    <row r="52" ht="15.75" customHeight="1">
      <c r="A52" s="296" t="s">
        <v>41</v>
      </c>
      <c r="B52" s="297" t="s">
        <v>239</v>
      </c>
      <c r="C52" s="297">
        <v>11474.0</v>
      </c>
      <c r="D52" s="297">
        <v>11330.0</v>
      </c>
      <c r="E52" s="297">
        <v>11435.0</v>
      </c>
      <c r="F52" s="297">
        <v>11376.0</v>
      </c>
      <c r="G52" s="297">
        <v>11374.0</v>
      </c>
      <c r="H52" s="297">
        <v>11392.0</v>
      </c>
      <c r="I52" s="297">
        <v>11521.0</v>
      </c>
      <c r="J52" s="297">
        <v>11793.0</v>
      </c>
      <c r="K52" s="297">
        <v>12056.0</v>
      </c>
      <c r="L52" s="297">
        <v>12318.0</v>
      </c>
      <c r="M52" s="297">
        <v>12360.0</v>
      </c>
      <c r="N52" s="297">
        <v>12197.0</v>
      </c>
      <c r="O52" s="297">
        <v>12232.0</v>
      </c>
      <c r="P52" s="297">
        <v>12198.0</v>
      </c>
      <c r="Q52" s="297">
        <v>12117.0</v>
      </c>
      <c r="R52" s="297">
        <v>12062.0</v>
      </c>
      <c r="S52" s="297">
        <v>11994.0</v>
      </c>
      <c r="T52" s="297">
        <v>11866.0</v>
      </c>
      <c r="U52" s="297">
        <v>11704.0</v>
      </c>
      <c r="V52" s="298"/>
      <c r="W52" s="298"/>
      <c r="X52" s="298"/>
      <c r="Y52" s="298"/>
      <c r="Z52" s="298"/>
      <c r="AA52" s="298"/>
      <c r="AB52" s="298"/>
      <c r="AC52" s="298"/>
      <c r="AD52" s="298"/>
      <c r="AE52" s="298"/>
      <c r="AF52" s="298"/>
      <c r="AG52" s="299"/>
      <c r="AJ52" t="s">
        <v>41</v>
      </c>
      <c r="AK52" s="300" t="s">
        <v>242</v>
      </c>
      <c r="AM52" t="str">
        <f t="shared" si="1"/>
        <v/>
      </c>
    </row>
    <row r="53" ht="15.75" customHeight="1">
      <c r="A53" s="296" t="s">
        <v>167</v>
      </c>
      <c r="B53" s="297" t="s">
        <v>239</v>
      </c>
      <c r="C53" s="297">
        <v>2251.0</v>
      </c>
      <c r="D53" s="297">
        <v>2263.0</v>
      </c>
      <c r="E53" s="297">
        <v>2282.0</v>
      </c>
      <c r="F53" s="297">
        <v>2304.0</v>
      </c>
      <c r="G53" s="297">
        <v>2330.0</v>
      </c>
      <c r="H53" s="297">
        <v>2359.0</v>
      </c>
      <c r="I53" s="297">
        <v>2387.0</v>
      </c>
      <c r="J53" s="297">
        <v>2440.0</v>
      </c>
      <c r="K53" s="297">
        <v>2485.0</v>
      </c>
      <c r="L53" s="297">
        <v>2537.0</v>
      </c>
      <c r="M53" s="297">
        <v>2619.0</v>
      </c>
      <c r="N53" s="297">
        <v>2766.0</v>
      </c>
      <c r="O53" s="297">
        <v>2829.0</v>
      </c>
      <c r="P53" s="297">
        <v>2886.0</v>
      </c>
      <c r="Q53" s="297">
        <v>2864.0</v>
      </c>
      <c r="R53" s="297">
        <v>2969.0</v>
      </c>
      <c r="S53" s="297">
        <v>2997.0</v>
      </c>
      <c r="T53" s="297">
        <v>2950.0</v>
      </c>
      <c r="U53" s="297">
        <v>2934.0</v>
      </c>
      <c r="V53" s="298"/>
      <c r="W53" s="298"/>
      <c r="X53" s="298"/>
      <c r="Y53" s="298"/>
      <c r="Z53" s="298"/>
      <c r="AA53" s="298"/>
      <c r="AB53" s="298"/>
      <c r="AC53" s="298"/>
      <c r="AD53" s="298"/>
      <c r="AE53" s="298"/>
      <c r="AF53" s="298"/>
      <c r="AG53" s="299"/>
      <c r="AJ53" t="s">
        <v>167</v>
      </c>
      <c r="AK53" s="300" t="s">
        <v>242</v>
      </c>
      <c r="AM53" t="str">
        <f t="shared" si="1"/>
        <v/>
      </c>
    </row>
    <row r="54" ht="15.75" customHeight="1">
      <c r="A54" s="296" t="s">
        <v>152</v>
      </c>
      <c r="B54" s="297" t="s">
        <v>239</v>
      </c>
      <c r="C54" s="297">
        <v>243.0</v>
      </c>
      <c r="D54" s="297">
        <v>238.0</v>
      </c>
      <c r="E54" s="297">
        <v>234.0</v>
      </c>
      <c r="F54" s="297">
        <v>231.0</v>
      </c>
      <c r="G54" s="297">
        <v>231.0</v>
      </c>
      <c r="H54" s="297">
        <v>228.0</v>
      </c>
      <c r="I54" s="297">
        <v>227.0</v>
      </c>
      <c r="J54" s="297">
        <v>225.0</v>
      </c>
      <c r="K54" s="297">
        <v>225.0</v>
      </c>
      <c r="L54" s="297">
        <v>227.0</v>
      </c>
      <c r="M54" s="297">
        <v>231.0</v>
      </c>
      <c r="N54" s="297">
        <v>234.0</v>
      </c>
      <c r="O54" s="297">
        <v>234.0</v>
      </c>
      <c r="P54" s="297">
        <v>232.0</v>
      </c>
      <c r="Q54" s="297">
        <v>232.0</v>
      </c>
      <c r="R54" s="297">
        <v>231.0</v>
      </c>
      <c r="S54" s="297">
        <v>229.0</v>
      </c>
      <c r="T54" s="297">
        <v>229.0</v>
      </c>
      <c r="U54" s="297">
        <v>232.0</v>
      </c>
      <c r="V54" s="298"/>
      <c r="W54" s="298"/>
      <c r="X54" s="298"/>
      <c r="Y54" s="298"/>
      <c r="Z54" s="298"/>
      <c r="AA54" s="298"/>
      <c r="AB54" s="298"/>
      <c r="AC54" s="298"/>
      <c r="AD54" s="298"/>
      <c r="AE54" s="298"/>
      <c r="AF54" s="298"/>
      <c r="AG54" s="299"/>
      <c r="AJ54" t="s">
        <v>152</v>
      </c>
      <c r="AK54" s="300" t="s">
        <v>242</v>
      </c>
      <c r="AM54" t="str">
        <f t="shared" si="1"/>
        <v/>
      </c>
    </row>
    <row r="55" ht="15.75" customHeight="1">
      <c r="A55" s="296" t="s">
        <v>258</v>
      </c>
      <c r="B55" s="297" t="s">
        <v>239</v>
      </c>
      <c r="C55" s="297">
        <v>204.0</v>
      </c>
      <c r="D55" s="297">
        <v>196.0</v>
      </c>
      <c r="E55" s="297">
        <v>189.0</v>
      </c>
      <c r="F55" s="297">
        <v>183.0</v>
      </c>
      <c r="G55" s="297">
        <v>181.0</v>
      </c>
      <c r="H55" s="297">
        <v>175.0</v>
      </c>
      <c r="I55" s="297">
        <v>170.0</v>
      </c>
      <c r="J55" s="297">
        <v>167.0</v>
      </c>
      <c r="K55" s="297">
        <v>163.0</v>
      </c>
      <c r="L55" s="297">
        <v>160.0</v>
      </c>
      <c r="M55" s="297">
        <v>157.0</v>
      </c>
      <c r="N55" s="297">
        <v>157.0</v>
      </c>
      <c r="O55" s="297">
        <v>157.0</v>
      </c>
      <c r="P55" s="297">
        <v>161.0</v>
      </c>
      <c r="Q55" s="297">
        <v>159.0</v>
      </c>
      <c r="R55" s="297">
        <v>159.0</v>
      </c>
      <c r="S55" s="297">
        <v>159.0</v>
      </c>
      <c r="T55" s="297">
        <v>158.0</v>
      </c>
      <c r="U55" s="297">
        <v>158.0</v>
      </c>
      <c r="V55" s="298"/>
      <c r="W55" s="298"/>
      <c r="X55" s="298"/>
      <c r="Y55" s="298"/>
      <c r="Z55" s="298"/>
      <c r="AA55" s="298"/>
      <c r="AB55" s="298"/>
      <c r="AC55" s="298"/>
      <c r="AD55" s="298"/>
      <c r="AE55" s="298"/>
      <c r="AF55" s="298"/>
      <c r="AG55" s="299"/>
      <c r="AJ55" t="s">
        <v>258</v>
      </c>
      <c r="AK55" s="300" t="s">
        <v>242</v>
      </c>
      <c r="AM55" t="str">
        <f t="shared" si="1"/>
        <v/>
      </c>
    </row>
    <row r="56" ht="15.75" customHeight="1">
      <c r="A56" s="296" t="s">
        <v>135</v>
      </c>
      <c r="B56" s="297" t="s">
        <v>239</v>
      </c>
      <c r="C56" s="297">
        <v>20939.0</v>
      </c>
      <c r="D56" s="297">
        <v>21449.0</v>
      </c>
      <c r="E56" s="297">
        <v>22435.0</v>
      </c>
      <c r="F56" s="297">
        <v>22742.0</v>
      </c>
      <c r="G56" s="297">
        <v>23002.0</v>
      </c>
      <c r="H56" s="297">
        <v>23670.0</v>
      </c>
      <c r="I56" s="297">
        <v>24728.0</v>
      </c>
      <c r="J56" s="297">
        <v>26128.0</v>
      </c>
      <c r="K56" s="297">
        <v>26931.0</v>
      </c>
      <c r="L56" s="297">
        <v>28742.0</v>
      </c>
      <c r="M56" s="297">
        <v>29947.0</v>
      </c>
      <c r="N56" s="297">
        <v>30392.0</v>
      </c>
      <c r="O56" s="297">
        <v>31378.0</v>
      </c>
      <c r="P56" s="297">
        <v>31637.0</v>
      </c>
      <c r="Q56" s="297">
        <v>31820.0</v>
      </c>
      <c r="R56" s="297">
        <v>32611.0</v>
      </c>
      <c r="S56" s="297">
        <v>32290.0</v>
      </c>
      <c r="T56" s="297">
        <v>30560.0</v>
      </c>
      <c r="U56" s="297">
        <v>31903.0</v>
      </c>
      <c r="V56" s="298"/>
      <c r="W56" s="298"/>
      <c r="X56" s="298"/>
      <c r="Y56" s="298"/>
      <c r="Z56" s="298"/>
      <c r="AA56" s="298"/>
      <c r="AB56" s="298"/>
      <c r="AC56" s="298"/>
      <c r="AD56" s="298"/>
      <c r="AE56" s="298"/>
      <c r="AF56" s="298"/>
      <c r="AG56" s="299"/>
      <c r="AJ56" t="s">
        <v>135</v>
      </c>
      <c r="AK56" s="300" t="s">
        <v>242</v>
      </c>
      <c r="AM56" t="str">
        <f t="shared" si="1"/>
        <v/>
      </c>
    </row>
    <row r="57" ht="15.75" customHeight="1">
      <c r="A57" s="296" t="s">
        <v>153</v>
      </c>
      <c r="B57" s="297" t="s">
        <v>239</v>
      </c>
      <c r="C57" s="297">
        <v>230.0</v>
      </c>
      <c r="D57" s="297">
        <v>229.0</v>
      </c>
      <c r="E57" s="297">
        <v>227.0</v>
      </c>
      <c r="F57" s="297">
        <v>222.0</v>
      </c>
      <c r="G57" s="297">
        <v>221.0</v>
      </c>
      <c r="H57" s="297">
        <v>217.0</v>
      </c>
      <c r="I57" s="297">
        <v>215.0</v>
      </c>
      <c r="J57" s="297">
        <v>212.0</v>
      </c>
      <c r="K57" s="297">
        <v>208.0</v>
      </c>
      <c r="L57" s="297">
        <v>205.0</v>
      </c>
      <c r="M57" s="297">
        <v>205.0</v>
      </c>
      <c r="N57" s="297">
        <v>206.0</v>
      </c>
      <c r="O57" s="297">
        <v>207.0</v>
      </c>
      <c r="P57" s="297">
        <v>206.0</v>
      </c>
      <c r="Q57" s="297">
        <v>208.0</v>
      </c>
      <c r="R57" s="297">
        <v>209.0</v>
      </c>
      <c r="S57" s="297">
        <v>206.0</v>
      </c>
      <c r="T57" s="297">
        <v>204.0</v>
      </c>
      <c r="U57" s="297">
        <v>205.0</v>
      </c>
      <c r="V57" s="298"/>
      <c r="W57" s="298"/>
      <c r="X57" s="298"/>
      <c r="Y57" s="298"/>
      <c r="Z57" s="298"/>
      <c r="AA57" s="298"/>
      <c r="AB57" s="298"/>
      <c r="AC57" s="298"/>
      <c r="AD57" s="298"/>
      <c r="AE57" s="298"/>
      <c r="AF57" s="298"/>
      <c r="AG57" s="299"/>
      <c r="AJ57" t="s">
        <v>153</v>
      </c>
      <c r="AK57" s="300" t="s">
        <v>242</v>
      </c>
      <c r="AM57" t="str">
        <f t="shared" si="1"/>
        <v/>
      </c>
    </row>
    <row r="58" ht="15.75" customHeight="1">
      <c r="A58" s="296" t="s">
        <v>154</v>
      </c>
      <c r="B58" s="297" t="s">
        <v>239</v>
      </c>
      <c r="C58" s="297">
        <v>2257.0</v>
      </c>
      <c r="D58" s="297">
        <v>2239.0</v>
      </c>
      <c r="E58" s="297">
        <v>2275.0</v>
      </c>
      <c r="F58" s="297">
        <v>2281.0</v>
      </c>
      <c r="G58" s="297">
        <v>2303.0</v>
      </c>
      <c r="H58" s="297">
        <v>2348.0</v>
      </c>
      <c r="I58" s="297">
        <v>2385.0</v>
      </c>
      <c r="J58" s="297">
        <v>2436.0</v>
      </c>
      <c r="K58" s="297">
        <v>2513.0</v>
      </c>
      <c r="L58" s="297">
        <v>2577.0</v>
      </c>
      <c r="M58" s="297">
        <v>2646.0</v>
      </c>
      <c r="N58" s="297">
        <v>2622.0</v>
      </c>
      <c r="O58" s="297">
        <v>2660.0</v>
      </c>
      <c r="P58" s="297">
        <v>2716.0</v>
      </c>
      <c r="Q58" s="297">
        <v>2676.0</v>
      </c>
      <c r="R58" s="297">
        <v>2685.0</v>
      </c>
      <c r="S58" s="297">
        <v>2649.0</v>
      </c>
      <c r="T58" s="297">
        <v>2591.0</v>
      </c>
      <c r="U58" s="297">
        <v>2554.0</v>
      </c>
      <c r="V58" s="298"/>
      <c r="W58" s="298"/>
      <c r="X58" s="298"/>
      <c r="Y58" s="298"/>
      <c r="Z58" s="298"/>
      <c r="AA58" s="298"/>
      <c r="AB58" s="298"/>
      <c r="AC58" s="298"/>
      <c r="AD58" s="298"/>
      <c r="AE58" s="298"/>
      <c r="AF58" s="298"/>
      <c r="AG58" s="299"/>
      <c r="AJ58" t="s">
        <v>154</v>
      </c>
      <c r="AK58" s="300" t="s">
        <v>242</v>
      </c>
      <c r="AM58" t="str">
        <f t="shared" si="1"/>
        <v/>
      </c>
    </row>
    <row r="59" ht="15.75" customHeight="1">
      <c r="A59" s="296" t="s">
        <v>84</v>
      </c>
      <c r="B59" s="297" t="s">
        <v>239</v>
      </c>
      <c r="C59" s="297">
        <v>145.0</v>
      </c>
      <c r="D59" s="297">
        <v>139.0</v>
      </c>
      <c r="E59" s="297">
        <v>139.0</v>
      </c>
      <c r="F59" s="297">
        <v>136.0</v>
      </c>
      <c r="G59" s="297">
        <v>135.0</v>
      </c>
      <c r="H59" s="297">
        <v>135.0</v>
      </c>
      <c r="I59" s="297">
        <v>136.0</v>
      </c>
      <c r="J59" s="297">
        <v>139.0</v>
      </c>
      <c r="K59" s="297">
        <v>139.0</v>
      </c>
      <c r="L59" s="297">
        <v>142.0</v>
      </c>
      <c r="M59" s="297">
        <v>138.0</v>
      </c>
      <c r="N59" s="297">
        <v>138.0</v>
      </c>
      <c r="O59" s="297">
        <v>142.0</v>
      </c>
      <c r="P59" s="297">
        <v>142.0</v>
      </c>
      <c r="Q59" s="297">
        <v>140.0</v>
      </c>
      <c r="R59" s="297">
        <v>138.0</v>
      </c>
      <c r="S59" s="297">
        <v>136.0</v>
      </c>
      <c r="T59" s="297">
        <v>133.0</v>
      </c>
      <c r="U59" s="297">
        <v>131.0</v>
      </c>
      <c r="V59" s="298"/>
      <c r="W59" s="298"/>
      <c r="X59" s="298"/>
      <c r="Y59" s="298"/>
      <c r="Z59" s="298"/>
      <c r="AA59" s="298"/>
      <c r="AB59" s="298"/>
      <c r="AC59" s="298"/>
      <c r="AD59" s="298"/>
      <c r="AE59" s="298"/>
      <c r="AF59" s="298"/>
      <c r="AG59" s="299"/>
      <c r="AJ59" t="s">
        <v>84</v>
      </c>
      <c r="AK59" s="300" t="s">
        <v>242</v>
      </c>
      <c r="AM59" t="str">
        <f t="shared" si="1"/>
        <v/>
      </c>
    </row>
    <row r="60" ht="15.75" customHeight="1">
      <c r="A60" s="296" t="s">
        <v>95</v>
      </c>
      <c r="B60" s="297" t="s">
        <v>239</v>
      </c>
      <c r="C60" s="297">
        <v>11745.0</v>
      </c>
      <c r="D60" s="297">
        <v>11423.0</v>
      </c>
      <c r="E60" s="297">
        <v>11470.0</v>
      </c>
      <c r="F60" s="297">
        <v>11366.0</v>
      </c>
      <c r="G60" s="297">
        <v>11428.0</v>
      </c>
      <c r="H60" s="297">
        <v>11532.0</v>
      </c>
      <c r="I60" s="297">
        <v>11728.0</v>
      </c>
      <c r="J60" s="297">
        <v>12130.0</v>
      </c>
      <c r="K60" s="297">
        <v>12282.0</v>
      </c>
      <c r="L60" s="297">
        <v>12691.0</v>
      </c>
      <c r="M60" s="297">
        <v>12396.0</v>
      </c>
      <c r="N60" s="297">
        <v>12442.0</v>
      </c>
      <c r="O60" s="297">
        <v>12709.0</v>
      </c>
      <c r="P60" s="297">
        <v>12652.0</v>
      </c>
      <c r="Q60" s="297">
        <v>12584.0</v>
      </c>
      <c r="R60" s="297">
        <v>12428.0</v>
      </c>
      <c r="S60" s="297">
        <v>12255.0</v>
      </c>
      <c r="T60" s="297">
        <v>12070.0</v>
      </c>
      <c r="U60" s="297">
        <v>11978.0</v>
      </c>
      <c r="V60" s="298"/>
      <c r="W60" s="298"/>
      <c r="X60" s="298"/>
      <c r="Y60" s="298"/>
      <c r="Z60" s="298"/>
      <c r="AA60" s="298"/>
      <c r="AB60" s="298"/>
      <c r="AC60" s="298"/>
      <c r="AD60" s="298"/>
      <c r="AE60" s="298"/>
      <c r="AF60" s="298"/>
      <c r="AG60" s="299"/>
      <c r="AJ60" t="s">
        <v>95</v>
      </c>
      <c r="AK60" s="300" t="s">
        <v>242</v>
      </c>
      <c r="AM60" t="str">
        <f t="shared" si="1"/>
        <v/>
      </c>
    </row>
    <row r="61" ht="15.75" customHeight="1">
      <c r="A61" s="296" t="s">
        <v>259</v>
      </c>
      <c r="B61" s="297" t="s">
        <v>239</v>
      </c>
      <c r="C61" s="297">
        <v>1815.0</v>
      </c>
      <c r="D61" s="297">
        <v>1784.0</v>
      </c>
      <c r="E61" s="297">
        <v>1775.0</v>
      </c>
      <c r="F61" s="297">
        <v>1761.0</v>
      </c>
      <c r="G61" s="297">
        <v>1785.0</v>
      </c>
      <c r="H61" s="297">
        <v>1779.0</v>
      </c>
      <c r="I61" s="297">
        <v>1781.0</v>
      </c>
      <c r="J61" s="297">
        <v>1800.0</v>
      </c>
      <c r="K61" s="297">
        <v>1810.0</v>
      </c>
      <c r="L61" s="297">
        <v>1828.0</v>
      </c>
      <c r="M61" s="297">
        <v>1845.0</v>
      </c>
      <c r="N61" s="297">
        <v>1849.0</v>
      </c>
      <c r="O61" s="297">
        <v>1852.0</v>
      </c>
      <c r="P61" s="297">
        <v>1878.0</v>
      </c>
      <c r="Q61" s="297">
        <v>1862.0</v>
      </c>
      <c r="R61" s="297">
        <v>1874.0</v>
      </c>
      <c r="S61" s="297">
        <v>1869.0</v>
      </c>
      <c r="T61" s="297">
        <v>1862.0</v>
      </c>
      <c r="U61" s="297">
        <v>1856.0</v>
      </c>
      <c r="V61" s="298"/>
      <c r="W61" s="298"/>
      <c r="X61" s="298"/>
      <c r="Y61" s="298"/>
      <c r="Z61" s="298"/>
      <c r="AA61" s="298"/>
      <c r="AB61" s="298"/>
      <c r="AC61" s="298"/>
      <c r="AD61" s="298"/>
      <c r="AE61" s="298"/>
      <c r="AF61" s="298"/>
      <c r="AG61" s="299"/>
      <c r="AJ61" t="s">
        <v>259</v>
      </c>
      <c r="AK61" s="300" t="s">
        <v>242</v>
      </c>
      <c r="AM61" t="str">
        <f t="shared" si="1"/>
        <v/>
      </c>
    </row>
    <row r="62" ht="15.75" customHeight="1">
      <c r="A62" s="296" t="s">
        <v>155</v>
      </c>
      <c r="B62" s="297" t="s">
        <v>239</v>
      </c>
      <c r="C62" s="297">
        <v>1141.0</v>
      </c>
      <c r="D62" s="297">
        <v>1147.0</v>
      </c>
      <c r="E62" s="297">
        <v>1149.0</v>
      </c>
      <c r="F62" s="297">
        <v>1141.0</v>
      </c>
      <c r="G62" s="297">
        <v>1148.0</v>
      </c>
      <c r="H62" s="297">
        <v>1143.0</v>
      </c>
      <c r="I62" s="297">
        <v>1146.0</v>
      </c>
      <c r="J62" s="297">
        <v>1146.0</v>
      </c>
      <c r="K62" s="297">
        <v>1139.0</v>
      </c>
      <c r="L62" s="297">
        <v>1138.0</v>
      </c>
      <c r="M62" s="297">
        <v>1148.0</v>
      </c>
      <c r="N62" s="297">
        <v>1163.0</v>
      </c>
      <c r="O62" s="297">
        <v>1169.0</v>
      </c>
      <c r="P62" s="297">
        <v>1180.0</v>
      </c>
      <c r="Q62" s="297">
        <v>1192.0</v>
      </c>
      <c r="R62" s="297">
        <v>1197.0</v>
      </c>
      <c r="S62" s="297">
        <v>1174.0</v>
      </c>
      <c r="T62" s="297">
        <v>1151.0</v>
      </c>
      <c r="U62" s="297">
        <v>1148.0</v>
      </c>
      <c r="V62" s="298"/>
      <c r="W62" s="298"/>
      <c r="X62" s="298"/>
      <c r="Y62" s="298"/>
      <c r="Z62" s="298"/>
      <c r="AA62" s="298"/>
      <c r="AB62" s="298"/>
      <c r="AC62" s="298"/>
      <c r="AD62" s="298"/>
      <c r="AE62" s="298"/>
      <c r="AF62" s="298"/>
      <c r="AG62" s="299"/>
      <c r="AJ62" t="s">
        <v>155</v>
      </c>
      <c r="AK62" s="300" t="s">
        <v>242</v>
      </c>
      <c r="AM62" t="str">
        <f t="shared" si="1"/>
        <v/>
      </c>
    </row>
    <row r="63" ht="15.75" customHeight="1">
      <c r="A63" s="296" t="s">
        <v>168</v>
      </c>
      <c r="B63" s="297" t="s">
        <v>239</v>
      </c>
      <c r="C63" s="297">
        <v>874.0</v>
      </c>
      <c r="D63" s="297">
        <v>859.0</v>
      </c>
      <c r="E63" s="297">
        <v>854.0</v>
      </c>
      <c r="F63" s="297">
        <v>844.0</v>
      </c>
      <c r="G63" s="297">
        <v>838.0</v>
      </c>
      <c r="H63" s="297">
        <v>824.0</v>
      </c>
      <c r="I63" s="297">
        <v>826.0</v>
      </c>
      <c r="J63" s="297">
        <v>839.0</v>
      </c>
      <c r="K63" s="297">
        <v>845.0</v>
      </c>
      <c r="L63" s="297">
        <v>850.0</v>
      </c>
      <c r="M63" s="297">
        <v>839.0</v>
      </c>
      <c r="N63" s="297">
        <v>837.0</v>
      </c>
      <c r="O63" s="297">
        <v>830.0</v>
      </c>
      <c r="P63" s="297">
        <v>833.0</v>
      </c>
      <c r="Q63" s="297">
        <v>833.0</v>
      </c>
      <c r="R63" s="297">
        <v>816.0</v>
      </c>
      <c r="S63" s="297">
        <v>819.0</v>
      </c>
      <c r="T63" s="297">
        <v>793.0</v>
      </c>
      <c r="U63" s="297">
        <v>774.0</v>
      </c>
      <c r="V63" s="298"/>
      <c r="W63" s="298"/>
      <c r="X63" s="298"/>
      <c r="Y63" s="298"/>
      <c r="Z63" s="298"/>
      <c r="AA63" s="298"/>
      <c r="AB63" s="298"/>
      <c r="AC63" s="298"/>
      <c r="AD63" s="298"/>
      <c r="AE63" s="298"/>
      <c r="AF63" s="298"/>
      <c r="AG63" s="299"/>
      <c r="AJ63" t="s">
        <v>168</v>
      </c>
      <c r="AK63" s="300" t="s">
        <v>242</v>
      </c>
      <c r="AM63" t="str">
        <f t="shared" si="1"/>
        <v/>
      </c>
    </row>
    <row r="64" ht="15.75" customHeight="1">
      <c r="A64" s="296" t="s">
        <v>156</v>
      </c>
      <c r="B64" s="297" t="s">
        <v>239</v>
      </c>
      <c r="C64" s="297">
        <v>75.0</v>
      </c>
      <c r="D64" s="297">
        <v>74.0</v>
      </c>
      <c r="E64" s="297">
        <v>73.0</v>
      </c>
      <c r="F64" s="297">
        <v>71.0</v>
      </c>
      <c r="G64" s="297">
        <v>70.0</v>
      </c>
      <c r="H64" s="297">
        <v>68.0</v>
      </c>
      <c r="I64" s="297">
        <v>67.0</v>
      </c>
      <c r="J64" s="297">
        <v>66.0</v>
      </c>
      <c r="K64" s="297">
        <v>64.0</v>
      </c>
      <c r="L64" s="297">
        <v>63.0</v>
      </c>
      <c r="M64" s="297">
        <v>62.0</v>
      </c>
      <c r="N64" s="297">
        <v>62.0</v>
      </c>
      <c r="O64" s="297">
        <v>62.0</v>
      </c>
      <c r="P64" s="297">
        <v>63.0</v>
      </c>
      <c r="Q64" s="297">
        <v>63.0</v>
      </c>
      <c r="R64" s="297">
        <v>63.0</v>
      </c>
      <c r="S64" s="297">
        <v>62.0</v>
      </c>
      <c r="T64" s="297">
        <v>61.0</v>
      </c>
      <c r="U64" s="297">
        <v>61.0</v>
      </c>
      <c r="V64" s="298"/>
      <c r="W64" s="298"/>
      <c r="X64" s="298"/>
      <c r="Y64" s="298"/>
      <c r="Z64" s="298"/>
      <c r="AA64" s="298"/>
      <c r="AB64" s="298"/>
      <c r="AC64" s="298"/>
      <c r="AD64" s="298"/>
      <c r="AE64" s="298"/>
      <c r="AF64" s="298"/>
      <c r="AG64" s="299"/>
      <c r="AJ64" t="s">
        <v>156</v>
      </c>
      <c r="AK64" s="300" t="s">
        <v>242</v>
      </c>
      <c r="AM64" t="str">
        <f t="shared" si="1"/>
        <v/>
      </c>
    </row>
    <row r="65" ht="15.75" customHeight="1">
      <c r="A65" s="296" t="s">
        <v>260</v>
      </c>
      <c r="B65" s="297" t="s">
        <v>239</v>
      </c>
      <c r="C65" s="297">
        <v>403.0</v>
      </c>
      <c r="D65" s="297">
        <v>403.0</v>
      </c>
      <c r="E65" s="297">
        <v>407.0</v>
      </c>
      <c r="F65" s="297">
        <v>409.0</v>
      </c>
      <c r="G65" s="297">
        <v>412.0</v>
      </c>
      <c r="H65" s="297">
        <v>418.0</v>
      </c>
      <c r="I65" s="297">
        <v>425.0</v>
      </c>
      <c r="J65" s="297">
        <v>434.0</v>
      </c>
      <c r="K65" s="297">
        <v>443.0</v>
      </c>
      <c r="L65" s="297">
        <v>452.0</v>
      </c>
      <c r="M65" s="297">
        <v>462.0</v>
      </c>
      <c r="N65" s="297">
        <v>465.0</v>
      </c>
      <c r="O65" s="297">
        <v>470.0</v>
      </c>
      <c r="P65" s="297">
        <v>469.0</v>
      </c>
      <c r="Q65" s="297">
        <v>464.0</v>
      </c>
      <c r="R65" s="297">
        <v>459.0</v>
      </c>
      <c r="S65" s="297">
        <v>457.0</v>
      </c>
      <c r="T65" s="297">
        <v>452.0</v>
      </c>
      <c r="U65" s="297">
        <v>448.0</v>
      </c>
      <c r="V65" s="298"/>
      <c r="W65" s="298"/>
      <c r="X65" s="298"/>
      <c r="Y65" s="298"/>
      <c r="Z65" s="298"/>
      <c r="AA65" s="298"/>
      <c r="AB65" s="298"/>
      <c r="AC65" s="298"/>
      <c r="AD65" s="298"/>
      <c r="AE65" s="298"/>
      <c r="AF65" s="298"/>
      <c r="AG65" s="299"/>
      <c r="AJ65" t="s">
        <v>260</v>
      </c>
      <c r="AK65" s="300" t="s">
        <v>242</v>
      </c>
      <c r="AM65" t="str">
        <f t="shared" si="1"/>
        <v/>
      </c>
    </row>
    <row r="66" ht="15.75" customHeight="1">
      <c r="A66" s="296" t="s">
        <v>136</v>
      </c>
      <c r="B66" s="297" t="s">
        <v>239</v>
      </c>
      <c r="C66" s="297">
        <v>449.0</v>
      </c>
      <c r="D66" s="297">
        <v>424.0</v>
      </c>
      <c r="E66" s="297">
        <v>420.0</v>
      </c>
      <c r="F66" s="297">
        <v>409.0</v>
      </c>
      <c r="G66" s="297">
        <v>400.0</v>
      </c>
      <c r="H66" s="297">
        <v>394.0</v>
      </c>
      <c r="I66" s="297">
        <v>387.0</v>
      </c>
      <c r="J66" s="297">
        <v>394.0</v>
      </c>
      <c r="K66" s="297">
        <v>392.0</v>
      </c>
      <c r="L66" s="297">
        <v>387.0</v>
      </c>
      <c r="M66" s="297">
        <v>385.0</v>
      </c>
      <c r="N66" s="297">
        <v>385.0</v>
      </c>
      <c r="O66" s="297">
        <v>390.0</v>
      </c>
      <c r="P66" s="297">
        <v>397.0</v>
      </c>
      <c r="Q66" s="297">
        <v>401.0</v>
      </c>
      <c r="R66" s="297">
        <v>411.0</v>
      </c>
      <c r="S66" s="297">
        <v>414.0</v>
      </c>
      <c r="T66" s="297">
        <v>416.0</v>
      </c>
      <c r="U66" s="297">
        <v>419.0</v>
      </c>
      <c r="V66" s="298"/>
      <c r="W66" s="298"/>
      <c r="X66" s="298"/>
      <c r="Y66" s="298"/>
      <c r="Z66" s="298"/>
      <c r="AA66" s="298"/>
      <c r="AB66" s="298"/>
      <c r="AC66" s="298"/>
      <c r="AD66" s="298"/>
      <c r="AE66" s="298"/>
      <c r="AF66" s="298"/>
      <c r="AG66" s="299"/>
      <c r="AJ66" t="s">
        <v>136</v>
      </c>
      <c r="AK66" s="300" t="s">
        <v>242</v>
      </c>
      <c r="AM66" t="str">
        <f t="shared" si="1"/>
        <v/>
      </c>
    </row>
    <row r="67" ht="15.75" customHeight="1">
      <c r="A67" s="296" t="s">
        <v>261</v>
      </c>
      <c r="B67" s="297" t="s">
        <v>239</v>
      </c>
      <c r="C67" s="297">
        <v>8737.0</v>
      </c>
      <c r="D67" s="297">
        <v>8810.0</v>
      </c>
      <c r="E67" s="297">
        <v>8842.0</v>
      </c>
      <c r="F67" s="297">
        <v>8897.0</v>
      </c>
      <c r="G67" s="297">
        <v>9030.0</v>
      </c>
      <c r="H67" s="297">
        <v>9055.0</v>
      </c>
      <c r="I67" s="297">
        <v>9181.0</v>
      </c>
      <c r="J67" s="297">
        <v>9340.0</v>
      </c>
      <c r="K67" s="297">
        <v>9524.0</v>
      </c>
      <c r="L67" s="297">
        <v>9585.0</v>
      </c>
      <c r="M67" s="297">
        <v>9609.0</v>
      </c>
      <c r="N67" s="297">
        <v>9707.0</v>
      </c>
      <c r="O67" s="297">
        <v>9857.0</v>
      </c>
      <c r="P67" s="297">
        <v>10154.0</v>
      </c>
      <c r="Q67" s="297">
        <v>10388.0</v>
      </c>
      <c r="R67" s="297">
        <v>10473.0</v>
      </c>
      <c r="S67" s="297">
        <v>10539.0</v>
      </c>
      <c r="T67" s="297">
        <v>10532.0</v>
      </c>
      <c r="U67" s="297">
        <v>10429.0</v>
      </c>
      <c r="V67" s="298"/>
      <c r="W67" s="298"/>
      <c r="X67" s="298"/>
      <c r="Y67" s="298"/>
      <c r="Z67" s="298"/>
      <c r="AA67" s="298"/>
      <c r="AB67" s="298"/>
      <c r="AC67" s="298"/>
      <c r="AD67" s="298"/>
      <c r="AE67" s="298"/>
      <c r="AF67" s="298"/>
      <c r="AG67" s="299"/>
      <c r="AJ67" t="s">
        <v>261</v>
      </c>
      <c r="AK67" s="300" t="s">
        <v>242</v>
      </c>
      <c r="AM67" t="str">
        <f t="shared" si="1"/>
        <v/>
      </c>
    </row>
    <row r="68" ht="15.75" customHeight="1">
      <c r="A68" s="296" t="s">
        <v>262</v>
      </c>
      <c r="B68" s="297" t="s">
        <v>239</v>
      </c>
      <c r="C68" s="297">
        <v>242.0</v>
      </c>
      <c r="D68" s="297">
        <v>241.0</v>
      </c>
      <c r="E68" s="297">
        <v>245.0</v>
      </c>
      <c r="F68" s="297">
        <v>246.0</v>
      </c>
      <c r="G68" s="297">
        <v>246.0</v>
      </c>
      <c r="H68" s="297">
        <v>247.0</v>
      </c>
      <c r="I68" s="297">
        <v>248.0</v>
      </c>
      <c r="J68" s="297">
        <v>257.0</v>
      </c>
      <c r="K68" s="297">
        <v>264.0</v>
      </c>
      <c r="L68" s="297">
        <v>265.0</v>
      </c>
      <c r="M68" s="297">
        <v>264.0</v>
      </c>
      <c r="N68" s="297">
        <v>265.0</v>
      </c>
      <c r="O68" s="297">
        <v>264.0</v>
      </c>
      <c r="P68" s="297">
        <v>266.0</v>
      </c>
      <c r="Q68" s="297">
        <v>265.0</v>
      </c>
      <c r="R68" s="297">
        <v>268.0</v>
      </c>
      <c r="S68" s="297">
        <v>270.0</v>
      </c>
      <c r="T68" s="297">
        <v>269.0</v>
      </c>
      <c r="U68" s="297">
        <v>274.0</v>
      </c>
      <c r="V68" s="298"/>
      <c r="W68" s="298"/>
      <c r="X68" s="298"/>
      <c r="Y68" s="298"/>
      <c r="Z68" s="298"/>
      <c r="AA68" s="298"/>
      <c r="AB68" s="298"/>
      <c r="AC68" s="298"/>
      <c r="AD68" s="298"/>
      <c r="AE68" s="298"/>
      <c r="AF68" s="298"/>
      <c r="AG68" s="299"/>
      <c r="AJ68" t="s">
        <v>262</v>
      </c>
      <c r="AK68" s="300" t="s">
        <v>242</v>
      </c>
      <c r="AM68" t="str">
        <f t="shared" si="1"/>
        <v/>
      </c>
    </row>
    <row r="69" ht="15.75" customHeight="1">
      <c r="A69" s="296" t="s">
        <v>85</v>
      </c>
      <c r="B69" s="297" t="s">
        <v>239</v>
      </c>
      <c r="C69" s="297">
        <v>2657.0</v>
      </c>
      <c r="D69" s="297">
        <v>2608.0</v>
      </c>
      <c r="E69" s="297">
        <v>2575.0</v>
      </c>
      <c r="F69" s="297">
        <v>2561.0</v>
      </c>
      <c r="G69" s="297">
        <v>2574.0</v>
      </c>
      <c r="H69" s="297">
        <v>2579.0</v>
      </c>
      <c r="I69" s="297">
        <v>2603.0</v>
      </c>
      <c r="J69" s="297">
        <v>2640.0</v>
      </c>
      <c r="K69" s="297">
        <v>2679.0</v>
      </c>
      <c r="L69" s="297">
        <v>2692.0</v>
      </c>
      <c r="M69" s="297">
        <v>2650.0</v>
      </c>
      <c r="N69" s="297">
        <v>2639.0</v>
      </c>
      <c r="O69" s="297">
        <v>2629.0</v>
      </c>
      <c r="P69" s="297">
        <v>2687.0</v>
      </c>
      <c r="Q69" s="297">
        <v>2726.0</v>
      </c>
      <c r="R69" s="297">
        <v>2732.0</v>
      </c>
      <c r="S69" s="297">
        <v>2757.0</v>
      </c>
      <c r="T69" s="297">
        <v>2747.0</v>
      </c>
      <c r="U69" s="297">
        <v>2734.0</v>
      </c>
      <c r="V69" s="298"/>
      <c r="W69" s="298"/>
      <c r="X69" s="298"/>
      <c r="Y69" s="298"/>
      <c r="Z69" s="298"/>
      <c r="AA69" s="298"/>
      <c r="AB69" s="298"/>
      <c r="AC69" s="298"/>
      <c r="AD69" s="298"/>
      <c r="AE69" s="298"/>
      <c r="AF69" s="298"/>
      <c r="AG69" s="299"/>
      <c r="AJ69" t="s">
        <v>85</v>
      </c>
      <c r="AK69" s="300" t="s">
        <v>242</v>
      </c>
      <c r="AM69" t="str">
        <f t="shared" si="1"/>
        <v/>
      </c>
    </row>
    <row r="70" ht="15.75" customHeight="1">
      <c r="A70" s="296" t="s">
        <v>263</v>
      </c>
      <c r="B70" s="297" t="s">
        <v>239</v>
      </c>
      <c r="C70" s="297">
        <v>66.0</v>
      </c>
      <c r="D70" s="297">
        <v>68.0</v>
      </c>
      <c r="E70" s="297">
        <v>70.0</v>
      </c>
      <c r="F70" s="297">
        <v>71.0</v>
      </c>
      <c r="G70" s="297">
        <v>74.0</v>
      </c>
      <c r="H70" s="297">
        <v>76.0</v>
      </c>
      <c r="I70" s="297">
        <v>79.0</v>
      </c>
      <c r="J70" s="297">
        <v>82.0</v>
      </c>
      <c r="K70" s="297">
        <v>85.0</v>
      </c>
      <c r="L70" s="297">
        <v>90.0</v>
      </c>
      <c r="M70" s="297">
        <v>92.0</v>
      </c>
      <c r="N70" s="297">
        <v>92.0</v>
      </c>
      <c r="O70" s="297">
        <v>92.0</v>
      </c>
      <c r="P70" s="297">
        <v>92.0</v>
      </c>
      <c r="Q70" s="297">
        <v>91.0</v>
      </c>
      <c r="R70" s="297">
        <v>90.0</v>
      </c>
      <c r="S70" s="297">
        <v>89.0</v>
      </c>
      <c r="T70" s="297">
        <v>90.0</v>
      </c>
      <c r="U70" s="297">
        <v>87.0</v>
      </c>
      <c r="V70" s="298"/>
      <c r="W70" s="298"/>
      <c r="X70" s="298"/>
      <c r="Y70" s="298"/>
      <c r="Z70" s="298"/>
      <c r="AA70" s="298"/>
      <c r="AB70" s="298"/>
      <c r="AC70" s="298"/>
      <c r="AD70" s="298"/>
      <c r="AE70" s="298"/>
      <c r="AF70" s="298"/>
      <c r="AG70" s="299"/>
      <c r="AJ70" t="s">
        <v>263</v>
      </c>
      <c r="AK70" s="300" t="s">
        <v>242</v>
      </c>
      <c r="AM70" t="str">
        <f t="shared" si="1"/>
        <v/>
      </c>
    </row>
    <row r="71" ht="15.75" customHeight="1">
      <c r="A71" s="296" t="s">
        <v>90</v>
      </c>
      <c r="B71" s="297" t="s">
        <v>239</v>
      </c>
      <c r="C71" s="297">
        <v>464.0</v>
      </c>
      <c r="D71" s="297">
        <v>464.0</v>
      </c>
      <c r="E71" s="297">
        <v>467.0</v>
      </c>
      <c r="F71" s="297">
        <v>473.0</v>
      </c>
      <c r="G71" s="297">
        <v>484.0</v>
      </c>
      <c r="H71" s="297">
        <v>494.0</v>
      </c>
      <c r="I71" s="297">
        <v>507.0</v>
      </c>
      <c r="J71" s="297">
        <v>523.0</v>
      </c>
      <c r="K71" s="297">
        <v>540.0</v>
      </c>
      <c r="L71" s="297">
        <v>552.0</v>
      </c>
      <c r="M71" s="297">
        <v>552.0</v>
      </c>
      <c r="N71" s="297">
        <v>546.0</v>
      </c>
      <c r="O71" s="297">
        <v>543.0</v>
      </c>
      <c r="P71" s="297">
        <v>553.0</v>
      </c>
      <c r="Q71" s="297">
        <v>560.0</v>
      </c>
      <c r="R71" s="297">
        <v>561.0</v>
      </c>
      <c r="S71" s="297">
        <v>565.0</v>
      </c>
      <c r="T71" s="297">
        <v>562.0</v>
      </c>
      <c r="U71" s="297">
        <v>561.0</v>
      </c>
      <c r="V71" s="298"/>
      <c r="W71" s="298"/>
      <c r="X71" s="298"/>
      <c r="Y71" s="298"/>
      <c r="Z71" s="298"/>
      <c r="AA71" s="298"/>
      <c r="AB71" s="298"/>
      <c r="AC71" s="298"/>
      <c r="AD71" s="298"/>
      <c r="AE71" s="298"/>
      <c r="AF71" s="298"/>
      <c r="AG71" s="299"/>
      <c r="AJ71" t="s">
        <v>90</v>
      </c>
      <c r="AK71" s="300" t="s">
        <v>242</v>
      </c>
      <c r="AM71" t="str">
        <f t="shared" si="1"/>
        <v/>
      </c>
    </row>
    <row r="72" ht="15.75" customHeight="1">
      <c r="A72" s="296" t="s">
        <v>157</v>
      </c>
      <c r="B72" s="297" t="s">
        <v>239</v>
      </c>
      <c r="C72" s="297">
        <v>344.0</v>
      </c>
      <c r="D72" s="297">
        <v>352.0</v>
      </c>
      <c r="E72" s="297">
        <v>359.0</v>
      </c>
      <c r="F72" s="297">
        <v>366.0</v>
      </c>
      <c r="G72" s="297">
        <v>377.0</v>
      </c>
      <c r="H72" s="297">
        <v>381.0</v>
      </c>
      <c r="I72" s="297">
        <v>393.0</v>
      </c>
      <c r="J72" s="297">
        <v>410.0</v>
      </c>
      <c r="K72" s="297">
        <v>423.0</v>
      </c>
      <c r="L72" s="297">
        <v>434.0</v>
      </c>
      <c r="M72" s="297">
        <v>450.0</v>
      </c>
      <c r="N72" s="297">
        <v>454.0</v>
      </c>
      <c r="O72" s="297">
        <v>455.0</v>
      </c>
      <c r="P72" s="297">
        <v>452.0</v>
      </c>
      <c r="Q72" s="297">
        <v>453.0</v>
      </c>
      <c r="R72" s="297">
        <v>450.0</v>
      </c>
      <c r="S72" s="297">
        <v>445.0</v>
      </c>
      <c r="T72" s="297">
        <v>445.0</v>
      </c>
      <c r="U72" s="297">
        <v>444.0</v>
      </c>
      <c r="V72" s="298"/>
      <c r="W72" s="298"/>
      <c r="X72" s="298"/>
      <c r="Y72" s="298"/>
      <c r="Z72" s="298"/>
      <c r="AA72" s="298"/>
      <c r="AB72" s="298"/>
      <c r="AC72" s="298"/>
      <c r="AD72" s="298"/>
      <c r="AE72" s="298"/>
      <c r="AF72" s="298"/>
      <c r="AG72" s="299"/>
      <c r="AJ72" t="s">
        <v>157</v>
      </c>
      <c r="AK72" s="300" t="s">
        <v>242</v>
      </c>
      <c r="AM72" t="str">
        <f t="shared" si="1"/>
        <v/>
      </c>
    </row>
    <row r="73" ht="15.75" customHeight="1">
      <c r="A73" s="296" t="s">
        <v>264</v>
      </c>
      <c r="B73" s="297" t="s">
        <v>239</v>
      </c>
      <c r="C73" s="297">
        <v>6919.0</v>
      </c>
      <c r="D73" s="297">
        <v>6867.0</v>
      </c>
      <c r="E73" s="297">
        <v>6894.0</v>
      </c>
      <c r="F73" s="297">
        <v>6896.0</v>
      </c>
      <c r="G73" s="297">
        <v>6917.0</v>
      </c>
      <c r="H73" s="297">
        <v>6984.0</v>
      </c>
      <c r="I73" s="297">
        <v>7064.0</v>
      </c>
      <c r="J73" s="297">
        <v>7177.0</v>
      </c>
      <c r="K73" s="297">
        <v>7301.0</v>
      </c>
      <c r="L73" s="297">
        <v>7425.0</v>
      </c>
      <c r="M73" s="297">
        <v>7615.0</v>
      </c>
      <c r="N73" s="297">
        <v>7678.0</v>
      </c>
      <c r="O73" s="297">
        <v>7772.0</v>
      </c>
      <c r="P73" s="297">
        <v>7800.0</v>
      </c>
      <c r="Q73" s="297">
        <v>7731.0</v>
      </c>
      <c r="R73" s="297">
        <v>7654.0</v>
      </c>
      <c r="S73" s="297">
        <v>7628.0</v>
      </c>
      <c r="T73" s="297">
        <v>7551.0</v>
      </c>
      <c r="U73" s="297">
        <v>7503.0</v>
      </c>
      <c r="V73" s="298"/>
      <c r="W73" s="298"/>
      <c r="X73" s="298"/>
      <c r="Y73" s="298"/>
      <c r="Z73" s="298"/>
      <c r="AA73" s="298"/>
      <c r="AB73" s="298"/>
      <c r="AC73" s="298"/>
      <c r="AD73" s="298"/>
      <c r="AE73" s="298"/>
      <c r="AF73" s="298"/>
      <c r="AG73" s="299"/>
      <c r="AJ73" t="s">
        <v>264</v>
      </c>
      <c r="AK73" s="300" t="s">
        <v>242</v>
      </c>
      <c r="AM73" t="str">
        <f t="shared" si="1"/>
        <v/>
      </c>
    </row>
    <row r="74" ht="15.75" customHeight="1">
      <c r="A74" s="296" t="s">
        <v>241</v>
      </c>
      <c r="B74" s="297" t="s">
        <v>239</v>
      </c>
      <c r="C74" s="297">
        <v>27226.0</v>
      </c>
      <c r="D74" s="297">
        <v>27613.0</v>
      </c>
      <c r="E74" s="297">
        <v>27820.0</v>
      </c>
      <c r="F74" s="297">
        <v>28165.0</v>
      </c>
      <c r="G74" s="297">
        <v>28553.0</v>
      </c>
      <c r="H74" s="297">
        <v>28593.0</v>
      </c>
      <c r="I74" s="297">
        <v>28872.0</v>
      </c>
      <c r="J74" s="297">
        <v>28780.0</v>
      </c>
      <c r="K74" s="297">
        <v>29441.0</v>
      </c>
      <c r="L74" s="297">
        <v>30354.0</v>
      </c>
      <c r="M74" s="297">
        <v>30925.0</v>
      </c>
      <c r="N74" s="297">
        <v>31290.0</v>
      </c>
      <c r="O74" s="297">
        <v>31701.0</v>
      </c>
      <c r="P74" s="297">
        <v>31898.0</v>
      </c>
      <c r="Q74" s="297">
        <v>32022.0</v>
      </c>
      <c r="R74" s="297">
        <v>32190.0</v>
      </c>
      <c r="S74" s="297">
        <v>32068.0</v>
      </c>
      <c r="T74" s="297">
        <v>32306.0</v>
      </c>
      <c r="U74" s="297">
        <v>32473.0</v>
      </c>
      <c r="V74" s="298"/>
      <c r="W74" s="298"/>
      <c r="X74" s="298"/>
      <c r="Y74" s="298"/>
      <c r="Z74" s="298"/>
      <c r="AA74" s="298"/>
      <c r="AB74" s="298"/>
      <c r="AC74" s="298"/>
      <c r="AD74" s="298"/>
      <c r="AE74" s="298"/>
      <c r="AF74" s="298"/>
      <c r="AG74" s="299"/>
      <c r="AJ74" t="s">
        <v>241</v>
      </c>
      <c r="AK74" s="300" t="s">
        <v>242</v>
      </c>
      <c r="AM74" t="str">
        <f t="shared" si="1"/>
        <v/>
      </c>
    </row>
    <row r="75" ht="15.75" customHeight="1">
      <c r="A75" s="296" t="s">
        <v>158</v>
      </c>
      <c r="B75" s="297" t="s">
        <v>239</v>
      </c>
      <c r="C75" s="297">
        <v>512.0</v>
      </c>
      <c r="D75" s="297">
        <v>501.0</v>
      </c>
      <c r="E75" s="297">
        <v>489.0</v>
      </c>
      <c r="F75" s="297">
        <v>482.0</v>
      </c>
      <c r="G75" s="297">
        <v>479.0</v>
      </c>
      <c r="H75" s="297">
        <v>473.0</v>
      </c>
      <c r="I75" s="297">
        <v>468.0</v>
      </c>
      <c r="J75" s="297">
        <v>463.0</v>
      </c>
      <c r="K75" s="297">
        <v>462.0</v>
      </c>
      <c r="L75" s="297">
        <v>463.0</v>
      </c>
      <c r="M75" s="297">
        <v>471.0</v>
      </c>
      <c r="N75" s="297">
        <v>476.0</v>
      </c>
      <c r="O75" s="297">
        <v>477.0</v>
      </c>
      <c r="P75" s="297">
        <v>472.0</v>
      </c>
      <c r="Q75" s="297">
        <v>472.0</v>
      </c>
      <c r="R75" s="297">
        <v>470.0</v>
      </c>
      <c r="S75" s="297">
        <v>462.0</v>
      </c>
      <c r="T75" s="297">
        <v>463.0</v>
      </c>
      <c r="U75" s="297">
        <v>462.0</v>
      </c>
      <c r="V75" s="298"/>
      <c r="W75" s="298"/>
      <c r="X75" s="298"/>
      <c r="Y75" s="298"/>
      <c r="Z75" s="298"/>
      <c r="AA75" s="298"/>
      <c r="AB75" s="298"/>
      <c r="AC75" s="298"/>
      <c r="AD75" s="298"/>
      <c r="AE75" s="298"/>
      <c r="AF75" s="298"/>
      <c r="AG75" s="299"/>
      <c r="AJ75" t="s">
        <v>158</v>
      </c>
      <c r="AK75" s="300" t="s">
        <v>242</v>
      </c>
      <c r="AM75" t="str">
        <f t="shared" si="1"/>
        <v/>
      </c>
    </row>
    <row r="76" ht="15.75" customHeight="1">
      <c r="A76" s="296" t="s">
        <v>265</v>
      </c>
      <c r="B76" s="297" t="s">
        <v>239</v>
      </c>
      <c r="C76" s="297">
        <v>1.0</v>
      </c>
      <c r="D76" s="297">
        <v>1.0</v>
      </c>
      <c r="E76" s="297">
        <v>2.0</v>
      </c>
      <c r="F76" s="297">
        <v>2.0</v>
      </c>
      <c r="G76" s="297">
        <v>2.0</v>
      </c>
      <c r="H76" s="297">
        <v>2.0</v>
      </c>
      <c r="I76" s="297">
        <v>3.0</v>
      </c>
      <c r="J76" s="297">
        <v>3.0</v>
      </c>
      <c r="K76" s="297">
        <v>3.0</v>
      </c>
      <c r="L76" s="297">
        <v>4.0</v>
      </c>
      <c r="M76" s="297">
        <v>4.0</v>
      </c>
      <c r="N76" s="297">
        <v>4.0</v>
      </c>
      <c r="O76" s="297">
        <v>4.0</v>
      </c>
      <c r="P76" s="297">
        <v>4.0</v>
      </c>
      <c r="Q76" s="297">
        <v>4.0</v>
      </c>
      <c r="R76" s="297">
        <v>4.0</v>
      </c>
      <c r="S76" s="297">
        <v>4.0</v>
      </c>
      <c r="T76" s="297">
        <v>4.0</v>
      </c>
      <c r="U76" s="297">
        <v>4.0</v>
      </c>
      <c r="V76" s="298"/>
      <c r="W76" s="298"/>
      <c r="X76" s="298"/>
      <c r="Y76" s="298"/>
      <c r="Z76" s="298"/>
      <c r="AA76" s="298"/>
      <c r="AB76" s="298"/>
      <c r="AC76" s="298"/>
      <c r="AD76" s="298"/>
      <c r="AE76" s="298"/>
      <c r="AF76" s="298"/>
      <c r="AG76" s="299"/>
      <c r="AJ76" t="s">
        <v>265</v>
      </c>
      <c r="AK76" s="300" t="s">
        <v>242</v>
      </c>
      <c r="AM76" t="str">
        <f t="shared" si="1"/>
        <v/>
      </c>
    </row>
    <row r="77" ht="15.75" customHeight="1">
      <c r="A77" s="296" t="s">
        <v>266</v>
      </c>
      <c r="B77" s="297" t="s">
        <v>239</v>
      </c>
      <c r="C77" s="297">
        <v>2350.0</v>
      </c>
      <c r="D77" s="297">
        <v>2306.0</v>
      </c>
      <c r="E77" s="297">
        <v>2290.0</v>
      </c>
      <c r="F77" s="297">
        <v>2269.0</v>
      </c>
      <c r="G77" s="297">
        <v>2296.0</v>
      </c>
      <c r="H77" s="297">
        <v>2284.0</v>
      </c>
      <c r="I77" s="297">
        <v>2286.0</v>
      </c>
      <c r="J77" s="297">
        <v>2307.0</v>
      </c>
      <c r="K77" s="297">
        <v>2317.0</v>
      </c>
      <c r="L77" s="297">
        <v>2337.0</v>
      </c>
      <c r="M77" s="297">
        <v>2360.0</v>
      </c>
      <c r="N77" s="297">
        <v>2367.0</v>
      </c>
      <c r="O77" s="297">
        <v>2372.0</v>
      </c>
      <c r="P77" s="297">
        <v>2404.0</v>
      </c>
      <c r="Q77" s="297">
        <v>2387.0</v>
      </c>
      <c r="R77" s="297">
        <v>2403.0</v>
      </c>
      <c r="S77" s="297">
        <v>2403.0</v>
      </c>
      <c r="T77" s="297">
        <v>2393.0</v>
      </c>
      <c r="U77" s="297">
        <v>2386.0</v>
      </c>
      <c r="V77" s="298"/>
      <c r="W77" s="298"/>
      <c r="X77" s="298"/>
      <c r="Y77" s="298"/>
      <c r="Z77" s="298"/>
      <c r="AA77" s="298"/>
      <c r="AB77" s="298"/>
      <c r="AC77" s="298"/>
      <c r="AD77" s="298"/>
      <c r="AE77" s="298"/>
      <c r="AF77" s="298"/>
      <c r="AG77" s="299"/>
      <c r="AJ77" t="s">
        <v>266</v>
      </c>
      <c r="AK77" s="300" t="s">
        <v>242</v>
      </c>
      <c r="AM77" t="str">
        <f t="shared" si="1"/>
        <v/>
      </c>
    </row>
    <row r="78" ht="15.75" customHeight="1">
      <c r="A78" s="296" t="s">
        <v>137</v>
      </c>
      <c r="B78" s="297" t="s">
        <v>239</v>
      </c>
      <c r="C78" s="297">
        <v>1445.0</v>
      </c>
      <c r="D78" s="297">
        <v>1419.0</v>
      </c>
      <c r="E78" s="297">
        <v>1383.0</v>
      </c>
      <c r="F78" s="297">
        <v>1387.0</v>
      </c>
      <c r="G78" s="297">
        <v>1418.0</v>
      </c>
      <c r="H78" s="297">
        <v>1419.0</v>
      </c>
      <c r="I78" s="297">
        <v>1435.0</v>
      </c>
      <c r="J78" s="297">
        <v>1509.0</v>
      </c>
      <c r="K78" s="297">
        <v>1541.0</v>
      </c>
      <c r="L78" s="297">
        <v>1558.0</v>
      </c>
      <c r="M78" s="297">
        <v>1572.0</v>
      </c>
      <c r="N78" s="297">
        <v>1569.0</v>
      </c>
      <c r="O78" s="297">
        <v>1576.0</v>
      </c>
      <c r="P78" s="297">
        <v>1624.0</v>
      </c>
      <c r="Q78" s="297">
        <v>1593.0</v>
      </c>
      <c r="R78" s="297">
        <v>1598.0</v>
      </c>
      <c r="S78" s="297">
        <v>1583.0</v>
      </c>
      <c r="T78" s="297">
        <v>1543.0</v>
      </c>
      <c r="U78" s="297">
        <v>1541.0</v>
      </c>
      <c r="V78" s="298"/>
      <c r="W78" s="298"/>
      <c r="X78" s="298"/>
      <c r="Y78" s="298"/>
      <c r="Z78" s="298"/>
      <c r="AA78" s="298"/>
      <c r="AB78" s="298"/>
      <c r="AC78" s="298"/>
      <c r="AD78" s="298"/>
      <c r="AE78" s="298"/>
      <c r="AF78" s="298"/>
      <c r="AG78" s="299"/>
      <c r="AJ78" t="s">
        <v>137</v>
      </c>
      <c r="AK78" s="300" t="s">
        <v>242</v>
      </c>
      <c r="AM78" t="str">
        <f t="shared" si="1"/>
        <v/>
      </c>
    </row>
    <row r="79" ht="15.75" customHeight="1">
      <c r="A79" s="296" t="s">
        <v>110</v>
      </c>
      <c r="B79" s="297" t="s">
        <v>239</v>
      </c>
      <c r="C79" s="297">
        <v>1965.0</v>
      </c>
      <c r="D79" s="297">
        <v>1940.0</v>
      </c>
      <c r="E79" s="297">
        <v>1958.0</v>
      </c>
      <c r="F79" s="297">
        <v>1948.0</v>
      </c>
      <c r="G79" s="297">
        <v>1947.0</v>
      </c>
      <c r="H79" s="297">
        <v>1950.0</v>
      </c>
      <c r="I79" s="297">
        <v>1973.0</v>
      </c>
      <c r="J79" s="297">
        <v>2020.0</v>
      </c>
      <c r="K79" s="297">
        <v>2064.0</v>
      </c>
      <c r="L79" s="297">
        <v>2109.0</v>
      </c>
      <c r="M79" s="297">
        <v>2101.0</v>
      </c>
      <c r="N79" s="297">
        <v>2086.0</v>
      </c>
      <c r="O79" s="297">
        <v>2095.0</v>
      </c>
      <c r="P79" s="297">
        <v>2092.0</v>
      </c>
      <c r="Q79" s="297">
        <v>2081.0</v>
      </c>
      <c r="R79" s="297">
        <v>2081.0</v>
      </c>
      <c r="S79" s="297">
        <v>2080.0</v>
      </c>
      <c r="T79" s="297">
        <v>2067.0</v>
      </c>
      <c r="U79" s="297">
        <v>2065.0</v>
      </c>
      <c r="V79" s="298"/>
      <c r="W79" s="298"/>
      <c r="X79" s="298"/>
      <c r="Y79" s="298"/>
      <c r="Z79" s="298"/>
      <c r="AA79" s="298"/>
      <c r="AB79" s="298"/>
      <c r="AC79" s="298"/>
      <c r="AD79" s="298"/>
      <c r="AE79" s="298"/>
      <c r="AF79" s="298"/>
      <c r="AG79" s="299"/>
      <c r="AJ79" t="s">
        <v>110</v>
      </c>
      <c r="AK79" s="300" t="s">
        <v>242</v>
      </c>
      <c r="AM79" t="str">
        <f t="shared" si="1"/>
        <v/>
      </c>
    </row>
    <row r="80" ht="15.75" customHeight="1">
      <c r="A80" s="296" t="s">
        <v>267</v>
      </c>
      <c r="B80" s="297" t="s">
        <v>239</v>
      </c>
      <c r="C80" s="297">
        <v>105.0</v>
      </c>
      <c r="D80" s="297">
        <v>104.0</v>
      </c>
      <c r="E80" s="297">
        <v>104.0</v>
      </c>
      <c r="F80" s="297">
        <v>104.0</v>
      </c>
      <c r="G80" s="297">
        <v>106.0</v>
      </c>
      <c r="H80" s="297">
        <v>106.0</v>
      </c>
      <c r="I80" s="297">
        <v>107.0</v>
      </c>
      <c r="J80" s="297">
        <v>109.0</v>
      </c>
      <c r="K80" s="297">
        <v>110.0</v>
      </c>
      <c r="L80" s="297">
        <v>112.0</v>
      </c>
      <c r="M80" s="297">
        <v>114.0</v>
      </c>
      <c r="N80" s="297">
        <v>114.0</v>
      </c>
      <c r="O80" s="297">
        <v>114.0</v>
      </c>
      <c r="P80" s="297">
        <v>118.0</v>
      </c>
      <c r="Q80" s="297">
        <v>116.0</v>
      </c>
      <c r="R80" s="297">
        <v>117.0</v>
      </c>
      <c r="S80" s="297">
        <v>117.0</v>
      </c>
      <c r="T80" s="297">
        <v>116.0</v>
      </c>
      <c r="U80" s="297">
        <v>116.0</v>
      </c>
      <c r="V80" s="298"/>
      <c r="W80" s="298"/>
      <c r="X80" s="298"/>
      <c r="Y80" s="298"/>
      <c r="Z80" s="298"/>
      <c r="AA80" s="298"/>
      <c r="AB80" s="298"/>
      <c r="AC80" s="298"/>
      <c r="AD80" s="298"/>
      <c r="AE80" s="298"/>
      <c r="AF80" s="298"/>
      <c r="AG80" s="299"/>
      <c r="AJ80" t="s">
        <v>267</v>
      </c>
      <c r="AK80" s="300" t="s">
        <v>242</v>
      </c>
      <c r="AM80" t="str">
        <f t="shared" si="1"/>
        <v/>
      </c>
    </row>
    <row r="81" ht="15.75" customHeight="1">
      <c r="A81" s="296" t="s">
        <v>138</v>
      </c>
      <c r="B81" s="297" t="s">
        <v>239</v>
      </c>
      <c r="C81" s="297">
        <v>101.0</v>
      </c>
      <c r="D81" s="297">
        <v>100.0</v>
      </c>
      <c r="E81" s="297">
        <v>96.0</v>
      </c>
      <c r="F81" s="297">
        <v>94.0</v>
      </c>
      <c r="G81" s="297">
        <v>95.0</v>
      </c>
      <c r="H81" s="297">
        <v>94.0</v>
      </c>
      <c r="I81" s="297">
        <v>93.0</v>
      </c>
      <c r="J81" s="297">
        <v>94.0</v>
      </c>
      <c r="K81" s="297">
        <v>96.0</v>
      </c>
      <c r="L81" s="297">
        <v>95.0</v>
      </c>
      <c r="M81" s="297">
        <v>95.0</v>
      </c>
      <c r="N81" s="297">
        <v>95.0</v>
      </c>
      <c r="O81" s="297">
        <v>93.0</v>
      </c>
      <c r="P81" s="297">
        <v>95.0</v>
      </c>
      <c r="Q81" s="297">
        <v>93.0</v>
      </c>
      <c r="R81" s="297">
        <v>93.0</v>
      </c>
      <c r="S81" s="297">
        <v>92.0</v>
      </c>
      <c r="T81" s="297">
        <v>88.0</v>
      </c>
      <c r="U81" s="297">
        <v>88.0</v>
      </c>
      <c r="V81" s="298"/>
      <c r="W81" s="298"/>
      <c r="X81" s="298"/>
      <c r="Y81" s="298"/>
      <c r="Z81" s="298"/>
      <c r="AA81" s="298"/>
      <c r="AB81" s="298"/>
      <c r="AC81" s="298"/>
      <c r="AD81" s="298"/>
      <c r="AE81" s="298"/>
      <c r="AF81" s="298"/>
      <c r="AG81" s="299"/>
      <c r="AJ81" t="s">
        <v>138</v>
      </c>
      <c r="AK81" s="300" t="s">
        <v>242</v>
      </c>
      <c r="AM81" t="str">
        <f t="shared" si="1"/>
        <v/>
      </c>
    </row>
    <row r="82" ht="15.75" customHeight="1">
      <c r="A82" s="296" t="s">
        <v>97</v>
      </c>
      <c r="B82" s="297" t="s">
        <v>239</v>
      </c>
      <c r="C82" s="297">
        <v>780.0</v>
      </c>
      <c r="D82" s="297">
        <v>764.0</v>
      </c>
      <c r="E82" s="297">
        <v>788.0</v>
      </c>
      <c r="F82" s="297">
        <v>804.0</v>
      </c>
      <c r="G82" s="297">
        <v>832.0</v>
      </c>
      <c r="H82" s="297">
        <v>865.0</v>
      </c>
      <c r="I82" s="297">
        <v>899.0</v>
      </c>
      <c r="J82" s="297">
        <v>978.0</v>
      </c>
      <c r="K82" s="297">
        <v>1037.0</v>
      </c>
      <c r="L82" s="297">
        <v>1093.0</v>
      </c>
      <c r="M82" s="297">
        <v>1112.0</v>
      </c>
      <c r="N82" s="297">
        <v>1103.0</v>
      </c>
      <c r="O82" s="297">
        <v>1158.0</v>
      </c>
      <c r="P82" s="297">
        <v>1125.0</v>
      </c>
      <c r="Q82" s="297">
        <v>1164.0</v>
      </c>
      <c r="R82" s="297">
        <v>1149.0</v>
      </c>
      <c r="S82" s="297">
        <v>1139.0</v>
      </c>
      <c r="T82" s="297">
        <v>1111.0</v>
      </c>
      <c r="U82" s="297">
        <v>1111.0</v>
      </c>
      <c r="V82" s="298"/>
      <c r="W82" s="298"/>
      <c r="X82" s="298"/>
      <c r="Y82" s="298"/>
      <c r="Z82" s="298"/>
      <c r="AA82" s="298"/>
      <c r="AB82" s="298"/>
      <c r="AC82" s="298"/>
      <c r="AD82" s="298"/>
      <c r="AE82" s="298"/>
      <c r="AF82" s="298"/>
      <c r="AG82" s="299"/>
      <c r="AJ82" t="s">
        <v>97</v>
      </c>
      <c r="AK82" s="300" t="s">
        <v>242</v>
      </c>
      <c r="AM82" t="str">
        <f t="shared" si="1"/>
        <v/>
      </c>
    </row>
    <row r="83" ht="15.75" customHeight="1">
      <c r="A83" s="296" t="s">
        <v>159</v>
      </c>
      <c r="B83" s="297" t="s">
        <v>239</v>
      </c>
      <c r="C83" s="297">
        <v>273.0</v>
      </c>
      <c r="D83" s="297">
        <v>271.0</v>
      </c>
      <c r="E83" s="297">
        <v>271.0</v>
      </c>
      <c r="F83" s="297">
        <v>270.0</v>
      </c>
      <c r="G83" s="297">
        <v>270.0</v>
      </c>
      <c r="H83" s="297">
        <v>268.0</v>
      </c>
      <c r="I83" s="297">
        <v>271.0</v>
      </c>
      <c r="J83" s="297">
        <v>277.0</v>
      </c>
      <c r="K83" s="297">
        <v>282.0</v>
      </c>
      <c r="L83" s="297">
        <v>285.0</v>
      </c>
      <c r="M83" s="297">
        <v>283.0</v>
      </c>
      <c r="N83" s="297">
        <v>282.0</v>
      </c>
      <c r="O83" s="297">
        <v>280.0</v>
      </c>
      <c r="P83" s="297">
        <v>281.0</v>
      </c>
      <c r="Q83" s="297">
        <v>281.0</v>
      </c>
      <c r="R83" s="297">
        <v>275.0</v>
      </c>
      <c r="S83" s="297">
        <v>275.0</v>
      </c>
      <c r="T83" s="297">
        <v>267.0</v>
      </c>
      <c r="U83" s="297">
        <v>261.0</v>
      </c>
      <c r="V83" s="298"/>
      <c r="W83" s="298"/>
      <c r="X83" s="298"/>
      <c r="Y83" s="298"/>
      <c r="Z83" s="298"/>
      <c r="AA83" s="298"/>
      <c r="AB83" s="298"/>
      <c r="AC83" s="298"/>
      <c r="AD83" s="298"/>
      <c r="AE83" s="298"/>
      <c r="AF83" s="298"/>
      <c r="AG83" s="299"/>
      <c r="AJ83" t="s">
        <v>159</v>
      </c>
      <c r="AK83" s="300" t="s">
        <v>242</v>
      </c>
      <c r="AM83" t="str">
        <f t="shared" si="1"/>
        <v/>
      </c>
    </row>
    <row r="84" ht="15.75" customHeight="1">
      <c r="A84" s="296" t="s">
        <v>268</v>
      </c>
      <c r="B84" s="297" t="s">
        <v>239</v>
      </c>
      <c r="C84" s="297">
        <v>344.0</v>
      </c>
      <c r="D84" s="297">
        <v>338.0</v>
      </c>
      <c r="E84" s="297">
        <v>335.0</v>
      </c>
      <c r="F84" s="297">
        <v>333.0</v>
      </c>
      <c r="G84" s="297">
        <v>329.0</v>
      </c>
      <c r="H84" s="297">
        <v>328.0</v>
      </c>
      <c r="I84" s="297">
        <v>328.0</v>
      </c>
      <c r="J84" s="297">
        <v>328.0</v>
      </c>
      <c r="K84" s="297">
        <v>329.0</v>
      </c>
      <c r="L84" s="297">
        <v>328.0</v>
      </c>
      <c r="M84" s="297">
        <v>327.0</v>
      </c>
      <c r="N84" s="297">
        <v>330.0</v>
      </c>
      <c r="O84" s="297">
        <v>333.0</v>
      </c>
      <c r="P84" s="297">
        <v>334.0</v>
      </c>
      <c r="Q84" s="297">
        <v>332.0</v>
      </c>
      <c r="R84" s="297">
        <v>332.0</v>
      </c>
      <c r="S84" s="297">
        <v>334.0</v>
      </c>
      <c r="T84" s="297">
        <v>335.0</v>
      </c>
      <c r="U84" s="297">
        <v>330.0</v>
      </c>
      <c r="V84" s="298"/>
      <c r="W84" s="298"/>
      <c r="X84" s="298"/>
      <c r="Y84" s="298"/>
      <c r="Z84" s="298"/>
      <c r="AA84" s="298"/>
      <c r="AB84" s="298"/>
      <c r="AC84" s="298"/>
      <c r="AD84" s="298"/>
      <c r="AE84" s="298"/>
      <c r="AF84" s="298"/>
      <c r="AG84" s="299"/>
      <c r="AJ84" t="s">
        <v>268</v>
      </c>
      <c r="AK84" s="300" t="s">
        <v>242</v>
      </c>
      <c r="AM84" t="str">
        <f t="shared" si="1"/>
        <v/>
      </c>
    </row>
    <row r="85" ht="15.75" customHeight="1">
      <c r="A85" s="296" t="s">
        <v>269</v>
      </c>
      <c r="B85" s="297" t="s">
        <v>239</v>
      </c>
      <c r="C85" s="297">
        <v>384.0</v>
      </c>
      <c r="D85" s="297">
        <v>383.0</v>
      </c>
      <c r="E85" s="297">
        <v>383.0</v>
      </c>
      <c r="F85" s="297">
        <v>384.0</v>
      </c>
      <c r="G85" s="297">
        <v>386.0</v>
      </c>
      <c r="H85" s="297">
        <v>387.0</v>
      </c>
      <c r="I85" s="297">
        <v>389.0</v>
      </c>
      <c r="J85" s="297">
        <v>395.0</v>
      </c>
      <c r="K85" s="297">
        <v>399.0</v>
      </c>
      <c r="L85" s="297">
        <v>405.0</v>
      </c>
      <c r="M85" s="297">
        <v>403.0</v>
      </c>
      <c r="N85" s="297">
        <v>400.0</v>
      </c>
      <c r="O85" s="297">
        <v>409.0</v>
      </c>
      <c r="P85" s="297">
        <v>420.0</v>
      </c>
      <c r="Q85" s="297">
        <v>415.0</v>
      </c>
      <c r="R85" s="297">
        <v>415.0</v>
      </c>
      <c r="S85" s="297">
        <v>406.0</v>
      </c>
      <c r="T85" s="297">
        <v>395.0</v>
      </c>
      <c r="U85" s="297">
        <v>390.0</v>
      </c>
      <c r="V85" s="298"/>
      <c r="W85" s="298"/>
      <c r="X85" s="298"/>
      <c r="Y85" s="298"/>
      <c r="Z85" s="298"/>
      <c r="AA85" s="298"/>
      <c r="AB85" s="298"/>
      <c r="AC85" s="298"/>
      <c r="AD85" s="298"/>
      <c r="AE85" s="298"/>
      <c r="AF85" s="298"/>
      <c r="AG85" s="299"/>
      <c r="AJ85" t="s">
        <v>269</v>
      </c>
      <c r="AK85" s="300" t="s">
        <v>242</v>
      </c>
      <c r="AM85" t="str">
        <f t="shared" si="1"/>
        <v/>
      </c>
    </row>
    <row r="86" ht="15.75" customHeight="1">
      <c r="A86" s="296" t="s">
        <v>177</v>
      </c>
      <c r="B86" s="297" t="s">
        <v>239</v>
      </c>
      <c r="C86" s="297">
        <v>3195.0</v>
      </c>
      <c r="D86" s="297">
        <v>3195.0</v>
      </c>
      <c r="E86" s="297">
        <v>3207.0</v>
      </c>
      <c r="F86" s="297">
        <v>3224.0</v>
      </c>
      <c r="G86" s="297">
        <v>3247.0</v>
      </c>
      <c r="H86" s="297">
        <v>3273.0</v>
      </c>
      <c r="I86" s="297">
        <v>3298.0</v>
      </c>
      <c r="J86" s="297">
        <v>3357.0</v>
      </c>
      <c r="K86" s="297">
        <v>3404.0</v>
      </c>
      <c r="L86" s="297">
        <v>3462.0</v>
      </c>
      <c r="M86" s="297">
        <v>3465.0</v>
      </c>
      <c r="N86" s="297">
        <v>3446.0</v>
      </c>
      <c r="O86" s="297">
        <v>3513.0</v>
      </c>
      <c r="P86" s="297">
        <v>3649.0</v>
      </c>
      <c r="Q86" s="297">
        <v>3745.0</v>
      </c>
      <c r="R86" s="297">
        <v>3853.0</v>
      </c>
      <c r="S86" s="297">
        <v>3888.0</v>
      </c>
      <c r="T86" s="297">
        <v>3899.0</v>
      </c>
      <c r="U86" s="297">
        <v>3915.0</v>
      </c>
      <c r="V86" s="298"/>
      <c r="W86" s="298"/>
      <c r="X86" s="298"/>
      <c r="Y86" s="298"/>
      <c r="Z86" s="298"/>
      <c r="AA86" s="298"/>
      <c r="AB86" s="298"/>
      <c r="AC86" s="298"/>
      <c r="AD86" s="298"/>
      <c r="AE86" s="298"/>
      <c r="AF86" s="298"/>
      <c r="AG86" s="299"/>
      <c r="AJ86" t="s">
        <v>177</v>
      </c>
      <c r="AK86" s="300" t="s">
        <v>242</v>
      </c>
      <c r="AM86" t="str">
        <f t="shared" si="1"/>
        <v/>
      </c>
    </row>
    <row r="87" ht="15.75" customHeight="1">
      <c r="A87" s="296" t="s">
        <v>139</v>
      </c>
      <c r="B87" s="297" t="s">
        <v>239</v>
      </c>
      <c r="C87" s="297">
        <v>847.0</v>
      </c>
      <c r="D87" s="297">
        <v>828.0</v>
      </c>
      <c r="E87" s="297">
        <v>849.0</v>
      </c>
      <c r="F87" s="297">
        <v>856.0</v>
      </c>
      <c r="G87" s="297">
        <v>866.0</v>
      </c>
      <c r="H87" s="297">
        <v>883.0</v>
      </c>
      <c r="I87" s="297">
        <v>898.0</v>
      </c>
      <c r="J87" s="297">
        <v>944.0</v>
      </c>
      <c r="K87" s="297">
        <v>973.0</v>
      </c>
      <c r="L87" s="297">
        <v>993.0</v>
      </c>
      <c r="M87" s="297">
        <v>1013.0</v>
      </c>
      <c r="N87" s="297">
        <v>1019.0</v>
      </c>
      <c r="O87" s="297">
        <v>1021.0</v>
      </c>
      <c r="P87" s="297">
        <v>1023.0</v>
      </c>
      <c r="Q87" s="297">
        <v>1034.0</v>
      </c>
      <c r="R87" s="297">
        <v>1058.0</v>
      </c>
      <c r="S87" s="297">
        <v>1068.0</v>
      </c>
      <c r="T87" s="297">
        <v>1054.0</v>
      </c>
      <c r="U87" s="297">
        <v>1062.0</v>
      </c>
      <c r="V87" s="298"/>
      <c r="W87" s="298"/>
      <c r="X87" s="298"/>
      <c r="Y87" s="298"/>
      <c r="Z87" s="298"/>
      <c r="AA87" s="298"/>
      <c r="AB87" s="298"/>
      <c r="AC87" s="298"/>
      <c r="AD87" s="298"/>
      <c r="AE87" s="298"/>
      <c r="AF87" s="298"/>
      <c r="AG87" s="299"/>
      <c r="AJ87" t="s">
        <v>139</v>
      </c>
      <c r="AK87" s="300" t="s">
        <v>242</v>
      </c>
      <c r="AM87" t="str">
        <f t="shared" si="1"/>
        <v/>
      </c>
    </row>
    <row r="88" ht="15.75" customHeight="1">
      <c r="A88" s="296" t="s">
        <v>112</v>
      </c>
      <c r="B88" s="297" t="s">
        <v>239</v>
      </c>
      <c r="C88" s="297">
        <v>1192.0</v>
      </c>
      <c r="D88" s="297">
        <v>1177.0</v>
      </c>
      <c r="E88" s="297">
        <v>1189.0</v>
      </c>
      <c r="F88" s="297">
        <v>1183.0</v>
      </c>
      <c r="G88" s="297">
        <v>1183.0</v>
      </c>
      <c r="H88" s="297">
        <v>1184.0</v>
      </c>
      <c r="I88" s="297">
        <v>1198.0</v>
      </c>
      <c r="J88" s="297">
        <v>1227.0</v>
      </c>
      <c r="K88" s="297">
        <v>1255.0</v>
      </c>
      <c r="L88" s="297">
        <v>1282.0</v>
      </c>
      <c r="M88" s="297">
        <v>1294.0</v>
      </c>
      <c r="N88" s="297">
        <v>1294.0</v>
      </c>
      <c r="O88" s="297">
        <v>1312.0</v>
      </c>
      <c r="P88" s="297">
        <v>1310.0</v>
      </c>
      <c r="Q88" s="297">
        <v>1300.0</v>
      </c>
      <c r="R88" s="297">
        <v>1290.0</v>
      </c>
      <c r="S88" s="297">
        <v>1282.0</v>
      </c>
      <c r="T88" s="297">
        <v>1261.0</v>
      </c>
      <c r="U88" s="297">
        <v>1240.0</v>
      </c>
      <c r="V88" s="298"/>
      <c r="W88" s="298"/>
      <c r="X88" s="298"/>
      <c r="Y88" s="298"/>
      <c r="Z88" s="298"/>
      <c r="AA88" s="298"/>
      <c r="AB88" s="298"/>
      <c r="AC88" s="298"/>
      <c r="AD88" s="298"/>
      <c r="AE88" s="298"/>
      <c r="AF88" s="298"/>
      <c r="AG88" s="299"/>
      <c r="AJ88" t="s">
        <v>112</v>
      </c>
      <c r="AK88" s="300" t="s">
        <v>242</v>
      </c>
      <c r="AM88" t="str">
        <f t="shared" si="1"/>
        <v/>
      </c>
    </row>
    <row r="89" ht="15.75" customHeight="1">
      <c r="A89" s="296" t="s">
        <v>270</v>
      </c>
      <c r="B89" s="297" t="s">
        <v>239</v>
      </c>
      <c r="C89" s="297">
        <v>3298.0</v>
      </c>
      <c r="D89" s="297">
        <v>3224.0</v>
      </c>
      <c r="E89" s="297">
        <v>3259.0</v>
      </c>
      <c r="F89" s="297">
        <v>3268.0</v>
      </c>
      <c r="G89" s="297">
        <v>3283.0</v>
      </c>
      <c r="H89" s="297">
        <v>3246.0</v>
      </c>
      <c r="I89" s="297">
        <v>3297.0</v>
      </c>
      <c r="J89" s="297">
        <v>3471.0</v>
      </c>
      <c r="K89" s="297">
        <v>3506.0</v>
      </c>
      <c r="L89" s="297">
        <v>3565.0</v>
      </c>
      <c r="M89" s="297">
        <v>3530.0</v>
      </c>
      <c r="N89" s="297">
        <v>3505.0</v>
      </c>
      <c r="O89" s="297">
        <v>3472.0</v>
      </c>
      <c r="P89" s="297">
        <v>3480.0</v>
      </c>
      <c r="Q89" s="297">
        <v>3482.0</v>
      </c>
      <c r="R89" s="297">
        <v>3495.0</v>
      </c>
      <c r="S89" s="297">
        <v>3514.0</v>
      </c>
      <c r="T89" s="297">
        <v>3389.0</v>
      </c>
      <c r="U89" s="297">
        <v>3402.0</v>
      </c>
      <c r="V89" s="298"/>
      <c r="W89" s="298"/>
      <c r="X89" s="298"/>
      <c r="Y89" s="298"/>
      <c r="Z89" s="298"/>
      <c r="AA89" s="298"/>
      <c r="AB89" s="298"/>
      <c r="AC89" s="298"/>
      <c r="AD89" s="298"/>
      <c r="AE89" s="298"/>
      <c r="AF89" s="298"/>
      <c r="AG89" s="299"/>
      <c r="AJ89" t="s">
        <v>270</v>
      </c>
      <c r="AK89" s="300" t="s">
        <v>242</v>
      </c>
      <c r="AM89" t="str">
        <f t="shared" si="1"/>
        <v/>
      </c>
    </row>
    <row r="90" ht="15.75" customHeight="1">
      <c r="A90" s="296" t="s">
        <v>99</v>
      </c>
      <c r="B90" s="297" t="s">
        <v>239</v>
      </c>
      <c r="C90" s="297">
        <v>102.0</v>
      </c>
      <c r="D90" s="297">
        <v>99.0</v>
      </c>
      <c r="E90" s="297">
        <v>97.0</v>
      </c>
      <c r="F90" s="297">
        <v>96.0</v>
      </c>
      <c r="G90" s="297">
        <v>96.0</v>
      </c>
      <c r="H90" s="297">
        <v>96.0</v>
      </c>
      <c r="I90" s="297">
        <v>96.0</v>
      </c>
      <c r="J90" s="297">
        <v>97.0</v>
      </c>
      <c r="K90" s="297">
        <v>98.0</v>
      </c>
      <c r="L90" s="297">
        <v>98.0</v>
      </c>
      <c r="M90" s="297">
        <v>96.0</v>
      </c>
      <c r="N90" s="297">
        <v>95.0</v>
      </c>
      <c r="O90" s="297">
        <v>94.0</v>
      </c>
      <c r="P90" s="297">
        <v>98.0</v>
      </c>
      <c r="Q90" s="297">
        <v>98.0</v>
      </c>
      <c r="R90" s="297">
        <v>101.0</v>
      </c>
      <c r="S90" s="297">
        <v>105.0</v>
      </c>
      <c r="T90" s="297">
        <v>105.0</v>
      </c>
      <c r="U90" s="297">
        <v>106.0</v>
      </c>
      <c r="V90" s="298"/>
      <c r="W90" s="298"/>
      <c r="X90" s="298"/>
      <c r="Y90" s="298"/>
      <c r="Z90" s="298"/>
      <c r="AA90" s="298"/>
      <c r="AB90" s="298"/>
      <c r="AC90" s="298"/>
      <c r="AD90" s="298"/>
      <c r="AE90" s="298"/>
      <c r="AF90" s="298"/>
      <c r="AG90" s="299"/>
      <c r="AJ90" t="s">
        <v>99</v>
      </c>
      <c r="AK90" s="300" t="s">
        <v>242</v>
      </c>
      <c r="AM90" t="str">
        <f t="shared" si="1"/>
        <v/>
      </c>
    </row>
    <row r="91" ht="15.75" customHeight="1">
      <c r="A91" s="296" t="s">
        <v>271</v>
      </c>
      <c r="B91" s="297" t="s">
        <v>239</v>
      </c>
      <c r="C91" s="297">
        <v>181.0</v>
      </c>
      <c r="D91" s="297">
        <v>183.0</v>
      </c>
      <c r="E91" s="297">
        <v>188.0</v>
      </c>
      <c r="F91" s="297">
        <v>191.0</v>
      </c>
      <c r="G91" s="297">
        <v>195.0</v>
      </c>
      <c r="H91" s="297">
        <v>200.0</v>
      </c>
      <c r="I91" s="297">
        <v>206.0</v>
      </c>
      <c r="J91" s="297">
        <v>212.0</v>
      </c>
      <c r="K91" s="297">
        <v>220.0</v>
      </c>
      <c r="L91" s="297">
        <v>227.0</v>
      </c>
      <c r="M91" s="297">
        <v>233.0</v>
      </c>
      <c r="N91" s="297">
        <v>239.0</v>
      </c>
      <c r="O91" s="297">
        <v>242.0</v>
      </c>
      <c r="P91" s="297">
        <v>240.0</v>
      </c>
      <c r="Q91" s="297">
        <v>240.0</v>
      </c>
      <c r="R91" s="297">
        <v>238.0</v>
      </c>
      <c r="S91" s="297">
        <v>237.0</v>
      </c>
      <c r="T91" s="297">
        <v>234.0</v>
      </c>
      <c r="U91" s="297">
        <v>232.0</v>
      </c>
      <c r="V91" s="298"/>
      <c r="W91" s="298"/>
      <c r="X91" s="298"/>
      <c r="Y91" s="298"/>
      <c r="Z91" s="298"/>
      <c r="AA91" s="298"/>
      <c r="AB91" s="298"/>
      <c r="AC91" s="298"/>
      <c r="AD91" s="298"/>
      <c r="AE91" s="298"/>
      <c r="AF91" s="298"/>
      <c r="AG91" s="299"/>
      <c r="AJ91" t="s">
        <v>271</v>
      </c>
      <c r="AK91" s="300" t="s">
        <v>242</v>
      </c>
      <c r="AM91" t="str">
        <f t="shared" si="1"/>
        <v/>
      </c>
    </row>
    <row r="92" ht="15.75" customHeight="1">
      <c r="A92" s="296" t="s">
        <v>160</v>
      </c>
      <c r="B92" s="297" t="s">
        <v>239</v>
      </c>
      <c r="C92" s="297">
        <v>1112.0</v>
      </c>
      <c r="D92" s="297">
        <v>1111.0</v>
      </c>
      <c r="E92" s="297">
        <v>1109.0</v>
      </c>
      <c r="F92" s="297">
        <v>1109.0</v>
      </c>
      <c r="G92" s="297">
        <v>1115.0</v>
      </c>
      <c r="H92" s="297">
        <v>1108.0</v>
      </c>
      <c r="I92" s="297">
        <v>1109.0</v>
      </c>
      <c r="J92" s="297">
        <v>1108.0</v>
      </c>
      <c r="K92" s="297">
        <v>1115.0</v>
      </c>
      <c r="L92" s="297">
        <v>1121.0</v>
      </c>
      <c r="M92" s="297">
        <v>1133.0</v>
      </c>
      <c r="N92" s="297">
        <v>1131.0</v>
      </c>
      <c r="O92" s="297">
        <v>1148.0</v>
      </c>
      <c r="P92" s="297">
        <v>1153.0</v>
      </c>
      <c r="Q92" s="297">
        <v>1141.0</v>
      </c>
      <c r="R92" s="297">
        <v>1144.0</v>
      </c>
      <c r="S92" s="297">
        <v>1146.0</v>
      </c>
      <c r="T92" s="297">
        <v>1142.0</v>
      </c>
      <c r="U92" s="297">
        <v>1169.0</v>
      </c>
      <c r="V92" s="298"/>
      <c r="W92" s="298"/>
      <c r="X92" s="298"/>
      <c r="Y92" s="298"/>
      <c r="Z92" s="298"/>
      <c r="AA92" s="298"/>
      <c r="AB92" s="298"/>
      <c r="AC92" s="298"/>
      <c r="AD92" s="298"/>
      <c r="AE92" s="298"/>
      <c r="AF92" s="298"/>
      <c r="AG92" s="299"/>
      <c r="AJ92" t="s">
        <v>160</v>
      </c>
      <c r="AK92" s="300" t="s">
        <v>242</v>
      </c>
      <c r="AM92" t="str">
        <f t="shared" si="1"/>
        <v/>
      </c>
    </row>
    <row r="93" ht="15.75" customHeight="1">
      <c r="A93" s="296" t="s">
        <v>92</v>
      </c>
      <c r="B93" s="297" t="s">
        <v>239</v>
      </c>
      <c r="C93" s="297">
        <v>1430.0</v>
      </c>
      <c r="D93" s="297">
        <v>1407.0</v>
      </c>
      <c r="E93" s="297">
        <v>1452.0</v>
      </c>
      <c r="F93" s="297">
        <v>1484.0</v>
      </c>
      <c r="G93" s="297">
        <v>1535.0</v>
      </c>
      <c r="H93" s="297">
        <v>1599.0</v>
      </c>
      <c r="I93" s="297">
        <v>1663.0</v>
      </c>
      <c r="J93" s="297">
        <v>1810.0</v>
      </c>
      <c r="K93" s="297">
        <v>1922.0</v>
      </c>
      <c r="L93" s="297">
        <v>2029.0</v>
      </c>
      <c r="M93" s="297">
        <v>2027.0</v>
      </c>
      <c r="N93" s="297">
        <v>2009.0</v>
      </c>
      <c r="O93" s="297">
        <v>2059.0</v>
      </c>
      <c r="P93" s="297">
        <v>1990.0</v>
      </c>
      <c r="Q93" s="297">
        <v>1970.0</v>
      </c>
      <c r="R93" s="297">
        <v>1946.0</v>
      </c>
      <c r="S93" s="297">
        <v>1931.0</v>
      </c>
      <c r="T93" s="297">
        <v>1890.0</v>
      </c>
      <c r="U93" s="297">
        <v>1878.0</v>
      </c>
      <c r="V93" s="298"/>
      <c r="W93" s="298"/>
      <c r="X93" s="298"/>
      <c r="Y93" s="298"/>
      <c r="Z93" s="298"/>
      <c r="AA93" s="298"/>
      <c r="AB93" s="298"/>
      <c r="AC93" s="298"/>
      <c r="AD93" s="298"/>
      <c r="AE93" s="298"/>
      <c r="AF93" s="298"/>
      <c r="AG93" s="299"/>
      <c r="AJ93" t="s">
        <v>92</v>
      </c>
      <c r="AK93" s="300" t="s">
        <v>242</v>
      </c>
      <c r="AM93" t="str">
        <f t="shared" si="1"/>
        <v/>
      </c>
    </row>
    <row r="94" ht="15.75" customHeight="1">
      <c r="A94" s="296" t="s">
        <v>141</v>
      </c>
      <c r="B94" s="297" t="s">
        <v>239</v>
      </c>
      <c r="C94" s="297">
        <v>224.0</v>
      </c>
      <c r="D94" s="297">
        <v>241.0</v>
      </c>
      <c r="E94" s="297">
        <v>269.0</v>
      </c>
      <c r="F94" s="297">
        <v>292.0</v>
      </c>
      <c r="G94" s="297">
        <v>316.0</v>
      </c>
      <c r="H94" s="297">
        <v>342.0</v>
      </c>
      <c r="I94" s="297">
        <v>368.0</v>
      </c>
      <c r="J94" s="297">
        <v>407.0</v>
      </c>
      <c r="K94" s="297">
        <v>439.0</v>
      </c>
      <c r="L94" s="297">
        <v>468.0</v>
      </c>
      <c r="M94" s="297">
        <v>492.0</v>
      </c>
      <c r="N94" s="297">
        <v>493.0</v>
      </c>
      <c r="O94" s="297">
        <v>492.0</v>
      </c>
      <c r="P94" s="297">
        <v>492.0</v>
      </c>
      <c r="Q94" s="297">
        <v>499.0</v>
      </c>
      <c r="R94" s="297">
        <v>519.0</v>
      </c>
      <c r="S94" s="297">
        <v>529.0</v>
      </c>
      <c r="T94" s="297">
        <v>522.0</v>
      </c>
      <c r="U94" s="297">
        <v>527.0</v>
      </c>
      <c r="V94" s="298"/>
      <c r="W94" s="298"/>
      <c r="X94" s="298"/>
      <c r="Y94" s="298"/>
      <c r="Z94" s="298"/>
      <c r="AA94" s="298"/>
      <c r="AB94" s="298"/>
      <c r="AC94" s="298"/>
      <c r="AD94" s="298"/>
      <c r="AE94" s="298"/>
      <c r="AF94" s="298"/>
      <c r="AG94" s="299"/>
      <c r="AJ94" t="s">
        <v>141</v>
      </c>
      <c r="AK94" s="300" t="s">
        <v>242</v>
      </c>
      <c r="AM94" t="str">
        <f t="shared" si="1"/>
        <v/>
      </c>
    </row>
    <row r="95" ht="15.75" customHeight="1">
      <c r="A95" s="296" t="s">
        <v>272</v>
      </c>
      <c r="B95" s="297" t="s">
        <v>239</v>
      </c>
      <c r="C95" s="297">
        <v>5611.0</v>
      </c>
      <c r="D95" s="297">
        <v>5571.0</v>
      </c>
      <c r="E95" s="297">
        <v>5584.0</v>
      </c>
      <c r="F95" s="297">
        <v>5658.0</v>
      </c>
      <c r="G95" s="297">
        <v>5705.0</v>
      </c>
      <c r="H95" s="297">
        <v>5794.0</v>
      </c>
      <c r="I95" s="297">
        <v>5907.0</v>
      </c>
      <c r="J95" s="297">
        <v>6023.0</v>
      </c>
      <c r="K95" s="297">
        <v>6119.0</v>
      </c>
      <c r="L95" s="297">
        <v>6264.0</v>
      </c>
      <c r="M95" s="297">
        <v>6317.0</v>
      </c>
      <c r="N95" s="297">
        <v>6311.0</v>
      </c>
      <c r="O95" s="297">
        <v>6404.0</v>
      </c>
      <c r="P95" s="297">
        <v>6411.0</v>
      </c>
      <c r="Q95" s="297">
        <v>6428.0</v>
      </c>
      <c r="R95" s="297">
        <v>6367.0</v>
      </c>
      <c r="S95" s="297">
        <v>6438.0</v>
      </c>
      <c r="T95" s="297">
        <v>6440.0</v>
      </c>
      <c r="U95" s="297">
        <v>6310.0</v>
      </c>
      <c r="V95" s="298"/>
      <c r="W95" s="298"/>
      <c r="X95" s="298"/>
      <c r="Y95" s="298"/>
      <c r="Z95" s="298"/>
      <c r="AA95" s="298"/>
      <c r="AB95" s="298"/>
      <c r="AC95" s="298"/>
      <c r="AD95" s="298"/>
      <c r="AE95" s="298"/>
      <c r="AF95" s="298"/>
      <c r="AG95" s="299"/>
      <c r="AJ95" t="s">
        <v>272</v>
      </c>
      <c r="AK95" s="300" t="s">
        <v>242</v>
      </c>
      <c r="AM95" t="str">
        <f t="shared" si="1"/>
        <v/>
      </c>
    </row>
    <row r="96" ht="15.75" customHeight="1">
      <c r="A96" s="296" t="s">
        <v>273</v>
      </c>
      <c r="B96" s="297" t="s">
        <v>239</v>
      </c>
      <c r="C96" s="297">
        <v>710.0</v>
      </c>
      <c r="D96" s="297">
        <v>718.0</v>
      </c>
      <c r="E96" s="297">
        <v>733.0</v>
      </c>
      <c r="F96" s="297">
        <v>744.0</v>
      </c>
      <c r="G96" s="297">
        <v>751.0</v>
      </c>
      <c r="H96" s="297">
        <v>763.0</v>
      </c>
      <c r="I96" s="297">
        <v>780.0</v>
      </c>
      <c r="J96" s="297">
        <v>799.0</v>
      </c>
      <c r="K96" s="297">
        <v>823.0</v>
      </c>
      <c r="L96" s="297">
        <v>846.0</v>
      </c>
      <c r="M96" s="297">
        <v>861.0</v>
      </c>
      <c r="N96" s="297">
        <v>876.0</v>
      </c>
      <c r="O96" s="297">
        <v>898.0</v>
      </c>
      <c r="P96" s="297">
        <v>917.0</v>
      </c>
      <c r="Q96" s="297">
        <v>938.0</v>
      </c>
      <c r="R96" s="297">
        <v>940.0</v>
      </c>
      <c r="S96" s="297">
        <v>941.0</v>
      </c>
      <c r="T96" s="297">
        <v>974.0</v>
      </c>
      <c r="U96" s="297">
        <v>1006.0</v>
      </c>
      <c r="V96" s="298"/>
      <c r="W96" s="298"/>
      <c r="X96" s="298"/>
      <c r="Y96" s="298"/>
      <c r="Z96" s="298"/>
      <c r="AA96" s="298"/>
      <c r="AB96" s="298"/>
      <c r="AC96" s="298"/>
      <c r="AD96" s="298"/>
      <c r="AE96" s="298"/>
      <c r="AF96" s="298"/>
      <c r="AG96" s="299"/>
      <c r="AJ96" t="s">
        <v>273</v>
      </c>
      <c r="AK96" s="300" t="s">
        <v>242</v>
      </c>
      <c r="AM96" t="str">
        <f t="shared" si="1"/>
        <v/>
      </c>
    </row>
    <row r="97" ht="15.75" customHeight="1">
      <c r="A97" s="296" t="s">
        <v>178</v>
      </c>
      <c r="B97" s="297" t="s">
        <v>239</v>
      </c>
      <c r="C97" s="297">
        <v>9083.0</v>
      </c>
      <c r="D97" s="297">
        <v>8796.0</v>
      </c>
      <c r="E97" s="297">
        <v>8839.0</v>
      </c>
      <c r="F97" s="297">
        <v>8847.0</v>
      </c>
      <c r="G97" s="297">
        <v>8857.0</v>
      </c>
      <c r="H97" s="297">
        <v>8767.0</v>
      </c>
      <c r="I97" s="297">
        <v>8776.0</v>
      </c>
      <c r="J97" s="297">
        <v>8995.0</v>
      </c>
      <c r="K97" s="297">
        <v>9071.0</v>
      </c>
      <c r="L97" s="297">
        <v>9310.0</v>
      </c>
      <c r="M97" s="297">
        <v>9235.0</v>
      </c>
      <c r="N97" s="297">
        <v>9219.0</v>
      </c>
      <c r="O97" s="297">
        <v>9142.0</v>
      </c>
      <c r="P97" s="297">
        <v>9224.0</v>
      </c>
      <c r="Q97" s="297">
        <v>9235.0</v>
      </c>
      <c r="R97" s="297">
        <v>9077.0</v>
      </c>
      <c r="S97" s="297">
        <v>9111.0</v>
      </c>
      <c r="T97" s="297">
        <v>8858.0</v>
      </c>
      <c r="U97" s="297">
        <v>8658.0</v>
      </c>
      <c r="V97" s="298"/>
      <c r="W97" s="298"/>
      <c r="X97" s="298"/>
      <c r="Y97" s="298"/>
      <c r="Z97" s="298"/>
      <c r="AA97" s="298"/>
      <c r="AB97" s="298"/>
      <c r="AC97" s="298"/>
      <c r="AD97" s="298"/>
      <c r="AE97" s="298"/>
      <c r="AF97" s="298"/>
      <c r="AG97" s="299"/>
      <c r="AJ97" t="s">
        <v>178</v>
      </c>
      <c r="AK97" s="300" t="s">
        <v>242</v>
      </c>
      <c r="AM97" t="str">
        <f t="shared" si="1"/>
        <v/>
      </c>
    </row>
    <row r="98" ht="15.75" customHeight="1">
      <c r="A98" s="296" t="s">
        <v>274</v>
      </c>
      <c r="B98" s="297" t="s">
        <v>239</v>
      </c>
      <c r="C98" s="297">
        <v>60.0</v>
      </c>
      <c r="D98" s="297">
        <v>58.0</v>
      </c>
      <c r="E98" s="297">
        <v>57.0</v>
      </c>
      <c r="F98" s="297">
        <v>56.0</v>
      </c>
      <c r="G98" s="297">
        <v>55.0</v>
      </c>
      <c r="H98" s="297">
        <v>53.0</v>
      </c>
      <c r="I98" s="297">
        <v>53.0</v>
      </c>
      <c r="J98" s="297">
        <v>53.0</v>
      </c>
      <c r="K98" s="297">
        <v>53.0</v>
      </c>
      <c r="L98" s="297">
        <v>53.0</v>
      </c>
      <c r="M98" s="297">
        <v>52.0</v>
      </c>
      <c r="N98" s="297">
        <v>52.0</v>
      </c>
      <c r="O98" s="297">
        <v>51.0</v>
      </c>
      <c r="P98" s="297">
        <v>52.0</v>
      </c>
      <c r="Q98" s="297">
        <v>52.0</v>
      </c>
      <c r="R98" s="297">
        <v>52.0</v>
      </c>
      <c r="S98" s="297">
        <v>54.0</v>
      </c>
      <c r="T98" s="297">
        <v>53.0</v>
      </c>
      <c r="U98" s="297">
        <v>53.0</v>
      </c>
      <c r="V98" s="298"/>
      <c r="W98" s="298"/>
      <c r="X98" s="298"/>
      <c r="Y98" s="298"/>
      <c r="Z98" s="298"/>
      <c r="AA98" s="298"/>
      <c r="AB98" s="298"/>
      <c r="AC98" s="298"/>
      <c r="AD98" s="298"/>
      <c r="AE98" s="298"/>
      <c r="AF98" s="298"/>
      <c r="AG98" s="299"/>
      <c r="AJ98" t="s">
        <v>274</v>
      </c>
      <c r="AK98" s="300" t="s">
        <v>242</v>
      </c>
      <c r="AM98" t="str">
        <f t="shared" si="1"/>
        <v/>
      </c>
    </row>
    <row r="99" ht="15.75" customHeight="1">
      <c r="A99" s="296" t="s">
        <v>275</v>
      </c>
      <c r="B99" s="297" t="s">
        <v>239</v>
      </c>
      <c r="C99" s="297">
        <v>9284.0</v>
      </c>
      <c r="D99" s="297">
        <v>9270.0</v>
      </c>
      <c r="E99" s="297">
        <v>9363.0</v>
      </c>
      <c r="F99" s="297">
        <v>9422.0</v>
      </c>
      <c r="G99" s="297">
        <v>9503.0</v>
      </c>
      <c r="H99" s="297">
        <v>9655.0</v>
      </c>
      <c r="I99" s="297">
        <v>9814.0</v>
      </c>
      <c r="J99" s="297">
        <v>10024.0</v>
      </c>
      <c r="K99" s="297">
        <v>10256.0</v>
      </c>
      <c r="L99" s="297">
        <v>10491.0</v>
      </c>
      <c r="M99" s="297">
        <v>10937.0</v>
      </c>
      <c r="N99" s="297">
        <v>11025.0</v>
      </c>
      <c r="O99" s="297">
        <v>11177.0</v>
      </c>
      <c r="P99" s="297">
        <v>11180.0</v>
      </c>
      <c r="Q99" s="297">
        <v>11098.0</v>
      </c>
      <c r="R99" s="297">
        <v>11061.0</v>
      </c>
      <c r="S99" s="297">
        <v>11178.0</v>
      </c>
      <c r="T99" s="297">
        <v>11058.0</v>
      </c>
      <c r="U99" s="297">
        <v>10996.0</v>
      </c>
      <c r="V99" s="298"/>
      <c r="W99" s="298"/>
      <c r="X99" s="298"/>
      <c r="Y99" s="298"/>
      <c r="Z99" s="298"/>
      <c r="AA99" s="298"/>
      <c r="AB99" s="298"/>
      <c r="AC99" s="298"/>
      <c r="AD99" s="298"/>
      <c r="AE99" s="298"/>
      <c r="AF99" s="298"/>
      <c r="AG99" s="299"/>
      <c r="AJ99" t="s">
        <v>275</v>
      </c>
      <c r="AK99" s="300" t="s">
        <v>242</v>
      </c>
      <c r="AM99" t="str">
        <f t="shared" si="1"/>
        <v/>
      </c>
    </row>
    <row r="100" ht="15.75" customHeight="1">
      <c r="A100" s="296" t="s">
        <v>169</v>
      </c>
      <c r="B100" s="297" t="s">
        <v>239</v>
      </c>
      <c r="C100" s="297">
        <v>230.0</v>
      </c>
      <c r="D100" s="297">
        <v>231.0</v>
      </c>
      <c r="E100" s="297">
        <v>231.0</v>
      </c>
      <c r="F100" s="297">
        <v>233.0</v>
      </c>
      <c r="G100" s="297">
        <v>235.0</v>
      </c>
      <c r="H100" s="297">
        <v>234.0</v>
      </c>
      <c r="I100" s="297">
        <v>234.0</v>
      </c>
      <c r="J100" s="297">
        <v>232.0</v>
      </c>
      <c r="K100" s="297">
        <v>236.0</v>
      </c>
      <c r="L100" s="297">
        <v>242.0</v>
      </c>
      <c r="M100" s="297">
        <v>246.0</v>
      </c>
      <c r="N100" s="297">
        <v>246.0</v>
      </c>
      <c r="O100" s="297">
        <v>247.0</v>
      </c>
      <c r="P100" s="297">
        <v>248.0</v>
      </c>
      <c r="Q100" s="297">
        <v>248.0</v>
      </c>
      <c r="R100" s="297">
        <v>247.0</v>
      </c>
      <c r="S100" s="297">
        <v>248.0</v>
      </c>
      <c r="T100" s="297">
        <v>249.0</v>
      </c>
      <c r="U100" s="297">
        <v>252.0</v>
      </c>
      <c r="V100" s="298"/>
      <c r="W100" s="298"/>
      <c r="X100" s="298"/>
      <c r="Y100" s="298"/>
      <c r="Z100" s="298"/>
      <c r="AA100" s="298"/>
      <c r="AB100" s="298"/>
      <c r="AC100" s="298"/>
      <c r="AD100" s="298"/>
      <c r="AE100" s="298"/>
      <c r="AF100" s="298"/>
      <c r="AG100" s="299"/>
      <c r="AJ100" t="s">
        <v>169</v>
      </c>
      <c r="AK100" s="300" t="s">
        <v>242</v>
      </c>
      <c r="AM100" t="str">
        <f t="shared" si="1"/>
        <v/>
      </c>
    </row>
    <row r="101" ht="15.75" customHeight="1">
      <c r="A101" s="296" t="s">
        <v>93</v>
      </c>
      <c r="B101" s="297" t="s">
        <v>239</v>
      </c>
      <c r="C101" s="297">
        <v>18670.0</v>
      </c>
      <c r="D101" s="297">
        <v>18471.0</v>
      </c>
      <c r="E101" s="297">
        <v>18861.0</v>
      </c>
      <c r="F101" s="297">
        <v>18988.0</v>
      </c>
      <c r="G101" s="297">
        <v>19400.0</v>
      </c>
      <c r="H101" s="297">
        <v>19881.0</v>
      </c>
      <c r="I101" s="297">
        <v>20509.0</v>
      </c>
      <c r="J101" s="297">
        <v>21509.0</v>
      </c>
      <c r="K101" s="297">
        <v>22083.0</v>
      </c>
      <c r="L101" s="297">
        <v>23122.0</v>
      </c>
      <c r="M101" s="297">
        <v>22985.0</v>
      </c>
      <c r="N101" s="297">
        <v>23329.0</v>
      </c>
      <c r="O101" s="297">
        <v>23914.0</v>
      </c>
      <c r="P101" s="297">
        <v>24052.0</v>
      </c>
      <c r="Q101" s="297">
        <v>23961.0</v>
      </c>
      <c r="R101" s="297">
        <v>23971.0</v>
      </c>
      <c r="S101" s="297">
        <v>23736.0</v>
      </c>
      <c r="T101" s="297">
        <v>23350.0</v>
      </c>
      <c r="U101" s="297">
        <v>23082.0</v>
      </c>
      <c r="V101" s="298"/>
      <c r="W101" s="298"/>
      <c r="X101" s="298"/>
      <c r="Y101" s="298"/>
      <c r="Z101" s="298"/>
      <c r="AA101" s="298"/>
      <c r="AB101" s="298"/>
      <c r="AC101" s="298"/>
      <c r="AD101" s="298"/>
      <c r="AE101" s="298"/>
      <c r="AF101" s="298"/>
      <c r="AG101" s="299"/>
      <c r="AJ101" t="s">
        <v>93</v>
      </c>
      <c r="AK101" s="300" t="s">
        <v>242</v>
      </c>
      <c r="AM101" t="str">
        <f t="shared" si="1"/>
        <v/>
      </c>
    </row>
    <row r="102" ht="15.75" customHeight="1">
      <c r="A102" s="296" t="s">
        <v>161</v>
      </c>
      <c r="B102" s="297" t="s">
        <v>239</v>
      </c>
      <c r="C102" s="297">
        <v>440.0</v>
      </c>
      <c r="D102" s="297">
        <v>430.0</v>
      </c>
      <c r="E102" s="297">
        <v>431.0</v>
      </c>
      <c r="F102" s="297">
        <v>426.0</v>
      </c>
      <c r="G102" s="297">
        <v>424.0</v>
      </c>
      <c r="H102" s="297">
        <v>427.0</v>
      </c>
      <c r="I102" s="297">
        <v>428.0</v>
      </c>
      <c r="J102" s="297">
        <v>431.0</v>
      </c>
      <c r="K102" s="297">
        <v>439.0</v>
      </c>
      <c r="L102" s="297">
        <v>444.0</v>
      </c>
      <c r="M102" s="297">
        <v>437.0</v>
      </c>
      <c r="N102" s="297">
        <v>433.0</v>
      </c>
      <c r="O102" s="297">
        <v>438.0</v>
      </c>
      <c r="P102" s="297">
        <v>445.0</v>
      </c>
      <c r="Q102" s="297">
        <v>437.0</v>
      </c>
      <c r="R102" s="297">
        <v>437.0</v>
      </c>
      <c r="S102" s="297">
        <v>429.0</v>
      </c>
      <c r="T102" s="297">
        <v>419.0</v>
      </c>
      <c r="U102" s="297">
        <v>406.0</v>
      </c>
      <c r="V102" s="298"/>
      <c r="W102" s="298"/>
      <c r="X102" s="298"/>
      <c r="Y102" s="298"/>
      <c r="Z102" s="298"/>
      <c r="AA102" s="298"/>
      <c r="AB102" s="298"/>
      <c r="AC102" s="298"/>
      <c r="AD102" s="298"/>
      <c r="AE102" s="298"/>
      <c r="AF102" s="298"/>
      <c r="AG102" s="299"/>
      <c r="AJ102" t="s">
        <v>161</v>
      </c>
      <c r="AK102" s="300" t="s">
        <v>242</v>
      </c>
      <c r="AM102" t="str">
        <f t="shared" si="1"/>
        <v/>
      </c>
    </row>
    <row r="103" ht="15.75" customHeight="1">
      <c r="A103" s="296" t="s">
        <v>170</v>
      </c>
      <c r="B103" s="297" t="s">
        <v>239</v>
      </c>
      <c r="C103" s="297">
        <v>1711.0</v>
      </c>
      <c r="D103" s="297">
        <v>1680.0</v>
      </c>
      <c r="E103" s="297">
        <v>1674.0</v>
      </c>
      <c r="F103" s="297">
        <v>1665.0</v>
      </c>
      <c r="G103" s="297">
        <v>1656.0</v>
      </c>
      <c r="H103" s="297">
        <v>1633.0</v>
      </c>
      <c r="I103" s="297">
        <v>1639.0</v>
      </c>
      <c r="J103" s="297">
        <v>1670.0</v>
      </c>
      <c r="K103" s="297">
        <v>1686.0</v>
      </c>
      <c r="L103" s="297">
        <v>1704.0</v>
      </c>
      <c r="M103" s="297">
        <v>1687.0</v>
      </c>
      <c r="N103" s="297">
        <v>1684.0</v>
      </c>
      <c r="O103" s="297">
        <v>1671.0</v>
      </c>
      <c r="P103" s="297">
        <v>1680.0</v>
      </c>
      <c r="Q103" s="297">
        <v>1700.0</v>
      </c>
      <c r="R103" s="297">
        <v>1685.0</v>
      </c>
      <c r="S103" s="297">
        <v>1697.0</v>
      </c>
      <c r="T103" s="297">
        <v>1655.0</v>
      </c>
      <c r="U103" s="297">
        <v>1623.0</v>
      </c>
      <c r="V103" s="298"/>
      <c r="W103" s="298"/>
      <c r="X103" s="298"/>
      <c r="Y103" s="298"/>
      <c r="Z103" s="298"/>
      <c r="AA103" s="298"/>
      <c r="AB103" s="298"/>
      <c r="AC103" s="298"/>
      <c r="AD103" s="298"/>
      <c r="AE103" s="298"/>
      <c r="AF103" s="298"/>
      <c r="AG103" s="299"/>
      <c r="AJ103" t="s">
        <v>170</v>
      </c>
      <c r="AK103" s="300" t="s">
        <v>242</v>
      </c>
      <c r="AM103" t="str">
        <f t="shared" si="1"/>
        <v/>
      </c>
    </row>
    <row r="104" ht="15.75" customHeight="1">
      <c r="A104" s="296" t="s">
        <v>277</v>
      </c>
      <c r="B104" s="297" t="s">
        <v>239</v>
      </c>
      <c r="C104" s="297">
        <v>16032.0</v>
      </c>
      <c r="D104" s="297">
        <v>16045.0</v>
      </c>
      <c r="E104" s="297">
        <v>16158.0</v>
      </c>
      <c r="F104" s="297">
        <v>16203.0</v>
      </c>
      <c r="G104" s="297">
        <v>16197.0</v>
      </c>
      <c r="H104" s="297">
        <v>16263.0</v>
      </c>
      <c r="I104" s="297">
        <v>16463.0</v>
      </c>
      <c r="J104" s="297">
        <v>16707.0</v>
      </c>
      <c r="K104" s="297">
        <v>17073.0</v>
      </c>
      <c r="L104" s="297">
        <v>17395.0</v>
      </c>
      <c r="M104" s="297">
        <v>17451.0</v>
      </c>
      <c r="N104" s="297">
        <v>17484.0</v>
      </c>
      <c r="O104" s="297">
        <v>17653.0</v>
      </c>
      <c r="P104" s="297">
        <v>17767.0</v>
      </c>
      <c r="Q104" s="297">
        <v>17818.0</v>
      </c>
      <c r="R104" s="297">
        <v>17822.0</v>
      </c>
      <c r="S104" s="297">
        <v>17840.0</v>
      </c>
      <c r="T104" s="297">
        <v>17860.0</v>
      </c>
      <c r="U104" s="297">
        <v>17849.0</v>
      </c>
      <c r="V104" s="298"/>
      <c r="W104" s="298"/>
      <c r="X104" s="298"/>
      <c r="Y104" s="298"/>
      <c r="Z104" s="298"/>
      <c r="AA104" s="298"/>
      <c r="AB104" s="298"/>
      <c r="AC104" s="298"/>
      <c r="AD104" s="298"/>
      <c r="AE104" s="298"/>
      <c r="AF104" s="298"/>
      <c r="AG104" s="299"/>
      <c r="AJ104" t="s">
        <v>277</v>
      </c>
      <c r="AK104" s="300" t="s">
        <v>242</v>
      </c>
      <c r="AM104" t="str">
        <f t="shared" si="1"/>
        <v/>
      </c>
    </row>
    <row r="105" ht="15.75" customHeight="1">
      <c r="A105" s="296" t="s">
        <v>278</v>
      </c>
      <c r="B105" s="297" t="s">
        <v>239</v>
      </c>
      <c r="C105" s="297">
        <v>629.0</v>
      </c>
      <c r="D105" s="297">
        <v>622.0</v>
      </c>
      <c r="E105" s="297">
        <v>622.0</v>
      </c>
      <c r="F105" s="297">
        <v>618.0</v>
      </c>
      <c r="G105" s="297">
        <v>617.0</v>
      </c>
      <c r="H105" s="297">
        <v>619.0</v>
      </c>
      <c r="I105" s="297">
        <v>624.0</v>
      </c>
      <c r="J105" s="297">
        <v>631.0</v>
      </c>
      <c r="K105" s="297">
        <v>638.0</v>
      </c>
      <c r="L105" s="297">
        <v>645.0</v>
      </c>
      <c r="M105" s="297">
        <v>652.0</v>
      </c>
      <c r="N105" s="297">
        <v>657.0</v>
      </c>
      <c r="O105" s="297">
        <v>666.0</v>
      </c>
      <c r="P105" s="297">
        <v>661.0</v>
      </c>
      <c r="Q105" s="297">
        <v>661.0</v>
      </c>
      <c r="R105" s="297">
        <v>653.0</v>
      </c>
      <c r="S105" s="297">
        <v>651.0</v>
      </c>
      <c r="T105" s="297">
        <v>652.0</v>
      </c>
      <c r="U105" s="297">
        <v>649.0</v>
      </c>
      <c r="V105" s="298"/>
      <c r="W105" s="298"/>
      <c r="X105" s="298"/>
      <c r="Y105" s="298"/>
      <c r="Z105" s="298"/>
      <c r="AA105" s="298"/>
      <c r="AB105" s="298"/>
      <c r="AC105" s="298"/>
      <c r="AD105" s="298"/>
      <c r="AE105" s="298"/>
      <c r="AF105" s="298"/>
      <c r="AG105" s="299"/>
      <c r="AJ105" t="s">
        <v>278</v>
      </c>
      <c r="AK105" s="300" t="s">
        <v>242</v>
      </c>
      <c r="AM105" t="str">
        <f t="shared" si="1"/>
        <v/>
      </c>
    </row>
    <row r="106" ht="15.75" customHeight="1">
      <c r="A106" s="296" t="s">
        <v>171</v>
      </c>
      <c r="B106" s="297" t="s">
        <v>239</v>
      </c>
      <c r="C106" s="297">
        <v>416.0</v>
      </c>
      <c r="D106" s="297">
        <v>412.0</v>
      </c>
      <c r="E106" s="297">
        <v>413.0</v>
      </c>
      <c r="F106" s="297">
        <v>412.0</v>
      </c>
      <c r="G106" s="297">
        <v>412.0</v>
      </c>
      <c r="H106" s="297">
        <v>409.0</v>
      </c>
      <c r="I106" s="297">
        <v>412.0</v>
      </c>
      <c r="J106" s="297">
        <v>423.0</v>
      </c>
      <c r="K106" s="297">
        <v>429.0</v>
      </c>
      <c r="L106" s="297">
        <v>435.0</v>
      </c>
      <c r="M106" s="297">
        <v>432.0</v>
      </c>
      <c r="N106" s="297">
        <v>431.0</v>
      </c>
      <c r="O106" s="297">
        <v>426.0</v>
      </c>
      <c r="P106" s="297">
        <v>428.0</v>
      </c>
      <c r="Q106" s="297">
        <v>428.0</v>
      </c>
      <c r="R106" s="297">
        <v>419.0</v>
      </c>
      <c r="S106" s="297">
        <v>422.0</v>
      </c>
      <c r="T106" s="297">
        <v>407.0</v>
      </c>
      <c r="U106" s="297">
        <v>397.0</v>
      </c>
      <c r="V106" s="298"/>
      <c r="W106" s="298"/>
      <c r="X106" s="298"/>
      <c r="Y106" s="298"/>
      <c r="Z106" s="298"/>
      <c r="AA106" s="298"/>
      <c r="AB106" s="298"/>
      <c r="AC106" s="298"/>
      <c r="AD106" s="298"/>
      <c r="AE106" s="298"/>
      <c r="AF106" s="298"/>
      <c r="AG106" s="299"/>
      <c r="AJ106" t="s">
        <v>171</v>
      </c>
      <c r="AK106" s="300" t="s">
        <v>242</v>
      </c>
      <c r="AM106" t="str">
        <f t="shared" si="1"/>
        <v/>
      </c>
    </row>
    <row r="107" ht="15.75" customHeight="1">
      <c r="A107" s="296" t="s">
        <v>279</v>
      </c>
      <c r="B107" s="297" t="s">
        <v>239</v>
      </c>
      <c r="C107" s="297">
        <v>690.0</v>
      </c>
      <c r="D107" s="297">
        <v>758.0</v>
      </c>
      <c r="E107" s="297">
        <v>829.0</v>
      </c>
      <c r="F107" s="297">
        <v>905.0</v>
      </c>
      <c r="G107" s="297">
        <v>990.0</v>
      </c>
      <c r="H107" s="297">
        <v>1073.0</v>
      </c>
      <c r="I107" s="297">
        <v>1166.0</v>
      </c>
      <c r="J107" s="297">
        <v>1265.0</v>
      </c>
      <c r="K107" s="297">
        <v>1368.0</v>
      </c>
      <c r="L107" s="297">
        <v>1460.0</v>
      </c>
      <c r="M107" s="297">
        <v>1499.0</v>
      </c>
      <c r="N107" s="297">
        <v>1492.0</v>
      </c>
      <c r="O107" s="297">
        <v>1488.0</v>
      </c>
      <c r="P107" s="297">
        <v>1519.0</v>
      </c>
      <c r="Q107" s="297">
        <v>1538.0</v>
      </c>
      <c r="R107" s="297">
        <v>1546.0</v>
      </c>
      <c r="S107" s="297">
        <v>1564.0</v>
      </c>
      <c r="T107" s="297">
        <v>1581.0</v>
      </c>
      <c r="U107" s="297">
        <v>1597.0</v>
      </c>
      <c r="V107" s="298"/>
      <c r="W107" s="298"/>
      <c r="X107" s="298"/>
      <c r="Y107" s="298"/>
      <c r="Z107" s="298"/>
      <c r="AA107" s="298"/>
      <c r="AB107" s="298"/>
      <c r="AC107" s="298"/>
      <c r="AD107" s="298"/>
      <c r="AE107" s="298"/>
      <c r="AF107" s="298"/>
      <c r="AG107" s="299"/>
      <c r="AJ107" t="s">
        <v>279</v>
      </c>
      <c r="AK107" s="300" t="s">
        <v>242</v>
      </c>
      <c r="AM107" t="str">
        <f t="shared" si="1"/>
        <v/>
      </c>
    </row>
    <row r="108" ht="15.75" customHeight="1">
      <c r="A108" s="296" t="s">
        <v>142</v>
      </c>
      <c r="B108" s="297" t="s">
        <v>239</v>
      </c>
      <c r="C108" s="297">
        <v>1252.0</v>
      </c>
      <c r="D108" s="297">
        <v>1196.0</v>
      </c>
      <c r="E108" s="297">
        <v>1194.0</v>
      </c>
      <c r="F108" s="297">
        <v>1175.0</v>
      </c>
      <c r="G108" s="297">
        <v>1160.0</v>
      </c>
      <c r="H108" s="297">
        <v>1154.0</v>
      </c>
      <c r="I108" s="297">
        <v>1146.0</v>
      </c>
      <c r="J108" s="297">
        <v>1177.0</v>
      </c>
      <c r="K108" s="297">
        <v>1185.0</v>
      </c>
      <c r="L108" s="297">
        <v>1181.0</v>
      </c>
      <c r="M108" s="297">
        <v>1191.0</v>
      </c>
      <c r="N108" s="297">
        <v>1191.0</v>
      </c>
      <c r="O108" s="297">
        <v>1207.0</v>
      </c>
      <c r="P108" s="297">
        <v>1212.0</v>
      </c>
      <c r="Q108" s="297">
        <v>1234.0</v>
      </c>
      <c r="R108" s="297">
        <v>1265.0</v>
      </c>
      <c r="S108" s="297">
        <v>1278.0</v>
      </c>
      <c r="T108" s="297">
        <v>1265.0</v>
      </c>
      <c r="U108" s="297">
        <v>1274.0</v>
      </c>
      <c r="V108" s="298"/>
      <c r="W108" s="298"/>
      <c r="X108" s="298"/>
      <c r="Y108" s="298"/>
      <c r="Z108" s="298"/>
      <c r="AA108" s="298"/>
      <c r="AB108" s="298"/>
      <c r="AC108" s="298"/>
      <c r="AD108" s="298"/>
      <c r="AE108" s="298"/>
      <c r="AF108" s="298"/>
      <c r="AG108" s="299"/>
      <c r="AJ108" t="s">
        <v>142</v>
      </c>
      <c r="AK108" s="300" t="s">
        <v>242</v>
      </c>
      <c r="AM108" t="str">
        <f t="shared" si="1"/>
        <v/>
      </c>
    </row>
    <row r="109" ht="15.75" customHeight="1">
      <c r="A109" s="296" t="s">
        <v>100</v>
      </c>
      <c r="B109" s="297" t="s">
        <v>239</v>
      </c>
      <c r="C109" s="297">
        <v>244.0</v>
      </c>
      <c r="D109" s="297">
        <v>245.0</v>
      </c>
      <c r="E109" s="297">
        <v>253.0</v>
      </c>
      <c r="F109" s="297">
        <v>258.0</v>
      </c>
      <c r="G109" s="297">
        <v>267.0</v>
      </c>
      <c r="H109" s="297">
        <v>276.0</v>
      </c>
      <c r="I109" s="297">
        <v>288.0</v>
      </c>
      <c r="J109" s="297">
        <v>306.0</v>
      </c>
      <c r="K109" s="297">
        <v>317.0</v>
      </c>
      <c r="L109" s="297">
        <v>335.0</v>
      </c>
      <c r="M109" s="297">
        <v>331.0</v>
      </c>
      <c r="N109" s="297">
        <v>331.0</v>
      </c>
      <c r="O109" s="297">
        <v>337.0</v>
      </c>
      <c r="P109" s="297">
        <v>335.0</v>
      </c>
      <c r="Q109" s="297">
        <v>333.0</v>
      </c>
      <c r="R109" s="297">
        <v>327.0</v>
      </c>
      <c r="S109" s="297">
        <v>322.0</v>
      </c>
      <c r="T109" s="297">
        <v>316.0</v>
      </c>
      <c r="U109" s="297">
        <v>317.0</v>
      </c>
      <c r="V109" s="298"/>
      <c r="W109" s="298"/>
      <c r="X109" s="298"/>
      <c r="Y109" s="298"/>
      <c r="Z109" s="298"/>
      <c r="AA109" s="298"/>
      <c r="AB109" s="298"/>
      <c r="AC109" s="298"/>
      <c r="AD109" s="298"/>
      <c r="AE109" s="298"/>
      <c r="AF109" s="298"/>
      <c r="AG109" s="299"/>
      <c r="AJ109" t="s">
        <v>100</v>
      </c>
      <c r="AK109" s="300" t="s">
        <v>242</v>
      </c>
      <c r="AM109" t="str">
        <f t="shared" si="1"/>
        <v/>
      </c>
    </row>
    <row r="110" ht="15.75" customHeight="1">
      <c r="A110" s="296" t="s">
        <v>281</v>
      </c>
      <c r="B110" s="297" t="s">
        <v>239</v>
      </c>
      <c r="C110" s="297">
        <v>350.0</v>
      </c>
      <c r="D110" s="297">
        <v>331.0</v>
      </c>
      <c r="E110" s="297">
        <v>318.0</v>
      </c>
      <c r="F110" s="297">
        <v>308.0</v>
      </c>
      <c r="G110" s="297">
        <v>297.0</v>
      </c>
      <c r="H110" s="297">
        <v>290.0</v>
      </c>
      <c r="I110" s="297">
        <v>279.0</v>
      </c>
      <c r="J110" s="297">
        <v>275.0</v>
      </c>
      <c r="K110" s="297">
        <v>268.0</v>
      </c>
      <c r="L110" s="297">
        <v>264.0</v>
      </c>
      <c r="M110" s="297">
        <v>262.0</v>
      </c>
      <c r="N110" s="297">
        <v>259.0</v>
      </c>
      <c r="O110" s="297">
        <v>257.0</v>
      </c>
      <c r="P110" s="297">
        <v>259.0</v>
      </c>
      <c r="Q110" s="297">
        <v>257.0</v>
      </c>
      <c r="R110" s="297">
        <v>257.0</v>
      </c>
      <c r="S110" s="297">
        <v>255.0</v>
      </c>
      <c r="T110" s="297">
        <v>257.0</v>
      </c>
      <c r="U110" s="297">
        <v>254.0</v>
      </c>
      <c r="V110" s="298"/>
      <c r="W110" s="298"/>
      <c r="X110" s="298"/>
      <c r="Y110" s="298"/>
      <c r="Z110" s="298"/>
      <c r="AA110" s="298"/>
      <c r="AB110" s="298"/>
      <c r="AC110" s="298"/>
      <c r="AD110" s="298"/>
      <c r="AE110" s="298"/>
      <c r="AF110" s="298"/>
      <c r="AG110" s="299"/>
      <c r="AJ110" t="s">
        <v>281</v>
      </c>
      <c r="AK110" s="300" t="s">
        <v>242</v>
      </c>
      <c r="AM110" t="str">
        <f t="shared" si="1"/>
        <v/>
      </c>
    </row>
    <row r="111" ht="15.75" customHeight="1">
      <c r="A111" s="296" t="s">
        <v>282</v>
      </c>
      <c r="B111" s="297" t="s">
        <v>239</v>
      </c>
      <c r="C111" s="297">
        <v>348.0</v>
      </c>
      <c r="D111" s="297">
        <v>343.0</v>
      </c>
      <c r="E111" s="297">
        <v>340.0</v>
      </c>
      <c r="F111" s="297">
        <v>340.0</v>
      </c>
      <c r="G111" s="297">
        <v>344.0</v>
      </c>
      <c r="H111" s="297">
        <v>346.0</v>
      </c>
      <c r="I111" s="297">
        <v>352.0</v>
      </c>
      <c r="J111" s="297">
        <v>358.0</v>
      </c>
      <c r="K111" s="297">
        <v>366.0</v>
      </c>
      <c r="L111" s="297">
        <v>369.0</v>
      </c>
      <c r="M111" s="297">
        <v>365.0</v>
      </c>
      <c r="N111" s="297">
        <v>363.0</v>
      </c>
      <c r="O111" s="297">
        <v>361.0</v>
      </c>
      <c r="P111" s="297">
        <v>367.0</v>
      </c>
      <c r="Q111" s="297">
        <v>370.0</v>
      </c>
      <c r="R111" s="297">
        <v>371.0</v>
      </c>
      <c r="S111" s="297">
        <v>376.0</v>
      </c>
      <c r="T111" s="297">
        <v>382.0</v>
      </c>
      <c r="U111" s="297">
        <v>383.0</v>
      </c>
      <c r="V111" s="298"/>
      <c r="W111" s="298"/>
      <c r="X111" s="298"/>
      <c r="Y111" s="298"/>
      <c r="Z111" s="298"/>
      <c r="AA111" s="298"/>
      <c r="AB111" s="298"/>
      <c r="AC111" s="298"/>
      <c r="AD111" s="298"/>
      <c r="AE111" s="298"/>
      <c r="AF111" s="298"/>
      <c r="AG111" s="299"/>
      <c r="AJ111" t="s">
        <v>282</v>
      </c>
      <c r="AK111" s="300" t="s">
        <v>242</v>
      </c>
      <c r="AM111" t="str">
        <f t="shared" si="1"/>
        <v/>
      </c>
    </row>
    <row r="112" ht="15.75" customHeight="1">
      <c r="A112" s="296" t="s">
        <v>283</v>
      </c>
      <c r="B112" s="297" t="s">
        <v>239</v>
      </c>
      <c r="C112" s="297">
        <v>3149.0</v>
      </c>
      <c r="D112" s="297">
        <v>3080.0</v>
      </c>
      <c r="E112" s="297">
        <v>3056.0</v>
      </c>
      <c r="F112" s="297">
        <v>2974.0</v>
      </c>
      <c r="G112" s="297">
        <v>2960.0</v>
      </c>
      <c r="H112" s="297">
        <v>2933.0</v>
      </c>
      <c r="I112" s="297">
        <v>2940.0</v>
      </c>
      <c r="J112" s="297">
        <v>2937.0</v>
      </c>
      <c r="K112" s="297">
        <v>2958.0</v>
      </c>
      <c r="L112" s="297">
        <v>3022.0</v>
      </c>
      <c r="M112" s="297">
        <v>3007.0</v>
      </c>
      <c r="N112" s="297">
        <v>3006.0</v>
      </c>
      <c r="O112" s="297">
        <v>3021.0</v>
      </c>
      <c r="P112" s="297">
        <v>3021.0</v>
      </c>
      <c r="Q112" s="297">
        <v>2992.0</v>
      </c>
      <c r="R112" s="297">
        <v>2945.0</v>
      </c>
      <c r="S112" s="297">
        <v>2916.0</v>
      </c>
      <c r="T112" s="297">
        <v>2930.0</v>
      </c>
      <c r="U112" s="297">
        <v>2850.0</v>
      </c>
      <c r="V112" s="298"/>
      <c r="W112" s="298"/>
      <c r="X112" s="298"/>
      <c r="Y112" s="298"/>
      <c r="Z112" s="298"/>
      <c r="AA112" s="298"/>
      <c r="AB112" s="298"/>
      <c r="AC112" s="298"/>
      <c r="AD112" s="298"/>
      <c r="AE112" s="298"/>
      <c r="AF112" s="298"/>
      <c r="AG112" s="299"/>
      <c r="AJ112" t="s">
        <v>283</v>
      </c>
      <c r="AK112" s="300" t="s">
        <v>242</v>
      </c>
      <c r="AM112" t="str">
        <f t="shared" si="1"/>
        <v/>
      </c>
    </row>
    <row r="113" ht="15.75" customHeight="1">
      <c r="A113" s="296" t="s">
        <v>163</v>
      </c>
      <c r="B113" s="297" t="s">
        <v>239</v>
      </c>
      <c r="C113" s="297">
        <v>5999.0</v>
      </c>
      <c r="D113" s="297">
        <v>5979.0</v>
      </c>
      <c r="E113" s="297">
        <v>5953.0</v>
      </c>
      <c r="F113" s="297">
        <v>5966.0</v>
      </c>
      <c r="G113" s="297">
        <v>6028.0</v>
      </c>
      <c r="H113" s="297">
        <v>6031.0</v>
      </c>
      <c r="I113" s="297">
        <v>6090.0</v>
      </c>
      <c r="J113" s="297">
        <v>6165.0</v>
      </c>
      <c r="K113" s="297">
        <v>6252.0</v>
      </c>
      <c r="L113" s="297">
        <v>6356.0</v>
      </c>
      <c r="M113" s="297">
        <v>6637.0</v>
      </c>
      <c r="N113" s="297">
        <v>6725.0</v>
      </c>
      <c r="O113" s="297">
        <v>6765.0</v>
      </c>
      <c r="P113" s="297">
        <v>6742.0</v>
      </c>
      <c r="Q113" s="297">
        <v>6732.0</v>
      </c>
      <c r="R113" s="297">
        <v>6780.0</v>
      </c>
      <c r="S113" s="297">
        <v>6679.0</v>
      </c>
      <c r="T113" s="297">
        <v>6691.0</v>
      </c>
      <c r="U113" s="297">
        <v>6701.0</v>
      </c>
      <c r="V113" s="298"/>
      <c r="W113" s="298"/>
      <c r="X113" s="298"/>
      <c r="Y113" s="298"/>
      <c r="Z113" s="298"/>
      <c r="AA113" s="298"/>
      <c r="AB113" s="298"/>
      <c r="AC113" s="298"/>
      <c r="AD113" s="298"/>
      <c r="AE113" s="298"/>
      <c r="AF113" s="298"/>
      <c r="AG113" s="299"/>
      <c r="AJ113" t="s">
        <v>163</v>
      </c>
      <c r="AK113" s="300" t="s">
        <v>242</v>
      </c>
      <c r="AM113" t="str">
        <f t="shared" si="1"/>
        <v/>
      </c>
    </row>
    <row r="114" ht="15.75" customHeight="1">
      <c r="A114" s="296" t="s">
        <v>143</v>
      </c>
      <c r="B114" s="297" t="s">
        <v>239</v>
      </c>
      <c r="C114" s="297">
        <v>884.0</v>
      </c>
      <c r="D114" s="297">
        <v>878.0</v>
      </c>
      <c r="E114" s="297">
        <v>906.0</v>
      </c>
      <c r="F114" s="297">
        <v>924.0</v>
      </c>
      <c r="G114" s="297">
        <v>942.0</v>
      </c>
      <c r="H114" s="297">
        <v>949.0</v>
      </c>
      <c r="I114" s="297">
        <v>982.0</v>
      </c>
      <c r="J114" s="297">
        <v>1034.0</v>
      </c>
      <c r="K114" s="297">
        <v>1065.0</v>
      </c>
      <c r="L114" s="297">
        <v>1098.0</v>
      </c>
      <c r="M114" s="297">
        <v>1098.0</v>
      </c>
      <c r="N114" s="297">
        <v>1089.0</v>
      </c>
      <c r="O114" s="297">
        <v>1083.0</v>
      </c>
      <c r="P114" s="297">
        <v>1090.0</v>
      </c>
      <c r="Q114" s="297">
        <v>1098.0</v>
      </c>
      <c r="R114" s="297">
        <v>1102.0</v>
      </c>
      <c r="S114" s="297">
        <v>1104.0</v>
      </c>
      <c r="T114" s="297">
        <v>1060.0</v>
      </c>
      <c r="U114" s="297">
        <v>1064.0</v>
      </c>
      <c r="V114" s="298"/>
      <c r="W114" s="298"/>
      <c r="X114" s="298"/>
      <c r="Y114" s="298"/>
      <c r="Z114" s="298"/>
      <c r="AA114" s="298"/>
      <c r="AB114" s="298"/>
      <c r="AC114" s="298"/>
      <c r="AD114" s="298"/>
      <c r="AE114" s="298"/>
      <c r="AF114" s="298"/>
      <c r="AG114" s="299"/>
      <c r="AJ114" t="s">
        <v>143</v>
      </c>
      <c r="AK114" s="300" t="s">
        <v>242</v>
      </c>
      <c r="AM114" t="str">
        <f t="shared" si="1"/>
        <v/>
      </c>
    </row>
    <row r="115" ht="15.75" customHeight="1">
      <c r="A115" s="296" t="s">
        <v>284</v>
      </c>
      <c r="B115" s="297" t="s">
        <v>239</v>
      </c>
      <c r="C115" s="297">
        <v>18.0</v>
      </c>
      <c r="D115" s="297">
        <v>17.0</v>
      </c>
      <c r="E115" s="297">
        <v>17.0</v>
      </c>
      <c r="F115" s="297">
        <v>16.0</v>
      </c>
      <c r="G115" s="297">
        <v>16.0</v>
      </c>
      <c r="H115" s="297">
        <v>16.0</v>
      </c>
      <c r="I115" s="297">
        <v>15.0</v>
      </c>
      <c r="J115" s="297">
        <v>15.0</v>
      </c>
      <c r="K115" s="297">
        <v>16.0</v>
      </c>
      <c r="L115" s="297">
        <v>15.0</v>
      </c>
      <c r="M115" s="297">
        <v>15.0</v>
      </c>
      <c r="N115" s="297">
        <v>15.0</v>
      </c>
      <c r="O115" s="297">
        <v>15.0</v>
      </c>
      <c r="P115" s="297">
        <v>15.0</v>
      </c>
      <c r="Q115" s="297">
        <v>15.0</v>
      </c>
      <c r="R115" s="297">
        <v>15.0</v>
      </c>
      <c r="S115" s="297">
        <v>14.0</v>
      </c>
      <c r="T115" s="297">
        <v>14.0</v>
      </c>
      <c r="U115" s="297">
        <v>14.0</v>
      </c>
      <c r="V115" s="298"/>
      <c r="W115" s="298"/>
      <c r="X115" s="298"/>
      <c r="Y115" s="298"/>
      <c r="Z115" s="298"/>
      <c r="AA115" s="298"/>
      <c r="AB115" s="298"/>
      <c r="AC115" s="298"/>
      <c r="AD115" s="298"/>
      <c r="AE115" s="298"/>
      <c r="AF115" s="298"/>
      <c r="AG115" s="299"/>
      <c r="AJ115" t="s">
        <v>284</v>
      </c>
      <c r="AK115" s="300" t="s">
        <v>242</v>
      </c>
      <c r="AM115" t="str">
        <f t="shared" si="1"/>
        <v/>
      </c>
    </row>
    <row r="116" ht="15.75" customHeight="1">
      <c r="A116" s="296" t="s">
        <v>102</v>
      </c>
      <c r="B116" s="297" t="s">
        <v>239</v>
      </c>
      <c r="C116" s="297">
        <v>263.0</v>
      </c>
      <c r="D116" s="297">
        <v>273.0</v>
      </c>
      <c r="E116" s="297">
        <v>290.0</v>
      </c>
      <c r="F116" s="297">
        <v>305.0</v>
      </c>
      <c r="G116" s="297">
        <v>322.0</v>
      </c>
      <c r="H116" s="297">
        <v>341.0</v>
      </c>
      <c r="I116" s="297">
        <v>364.0</v>
      </c>
      <c r="J116" s="297">
        <v>392.0</v>
      </c>
      <c r="K116" s="297">
        <v>414.0</v>
      </c>
      <c r="L116" s="297">
        <v>444.0</v>
      </c>
      <c r="M116" s="297">
        <v>450.0</v>
      </c>
      <c r="N116" s="297">
        <v>454.0</v>
      </c>
      <c r="O116" s="297">
        <v>463.0</v>
      </c>
      <c r="P116" s="297">
        <v>487.0</v>
      </c>
      <c r="Q116" s="297">
        <v>510.0</v>
      </c>
      <c r="R116" s="297">
        <v>501.0</v>
      </c>
      <c r="S116" s="297">
        <v>494.0</v>
      </c>
      <c r="T116" s="297">
        <v>484.0</v>
      </c>
      <c r="U116" s="297">
        <v>478.0</v>
      </c>
      <c r="V116" s="298"/>
      <c r="W116" s="298"/>
      <c r="X116" s="298"/>
      <c r="Y116" s="298"/>
      <c r="Z116" s="298"/>
      <c r="AA116" s="298"/>
      <c r="AB116" s="298"/>
      <c r="AC116" s="298"/>
      <c r="AD116" s="298"/>
      <c r="AE116" s="298"/>
      <c r="AF116" s="298"/>
      <c r="AG116" s="299"/>
      <c r="AJ116" t="s">
        <v>102</v>
      </c>
      <c r="AK116" s="300" t="s">
        <v>242</v>
      </c>
      <c r="AM116" t="str">
        <f t="shared" si="1"/>
        <v/>
      </c>
    </row>
    <row r="117" ht="15.75" customHeight="1">
      <c r="A117" s="296" t="s">
        <v>164</v>
      </c>
      <c r="B117" s="297" t="s">
        <v>239</v>
      </c>
      <c r="C117" s="297">
        <v>3542.0</v>
      </c>
      <c r="D117" s="297">
        <v>3559.0</v>
      </c>
      <c r="E117" s="297">
        <v>3568.0</v>
      </c>
      <c r="F117" s="297">
        <v>3548.0</v>
      </c>
      <c r="G117" s="297">
        <v>3576.0</v>
      </c>
      <c r="H117" s="297">
        <v>3568.0</v>
      </c>
      <c r="I117" s="297">
        <v>3584.0</v>
      </c>
      <c r="J117" s="297">
        <v>3594.0</v>
      </c>
      <c r="K117" s="297">
        <v>3584.0</v>
      </c>
      <c r="L117" s="297">
        <v>3592.0</v>
      </c>
      <c r="M117" s="297">
        <v>3623.0</v>
      </c>
      <c r="N117" s="297">
        <v>3622.0</v>
      </c>
      <c r="O117" s="297">
        <v>3629.0</v>
      </c>
      <c r="P117" s="297">
        <v>3625.0</v>
      </c>
      <c r="Q117" s="297">
        <v>3646.0</v>
      </c>
      <c r="R117" s="297">
        <v>3650.0</v>
      </c>
      <c r="S117" s="297">
        <v>3598.0</v>
      </c>
      <c r="T117" s="297">
        <v>3565.0</v>
      </c>
      <c r="U117" s="297">
        <v>3553.0</v>
      </c>
      <c r="V117" s="298"/>
      <c r="W117" s="298"/>
      <c r="X117" s="298"/>
      <c r="Y117" s="298"/>
      <c r="Z117" s="298"/>
      <c r="AA117" s="298"/>
      <c r="AB117" s="298"/>
      <c r="AC117" s="298"/>
      <c r="AD117" s="298"/>
      <c r="AE117" s="298"/>
      <c r="AF117" s="298"/>
      <c r="AG117" s="299"/>
      <c r="AJ117" t="s">
        <v>164</v>
      </c>
      <c r="AK117" s="300" t="s">
        <v>242</v>
      </c>
      <c r="AM117" t="str">
        <f t="shared" si="1"/>
        <v/>
      </c>
    </row>
    <row r="118" ht="15.75" customHeight="1">
      <c r="A118" s="296" t="s">
        <v>285</v>
      </c>
      <c r="B118" s="297" t="s">
        <v>239</v>
      </c>
      <c r="C118" s="297">
        <v>5363.0</v>
      </c>
      <c r="D118" s="297">
        <v>5237.0</v>
      </c>
      <c r="E118" s="297">
        <v>5180.0</v>
      </c>
      <c r="F118" s="297">
        <v>5166.0</v>
      </c>
      <c r="G118" s="297">
        <v>5149.0</v>
      </c>
      <c r="H118" s="297">
        <v>5184.0</v>
      </c>
      <c r="I118" s="297">
        <v>5150.0</v>
      </c>
      <c r="J118" s="297">
        <v>5268.0</v>
      </c>
      <c r="K118" s="297">
        <v>5301.0</v>
      </c>
      <c r="L118" s="297">
        <v>5420.0</v>
      </c>
      <c r="M118" s="297">
        <v>5488.0</v>
      </c>
      <c r="N118" s="297">
        <v>5440.0</v>
      </c>
      <c r="O118" s="297">
        <v>5424.0</v>
      </c>
      <c r="P118" s="297">
        <v>5425.0</v>
      </c>
      <c r="Q118" s="297">
        <v>5335.0</v>
      </c>
      <c r="R118" s="297">
        <v>5341.0</v>
      </c>
      <c r="S118" s="297">
        <v>5273.0</v>
      </c>
      <c r="T118" s="297">
        <v>5189.0</v>
      </c>
      <c r="U118" s="297">
        <v>5075.0</v>
      </c>
      <c r="V118" s="298"/>
      <c r="W118" s="298"/>
      <c r="X118" s="298"/>
      <c r="Y118" s="298"/>
      <c r="Z118" s="298"/>
      <c r="AA118" s="298"/>
      <c r="AB118" s="298"/>
      <c r="AC118" s="298"/>
      <c r="AD118" s="298"/>
      <c r="AE118" s="298"/>
      <c r="AF118" s="298"/>
      <c r="AG118" s="299"/>
      <c r="AJ118" t="s">
        <v>285</v>
      </c>
      <c r="AK118" s="300" t="s">
        <v>242</v>
      </c>
      <c r="AM118" t="str">
        <f t="shared" si="1"/>
        <v/>
      </c>
    </row>
    <row r="119" ht="15.75" customHeight="1">
      <c r="A119" s="296" t="s">
        <v>286</v>
      </c>
      <c r="B119" s="297" t="s">
        <v>239</v>
      </c>
      <c r="C119" s="297">
        <v>1362.0</v>
      </c>
      <c r="D119" s="297">
        <v>1387.0</v>
      </c>
      <c r="E119" s="297">
        <v>1443.0</v>
      </c>
      <c r="F119" s="297">
        <v>1454.0</v>
      </c>
      <c r="G119" s="297">
        <v>1463.0</v>
      </c>
      <c r="H119" s="297">
        <v>1498.0</v>
      </c>
      <c r="I119" s="297">
        <v>1558.0</v>
      </c>
      <c r="J119" s="297">
        <v>1640.0</v>
      </c>
      <c r="K119" s="297">
        <v>1684.0</v>
      </c>
      <c r="L119" s="297">
        <v>1791.0</v>
      </c>
      <c r="M119" s="297">
        <v>1807.0</v>
      </c>
      <c r="N119" s="297">
        <v>1809.0</v>
      </c>
      <c r="O119" s="297">
        <v>1858.0</v>
      </c>
      <c r="P119" s="297">
        <v>1852.0</v>
      </c>
      <c r="Q119" s="297">
        <v>1848.0</v>
      </c>
      <c r="R119" s="297">
        <v>1871.0</v>
      </c>
      <c r="S119" s="297">
        <v>1845.0</v>
      </c>
      <c r="T119" s="297">
        <v>1742.0</v>
      </c>
      <c r="U119" s="297">
        <v>1733.0</v>
      </c>
      <c r="V119" s="298"/>
      <c r="W119" s="298"/>
      <c r="X119" s="298"/>
      <c r="Y119" s="298"/>
      <c r="Z119" s="298"/>
      <c r="AA119" s="298"/>
      <c r="AB119" s="298"/>
      <c r="AC119" s="298"/>
      <c r="AD119" s="298"/>
      <c r="AE119" s="298"/>
      <c r="AF119" s="298"/>
      <c r="AG119" s="299"/>
      <c r="AJ119" t="s">
        <v>286</v>
      </c>
      <c r="AK119" s="300" t="s">
        <v>242</v>
      </c>
      <c r="AM119" t="str">
        <f t="shared" si="1"/>
        <v/>
      </c>
    </row>
    <row r="120" ht="15.75" customHeight="1">
      <c r="A120" s="296" t="s">
        <v>287</v>
      </c>
      <c r="B120" s="297" t="s">
        <v>239</v>
      </c>
      <c r="C120" s="297">
        <v>160.0</v>
      </c>
      <c r="D120" s="297">
        <v>157.0</v>
      </c>
      <c r="E120" s="297">
        <v>154.0</v>
      </c>
      <c r="F120" s="297">
        <v>152.0</v>
      </c>
      <c r="G120" s="297">
        <v>152.0</v>
      </c>
      <c r="H120" s="297">
        <v>150.0</v>
      </c>
      <c r="I120" s="297">
        <v>149.0</v>
      </c>
      <c r="J120" s="297">
        <v>148.0</v>
      </c>
      <c r="K120" s="297">
        <v>148.0</v>
      </c>
      <c r="L120" s="297">
        <v>149.0</v>
      </c>
      <c r="M120" s="297">
        <v>153.0</v>
      </c>
      <c r="N120" s="297">
        <v>153.0</v>
      </c>
      <c r="O120" s="297">
        <v>154.0</v>
      </c>
      <c r="P120" s="297">
        <v>158.0</v>
      </c>
      <c r="Q120" s="297">
        <v>159.0</v>
      </c>
      <c r="R120" s="297">
        <v>159.0</v>
      </c>
      <c r="S120" s="297">
        <v>156.0</v>
      </c>
      <c r="T120" s="297">
        <v>156.0</v>
      </c>
      <c r="U120" s="297">
        <v>156.0</v>
      </c>
      <c r="V120" s="298"/>
      <c r="W120" s="298"/>
      <c r="X120" s="298"/>
      <c r="Y120" s="298"/>
      <c r="Z120" s="298"/>
      <c r="AA120" s="298"/>
      <c r="AB120" s="298"/>
      <c r="AC120" s="298"/>
      <c r="AD120" s="298"/>
      <c r="AE120" s="298"/>
      <c r="AF120" s="298"/>
      <c r="AG120" s="299"/>
      <c r="AJ120" t="s">
        <v>287</v>
      </c>
      <c r="AK120" s="300" t="s">
        <v>242</v>
      </c>
      <c r="AM120" t="str">
        <f t="shared" si="1"/>
        <v/>
      </c>
    </row>
    <row r="121" ht="15.75" customHeight="1">
      <c r="A121" s="303" t="s">
        <v>288</v>
      </c>
      <c r="B121" s="304" t="s">
        <v>239</v>
      </c>
      <c r="C121" s="304">
        <v>31966.0</v>
      </c>
      <c r="D121" s="304">
        <v>32419.0</v>
      </c>
      <c r="E121" s="304">
        <v>32675.0</v>
      </c>
      <c r="F121" s="304">
        <v>33098.0</v>
      </c>
      <c r="G121" s="304">
        <v>33580.0</v>
      </c>
      <c r="H121" s="304">
        <v>33631.0</v>
      </c>
      <c r="I121" s="304">
        <v>33950.0</v>
      </c>
      <c r="J121" s="304">
        <v>33858.0</v>
      </c>
      <c r="K121" s="304">
        <v>34643.0</v>
      </c>
      <c r="L121" s="304">
        <v>35743.0</v>
      </c>
      <c r="M121" s="304">
        <v>36433.0</v>
      </c>
      <c r="N121" s="304">
        <v>36883.0</v>
      </c>
      <c r="O121" s="304">
        <v>37332.0</v>
      </c>
      <c r="P121" s="304">
        <v>37573.0</v>
      </c>
      <c r="Q121" s="304">
        <v>37793.0</v>
      </c>
      <c r="R121" s="304">
        <v>38036.0</v>
      </c>
      <c r="S121" s="304">
        <v>37987.0</v>
      </c>
      <c r="T121" s="304">
        <v>38332.0</v>
      </c>
      <c r="U121" s="304"/>
      <c r="V121" s="297"/>
      <c r="W121" s="297"/>
      <c r="X121" s="297"/>
      <c r="Y121" s="297"/>
      <c r="Z121" s="297"/>
      <c r="AA121" s="297"/>
      <c r="AB121" s="297"/>
      <c r="AC121" s="297"/>
      <c r="AD121" s="297"/>
      <c r="AE121" s="297"/>
      <c r="AF121" s="297"/>
      <c r="AG121" s="305"/>
      <c r="AH121" s="300"/>
      <c r="AI121" s="300"/>
      <c r="AJ121" s="300"/>
      <c r="AK121" s="300"/>
      <c r="AL121" s="300"/>
      <c r="AM121" s="300"/>
    </row>
    <row r="122" ht="15.75" customHeight="1">
      <c r="A122" s="303" t="s">
        <v>241</v>
      </c>
      <c r="B122" s="304" t="s">
        <v>239</v>
      </c>
      <c r="C122" s="304">
        <v>27226.0</v>
      </c>
      <c r="D122" s="304">
        <v>27613.0</v>
      </c>
      <c r="E122" s="304">
        <v>27820.0</v>
      </c>
      <c r="F122" s="304">
        <v>28165.0</v>
      </c>
      <c r="G122" s="304">
        <v>28553.0</v>
      </c>
      <c r="H122" s="304">
        <v>28593.0</v>
      </c>
      <c r="I122" s="304">
        <v>28872.0</v>
      </c>
      <c r="J122" s="304">
        <v>28780.0</v>
      </c>
      <c r="K122" s="304">
        <v>29441.0</v>
      </c>
      <c r="L122" s="304">
        <v>30354.0</v>
      </c>
      <c r="M122" s="304">
        <v>30925.0</v>
      </c>
      <c r="N122" s="304">
        <v>31290.0</v>
      </c>
      <c r="O122" s="304">
        <v>31701.0</v>
      </c>
      <c r="P122" s="304">
        <v>31898.0</v>
      </c>
      <c r="Q122" s="304">
        <v>32022.0</v>
      </c>
      <c r="R122" s="304">
        <v>32190.0</v>
      </c>
      <c r="S122" s="304">
        <v>32068.0</v>
      </c>
      <c r="T122" s="304">
        <v>32306.0</v>
      </c>
      <c r="U122" s="304"/>
      <c r="V122" s="297"/>
      <c r="W122" s="297"/>
      <c r="X122" s="297"/>
      <c r="Y122" s="297"/>
      <c r="Z122" s="297"/>
      <c r="AA122" s="297"/>
      <c r="AB122" s="297"/>
      <c r="AC122" s="297"/>
      <c r="AD122" s="297"/>
      <c r="AE122" s="297"/>
      <c r="AF122" s="297"/>
      <c r="AG122" s="305"/>
      <c r="AH122" s="300"/>
      <c r="AI122" s="300"/>
      <c r="AJ122" s="300"/>
      <c r="AK122" s="300"/>
      <c r="AL122" s="300"/>
      <c r="AM122" s="300"/>
    </row>
    <row r="123" ht="15.75" customHeight="1">
      <c r="A123" s="303" t="s">
        <v>169</v>
      </c>
      <c r="B123" s="304" t="s">
        <v>239</v>
      </c>
      <c r="C123" s="304">
        <v>230.0</v>
      </c>
      <c r="D123" s="304">
        <v>231.0</v>
      </c>
      <c r="E123" s="304">
        <v>231.0</v>
      </c>
      <c r="F123" s="304">
        <v>233.0</v>
      </c>
      <c r="G123" s="304">
        <v>235.0</v>
      </c>
      <c r="H123" s="304">
        <v>234.0</v>
      </c>
      <c r="I123" s="304">
        <v>234.0</v>
      </c>
      <c r="J123" s="304">
        <v>232.0</v>
      </c>
      <c r="K123" s="304">
        <v>236.0</v>
      </c>
      <c r="L123" s="304">
        <v>242.0</v>
      </c>
      <c r="M123" s="304">
        <v>246.0</v>
      </c>
      <c r="N123" s="304">
        <v>246.0</v>
      </c>
      <c r="O123" s="304">
        <v>247.0</v>
      </c>
      <c r="P123" s="304">
        <v>248.0</v>
      </c>
      <c r="Q123" s="304">
        <v>248.0</v>
      </c>
      <c r="R123" s="304">
        <v>247.0</v>
      </c>
      <c r="S123" s="304">
        <v>248.0</v>
      </c>
      <c r="T123" s="304">
        <v>249.0</v>
      </c>
      <c r="U123" s="304"/>
      <c r="V123" s="297"/>
      <c r="W123" s="297"/>
      <c r="X123" s="297"/>
      <c r="Y123" s="297"/>
      <c r="Z123" s="297"/>
      <c r="AA123" s="297"/>
      <c r="AB123" s="297"/>
      <c r="AC123" s="297"/>
      <c r="AD123" s="297"/>
      <c r="AE123" s="297"/>
      <c r="AF123" s="297"/>
      <c r="AG123" s="305"/>
      <c r="AH123" s="300"/>
      <c r="AI123" s="300"/>
      <c r="AJ123" s="300"/>
      <c r="AK123" s="300"/>
      <c r="AL123" s="300"/>
      <c r="AM123" s="300"/>
    </row>
    <row r="124" ht="15.75" customHeight="1">
      <c r="A124" s="303" t="s">
        <v>290</v>
      </c>
      <c r="B124" s="304" t="s">
        <v>239</v>
      </c>
      <c r="C124" s="304">
        <v>4510.0</v>
      </c>
      <c r="D124" s="304">
        <v>4575.0</v>
      </c>
      <c r="E124" s="304">
        <v>4624.0</v>
      </c>
      <c r="F124" s="304">
        <v>4700.0</v>
      </c>
      <c r="G124" s="304">
        <v>4792.0</v>
      </c>
      <c r="H124" s="304">
        <v>4804.0</v>
      </c>
      <c r="I124" s="304">
        <v>4844.0</v>
      </c>
      <c r="J124" s="304">
        <v>4846.0</v>
      </c>
      <c r="K124" s="304">
        <v>4966.0</v>
      </c>
      <c r="L124" s="304">
        <v>5147.0</v>
      </c>
      <c r="M124" s="304">
        <v>5262.0</v>
      </c>
      <c r="N124" s="304">
        <v>5347.0</v>
      </c>
      <c r="O124" s="304">
        <v>5384.0</v>
      </c>
      <c r="P124" s="304">
        <v>5427.0</v>
      </c>
      <c r="Q124" s="304">
        <v>5523.0</v>
      </c>
      <c r="R124" s="304">
        <v>5599.0</v>
      </c>
      <c r="S124" s="304">
        <v>5671.0</v>
      </c>
      <c r="T124" s="304">
        <v>5777.0</v>
      </c>
      <c r="U124" s="304"/>
      <c r="V124" s="297"/>
      <c r="W124" s="297"/>
      <c r="X124" s="297"/>
      <c r="Y124" s="297"/>
      <c r="Z124" s="297"/>
      <c r="AA124" s="297"/>
      <c r="AB124" s="297"/>
      <c r="AC124" s="297"/>
      <c r="AD124" s="297"/>
      <c r="AE124" s="297"/>
      <c r="AF124" s="297"/>
      <c r="AG124" s="305"/>
      <c r="AH124" s="300"/>
      <c r="AI124" s="300"/>
      <c r="AJ124" s="300"/>
      <c r="AK124" s="300"/>
      <c r="AL124" s="300"/>
      <c r="AM124" s="300"/>
    </row>
    <row r="125" ht="15.75" customHeight="1">
      <c r="A125" s="303" t="s">
        <v>292</v>
      </c>
      <c r="B125" s="304" t="s">
        <v>239</v>
      </c>
      <c r="C125" s="304">
        <v>11398.0</v>
      </c>
      <c r="D125" s="304">
        <v>11209.0</v>
      </c>
      <c r="E125" s="304">
        <v>11157.0</v>
      </c>
      <c r="F125" s="304">
        <v>11073.0</v>
      </c>
      <c r="G125" s="304">
        <v>11231.0</v>
      </c>
      <c r="H125" s="304">
        <v>11193.0</v>
      </c>
      <c r="I125" s="304">
        <v>11222.0</v>
      </c>
      <c r="J125" s="304">
        <v>11350.0</v>
      </c>
      <c r="K125" s="304">
        <v>11419.0</v>
      </c>
      <c r="L125" s="304">
        <v>11541.0</v>
      </c>
      <c r="M125" s="304">
        <v>11667.0</v>
      </c>
      <c r="N125" s="304">
        <v>11726.0</v>
      </c>
      <c r="O125" s="304">
        <v>11765.0</v>
      </c>
      <c r="P125" s="304">
        <v>11939.0</v>
      </c>
      <c r="Q125" s="304">
        <v>11859.0</v>
      </c>
      <c r="R125" s="304">
        <v>11956.0</v>
      </c>
      <c r="S125" s="304">
        <v>11941.0</v>
      </c>
      <c r="T125" s="304">
        <v>11906.0</v>
      </c>
      <c r="U125" s="304"/>
      <c r="V125" s="297"/>
      <c r="W125" s="297"/>
      <c r="X125" s="297"/>
      <c r="Y125" s="297"/>
      <c r="Z125" s="297"/>
      <c r="AA125" s="297"/>
      <c r="AB125" s="297"/>
      <c r="AC125" s="297"/>
      <c r="AD125" s="297"/>
      <c r="AE125" s="297"/>
      <c r="AF125" s="297"/>
      <c r="AG125" s="305"/>
      <c r="AH125" s="300"/>
      <c r="AI125" s="300"/>
      <c r="AJ125" s="300"/>
      <c r="AK125" s="300"/>
      <c r="AL125" s="300"/>
      <c r="AM125" s="300"/>
    </row>
    <row r="126" ht="15.75" customHeight="1">
      <c r="A126" s="303" t="s">
        <v>246</v>
      </c>
      <c r="B126" s="304" t="s">
        <v>239</v>
      </c>
      <c r="C126" s="304">
        <v>1257.0</v>
      </c>
      <c r="D126" s="304">
        <v>1235.0</v>
      </c>
      <c r="E126" s="304">
        <v>1228.0</v>
      </c>
      <c r="F126" s="304">
        <v>1218.0</v>
      </c>
      <c r="G126" s="304">
        <v>1233.0</v>
      </c>
      <c r="H126" s="304">
        <v>1229.0</v>
      </c>
      <c r="I126" s="304">
        <v>1234.0</v>
      </c>
      <c r="J126" s="304">
        <v>1248.0</v>
      </c>
      <c r="K126" s="304">
        <v>1256.0</v>
      </c>
      <c r="L126" s="304">
        <v>1271.0</v>
      </c>
      <c r="M126" s="304">
        <v>1286.0</v>
      </c>
      <c r="N126" s="304">
        <v>1290.0</v>
      </c>
      <c r="O126" s="304">
        <v>1291.0</v>
      </c>
      <c r="P126" s="304">
        <v>1305.0</v>
      </c>
      <c r="Q126" s="304">
        <v>1294.0</v>
      </c>
      <c r="R126" s="304">
        <v>1300.0</v>
      </c>
      <c r="S126" s="304">
        <v>1296.0</v>
      </c>
      <c r="T126" s="304">
        <v>1293.0</v>
      </c>
      <c r="U126" s="304"/>
      <c r="V126" s="297"/>
      <c r="W126" s="297"/>
      <c r="X126" s="297"/>
      <c r="Y126" s="297"/>
      <c r="Z126" s="297"/>
      <c r="AA126" s="297"/>
      <c r="AB126" s="297"/>
      <c r="AC126" s="297"/>
      <c r="AD126" s="297"/>
      <c r="AE126" s="297"/>
      <c r="AF126" s="297"/>
      <c r="AG126" s="305"/>
      <c r="AH126" s="300"/>
      <c r="AI126" s="300"/>
      <c r="AJ126" s="300"/>
      <c r="AK126" s="300"/>
      <c r="AL126" s="300"/>
      <c r="AM126" s="300"/>
    </row>
    <row r="127" ht="15.75" customHeight="1">
      <c r="A127" s="303" t="s">
        <v>248</v>
      </c>
      <c r="B127" s="304" t="s">
        <v>239</v>
      </c>
      <c r="C127" s="304">
        <v>238.0</v>
      </c>
      <c r="D127" s="304">
        <v>238.0</v>
      </c>
      <c r="E127" s="304">
        <v>242.0</v>
      </c>
      <c r="F127" s="304">
        <v>244.0</v>
      </c>
      <c r="G127" s="304">
        <v>253.0</v>
      </c>
      <c r="H127" s="304">
        <v>256.0</v>
      </c>
      <c r="I127" s="304">
        <v>261.0</v>
      </c>
      <c r="J127" s="304">
        <v>268.0</v>
      </c>
      <c r="K127" s="304">
        <v>274.0</v>
      </c>
      <c r="L127" s="304">
        <v>282.0</v>
      </c>
      <c r="M127" s="304">
        <v>291.0</v>
      </c>
      <c r="N127" s="304">
        <v>301.0</v>
      </c>
      <c r="O127" s="304">
        <v>307.0</v>
      </c>
      <c r="P127" s="304">
        <v>319.0</v>
      </c>
      <c r="Q127" s="304">
        <v>326.0</v>
      </c>
      <c r="R127" s="304">
        <v>333.0</v>
      </c>
      <c r="S127" s="304">
        <v>335.0</v>
      </c>
      <c r="T127" s="304">
        <v>337.0</v>
      </c>
      <c r="U127" s="304"/>
      <c r="V127" s="297"/>
      <c r="W127" s="297"/>
      <c r="X127" s="297"/>
      <c r="Y127" s="297"/>
      <c r="Z127" s="297"/>
      <c r="AA127" s="297"/>
      <c r="AB127" s="297"/>
      <c r="AC127" s="297"/>
      <c r="AD127" s="297"/>
      <c r="AE127" s="297"/>
      <c r="AF127" s="297"/>
      <c r="AG127" s="305"/>
      <c r="AH127" s="300"/>
      <c r="AI127" s="300"/>
      <c r="AJ127" s="300"/>
      <c r="AK127" s="300"/>
      <c r="AL127" s="300"/>
      <c r="AM127" s="300"/>
    </row>
    <row r="128" ht="15.75" customHeight="1">
      <c r="A128" s="303" t="s">
        <v>249</v>
      </c>
      <c r="B128" s="304" t="s">
        <v>239</v>
      </c>
      <c r="C128" s="304">
        <v>546.0</v>
      </c>
      <c r="D128" s="304">
        <v>541.0</v>
      </c>
      <c r="E128" s="304">
        <v>542.0</v>
      </c>
      <c r="F128" s="304">
        <v>541.0</v>
      </c>
      <c r="G128" s="304">
        <v>552.0</v>
      </c>
      <c r="H128" s="304">
        <v>554.0</v>
      </c>
      <c r="I128" s="304">
        <v>558.0</v>
      </c>
      <c r="J128" s="304">
        <v>568.0</v>
      </c>
      <c r="K128" s="304">
        <v>575.0</v>
      </c>
      <c r="L128" s="304">
        <v>584.0</v>
      </c>
      <c r="M128" s="304">
        <v>592.0</v>
      </c>
      <c r="N128" s="304">
        <v>596.0</v>
      </c>
      <c r="O128" s="304">
        <v>601.0</v>
      </c>
      <c r="P128" s="304">
        <v>613.0</v>
      </c>
      <c r="Q128" s="304">
        <v>610.0</v>
      </c>
      <c r="R128" s="304">
        <v>619.0</v>
      </c>
      <c r="S128" s="304">
        <v>617.0</v>
      </c>
      <c r="T128" s="304">
        <v>616.0</v>
      </c>
      <c r="U128" s="304"/>
      <c r="V128" s="297"/>
      <c r="W128" s="297"/>
      <c r="X128" s="297"/>
      <c r="Y128" s="297"/>
      <c r="Z128" s="297"/>
      <c r="AA128" s="297"/>
      <c r="AB128" s="297"/>
      <c r="AC128" s="297"/>
      <c r="AD128" s="297"/>
      <c r="AE128" s="297"/>
      <c r="AF128" s="297"/>
      <c r="AG128" s="305"/>
      <c r="AH128" s="300"/>
      <c r="AI128" s="300"/>
      <c r="AJ128" s="300"/>
      <c r="AK128" s="300"/>
      <c r="AL128" s="300"/>
      <c r="AM128" s="300"/>
    </row>
    <row r="129" ht="15.75" customHeight="1">
      <c r="A129" s="303" t="s">
        <v>252</v>
      </c>
      <c r="B129" s="304" t="s">
        <v>239</v>
      </c>
      <c r="C129" s="304">
        <v>564.0</v>
      </c>
      <c r="D129" s="304">
        <v>563.0</v>
      </c>
      <c r="E129" s="304">
        <v>568.0</v>
      </c>
      <c r="F129" s="304">
        <v>571.0</v>
      </c>
      <c r="G129" s="304">
        <v>588.0</v>
      </c>
      <c r="H129" s="304">
        <v>593.0</v>
      </c>
      <c r="I129" s="304">
        <v>602.0</v>
      </c>
      <c r="J129" s="304">
        <v>617.0</v>
      </c>
      <c r="K129" s="304">
        <v>628.0</v>
      </c>
      <c r="L129" s="304">
        <v>642.0</v>
      </c>
      <c r="M129" s="304">
        <v>657.0</v>
      </c>
      <c r="N129" s="304">
        <v>677.0</v>
      </c>
      <c r="O129" s="304">
        <v>693.0</v>
      </c>
      <c r="P129" s="304">
        <v>711.0</v>
      </c>
      <c r="Q129" s="304">
        <v>715.0</v>
      </c>
      <c r="R129" s="304">
        <v>735.0</v>
      </c>
      <c r="S129" s="304">
        <v>743.0</v>
      </c>
      <c r="T129" s="304">
        <v>748.0</v>
      </c>
      <c r="U129" s="304"/>
      <c r="V129" s="297"/>
      <c r="W129" s="297"/>
      <c r="X129" s="297"/>
      <c r="Y129" s="297"/>
      <c r="Z129" s="297"/>
      <c r="AA129" s="297"/>
      <c r="AB129" s="297"/>
      <c r="AC129" s="297"/>
      <c r="AD129" s="297"/>
      <c r="AE129" s="297"/>
      <c r="AF129" s="297"/>
      <c r="AG129" s="305"/>
      <c r="AH129" s="300"/>
      <c r="AI129" s="300"/>
      <c r="AJ129" s="300"/>
      <c r="AK129" s="300"/>
      <c r="AL129" s="300"/>
      <c r="AM129" s="300"/>
    </row>
    <row r="130" ht="15.75" customHeight="1">
      <c r="A130" s="303" t="s">
        <v>254</v>
      </c>
      <c r="B130" s="304" t="s">
        <v>239</v>
      </c>
      <c r="C130" s="304">
        <v>176.0</v>
      </c>
      <c r="D130" s="304">
        <v>173.0</v>
      </c>
      <c r="E130" s="304">
        <v>172.0</v>
      </c>
      <c r="F130" s="304">
        <v>171.0</v>
      </c>
      <c r="G130" s="304">
        <v>173.0</v>
      </c>
      <c r="H130" s="304">
        <v>172.0</v>
      </c>
      <c r="I130" s="304">
        <v>172.0</v>
      </c>
      <c r="J130" s="304">
        <v>174.0</v>
      </c>
      <c r="K130" s="304">
        <v>175.0</v>
      </c>
      <c r="L130" s="304">
        <v>176.0</v>
      </c>
      <c r="M130" s="304">
        <v>178.0</v>
      </c>
      <c r="N130" s="304">
        <v>180.0</v>
      </c>
      <c r="O130" s="304">
        <v>180.0</v>
      </c>
      <c r="P130" s="304">
        <v>183.0</v>
      </c>
      <c r="Q130" s="304">
        <v>181.0</v>
      </c>
      <c r="R130" s="304">
        <v>184.0</v>
      </c>
      <c r="S130" s="304">
        <v>183.0</v>
      </c>
      <c r="T130" s="304">
        <v>185.0</v>
      </c>
      <c r="U130" s="304"/>
      <c r="V130" s="297"/>
      <c r="W130" s="297"/>
      <c r="X130" s="297"/>
      <c r="Y130" s="297"/>
      <c r="Z130" s="297"/>
      <c r="AA130" s="297"/>
      <c r="AB130" s="297"/>
      <c r="AC130" s="297"/>
      <c r="AD130" s="297"/>
      <c r="AE130" s="297"/>
      <c r="AF130" s="297"/>
      <c r="AG130" s="305"/>
      <c r="AH130" s="300"/>
      <c r="AI130" s="300"/>
      <c r="AJ130" s="300"/>
      <c r="AK130" s="300"/>
      <c r="AL130" s="300"/>
      <c r="AM130" s="300"/>
    </row>
    <row r="131" ht="15.75" customHeight="1">
      <c r="A131" s="303" t="s">
        <v>299</v>
      </c>
      <c r="B131" s="304" t="s">
        <v>239</v>
      </c>
      <c r="C131" s="304">
        <v>178.0</v>
      </c>
      <c r="D131" s="304">
        <v>171.0</v>
      </c>
      <c r="E131" s="304">
        <v>165.0</v>
      </c>
      <c r="F131" s="304">
        <v>160.0</v>
      </c>
      <c r="G131" s="304">
        <v>158.0</v>
      </c>
      <c r="H131" s="304">
        <v>153.0</v>
      </c>
      <c r="I131" s="304">
        <v>149.0</v>
      </c>
      <c r="J131" s="304">
        <v>146.0</v>
      </c>
      <c r="K131" s="304">
        <v>143.0</v>
      </c>
      <c r="L131" s="304">
        <v>140.0</v>
      </c>
      <c r="M131" s="304">
        <v>138.0</v>
      </c>
      <c r="N131" s="304">
        <v>138.0</v>
      </c>
      <c r="O131" s="304">
        <v>138.0</v>
      </c>
      <c r="P131" s="304">
        <v>140.0</v>
      </c>
      <c r="Q131" s="304">
        <v>138.0</v>
      </c>
      <c r="R131" s="304">
        <v>139.0</v>
      </c>
      <c r="S131" s="304">
        <v>139.0</v>
      </c>
      <c r="T131" s="304">
        <v>138.0</v>
      </c>
      <c r="U131" s="304"/>
      <c r="V131" s="297"/>
      <c r="W131" s="297"/>
      <c r="X131" s="297"/>
      <c r="Y131" s="297"/>
      <c r="Z131" s="297"/>
      <c r="AA131" s="297"/>
      <c r="AB131" s="297"/>
      <c r="AC131" s="297"/>
      <c r="AD131" s="297"/>
      <c r="AE131" s="297"/>
      <c r="AF131" s="297"/>
      <c r="AG131" s="305"/>
      <c r="AH131" s="300"/>
      <c r="AI131" s="300"/>
      <c r="AJ131" s="300"/>
      <c r="AK131" s="300"/>
      <c r="AL131" s="300"/>
      <c r="AM131" s="300"/>
    </row>
    <row r="132" ht="15.75" customHeight="1">
      <c r="A132" s="303" t="s">
        <v>259</v>
      </c>
      <c r="B132" s="304" t="s">
        <v>239</v>
      </c>
      <c r="C132" s="304">
        <v>1815.0</v>
      </c>
      <c r="D132" s="304">
        <v>1784.0</v>
      </c>
      <c r="E132" s="304">
        <v>1775.0</v>
      </c>
      <c r="F132" s="304">
        <v>1761.0</v>
      </c>
      <c r="G132" s="304">
        <v>1785.0</v>
      </c>
      <c r="H132" s="304">
        <v>1779.0</v>
      </c>
      <c r="I132" s="304">
        <v>1781.0</v>
      </c>
      <c r="J132" s="304">
        <v>1800.0</v>
      </c>
      <c r="K132" s="304">
        <v>1810.0</v>
      </c>
      <c r="L132" s="304">
        <v>1828.0</v>
      </c>
      <c r="M132" s="304">
        <v>1845.0</v>
      </c>
      <c r="N132" s="304">
        <v>1849.0</v>
      </c>
      <c r="O132" s="304">
        <v>1852.0</v>
      </c>
      <c r="P132" s="304">
        <v>1878.0</v>
      </c>
      <c r="Q132" s="304">
        <v>1862.0</v>
      </c>
      <c r="R132" s="304">
        <v>1874.0</v>
      </c>
      <c r="S132" s="304">
        <v>1869.0</v>
      </c>
      <c r="T132" s="304">
        <v>1862.0</v>
      </c>
      <c r="U132" s="304"/>
      <c r="V132" s="297"/>
      <c r="W132" s="297"/>
      <c r="X132" s="297"/>
      <c r="Y132" s="297"/>
      <c r="Z132" s="297"/>
      <c r="AA132" s="297"/>
      <c r="AB132" s="297"/>
      <c r="AC132" s="297"/>
      <c r="AD132" s="297"/>
      <c r="AE132" s="297"/>
      <c r="AF132" s="297"/>
      <c r="AG132" s="305"/>
      <c r="AH132" s="300"/>
      <c r="AI132" s="300"/>
      <c r="AJ132" s="300"/>
      <c r="AK132" s="300"/>
      <c r="AL132" s="300"/>
      <c r="AM132" s="300"/>
    </row>
    <row r="133" ht="15.75" customHeight="1">
      <c r="A133" s="303" t="s">
        <v>266</v>
      </c>
      <c r="B133" s="304" t="s">
        <v>239</v>
      </c>
      <c r="C133" s="304">
        <v>2350.0</v>
      </c>
      <c r="D133" s="304">
        <v>2306.0</v>
      </c>
      <c r="E133" s="304">
        <v>2290.0</v>
      </c>
      <c r="F133" s="304">
        <v>2269.0</v>
      </c>
      <c r="G133" s="304">
        <v>2296.0</v>
      </c>
      <c r="H133" s="304">
        <v>2284.0</v>
      </c>
      <c r="I133" s="304">
        <v>2286.0</v>
      </c>
      <c r="J133" s="304">
        <v>2307.0</v>
      </c>
      <c r="K133" s="304">
        <v>2317.0</v>
      </c>
      <c r="L133" s="304">
        <v>2337.0</v>
      </c>
      <c r="M133" s="304">
        <v>2360.0</v>
      </c>
      <c r="N133" s="304">
        <v>2367.0</v>
      </c>
      <c r="O133" s="304">
        <v>2372.0</v>
      </c>
      <c r="P133" s="304">
        <v>2404.0</v>
      </c>
      <c r="Q133" s="304">
        <v>2387.0</v>
      </c>
      <c r="R133" s="304">
        <v>2403.0</v>
      </c>
      <c r="S133" s="304">
        <v>2403.0</v>
      </c>
      <c r="T133" s="304">
        <v>2393.0</v>
      </c>
      <c r="U133" s="304"/>
      <c r="V133" s="297"/>
      <c r="W133" s="297"/>
      <c r="X133" s="297"/>
      <c r="Y133" s="297"/>
      <c r="Z133" s="297"/>
      <c r="AA133" s="297"/>
      <c r="AB133" s="297"/>
      <c r="AC133" s="297"/>
      <c r="AD133" s="297"/>
      <c r="AE133" s="297"/>
      <c r="AF133" s="297"/>
      <c r="AG133" s="305"/>
      <c r="AH133" s="300"/>
      <c r="AI133" s="300"/>
      <c r="AJ133" s="300"/>
      <c r="AK133" s="300"/>
      <c r="AL133" s="300"/>
      <c r="AM133" s="300"/>
    </row>
    <row r="134" ht="15.75" customHeight="1">
      <c r="A134" s="303" t="s">
        <v>267</v>
      </c>
      <c r="B134" s="304" t="s">
        <v>239</v>
      </c>
      <c r="C134" s="304">
        <v>105.0</v>
      </c>
      <c r="D134" s="304">
        <v>104.0</v>
      </c>
      <c r="E134" s="304">
        <v>104.0</v>
      </c>
      <c r="F134" s="304">
        <v>104.0</v>
      </c>
      <c r="G134" s="304">
        <v>106.0</v>
      </c>
      <c r="H134" s="304">
        <v>106.0</v>
      </c>
      <c r="I134" s="304">
        <v>107.0</v>
      </c>
      <c r="J134" s="304">
        <v>109.0</v>
      </c>
      <c r="K134" s="304">
        <v>110.0</v>
      </c>
      <c r="L134" s="304">
        <v>112.0</v>
      </c>
      <c r="M134" s="304">
        <v>114.0</v>
      </c>
      <c r="N134" s="304">
        <v>114.0</v>
      </c>
      <c r="O134" s="304">
        <v>114.0</v>
      </c>
      <c r="P134" s="304">
        <v>118.0</v>
      </c>
      <c r="Q134" s="304">
        <v>116.0</v>
      </c>
      <c r="R134" s="304">
        <v>117.0</v>
      </c>
      <c r="S134" s="304">
        <v>117.0</v>
      </c>
      <c r="T134" s="304">
        <v>116.0</v>
      </c>
      <c r="U134" s="304"/>
      <c r="V134" s="297"/>
      <c r="W134" s="297"/>
      <c r="X134" s="297"/>
      <c r="Y134" s="297"/>
      <c r="Z134" s="297"/>
      <c r="AA134" s="297"/>
      <c r="AB134" s="297"/>
      <c r="AC134" s="297"/>
      <c r="AD134" s="297"/>
      <c r="AE134" s="297"/>
      <c r="AF134" s="297"/>
      <c r="AG134" s="305"/>
      <c r="AH134" s="300"/>
      <c r="AI134" s="300"/>
      <c r="AJ134" s="300"/>
      <c r="AK134" s="300"/>
      <c r="AL134" s="300"/>
      <c r="AM134" s="300"/>
    </row>
    <row r="135" ht="15.75" customHeight="1">
      <c r="A135" s="303" t="s">
        <v>301</v>
      </c>
      <c r="B135" s="304" t="s">
        <v>239</v>
      </c>
      <c r="C135" s="304">
        <v>4169.0</v>
      </c>
      <c r="D135" s="304">
        <v>4094.0</v>
      </c>
      <c r="E135" s="304">
        <v>4071.0</v>
      </c>
      <c r="F135" s="304">
        <v>4034.0</v>
      </c>
      <c r="G135" s="304">
        <v>4087.0</v>
      </c>
      <c r="H135" s="304">
        <v>4067.0</v>
      </c>
      <c r="I135" s="304">
        <v>4072.0</v>
      </c>
      <c r="J135" s="304">
        <v>4113.0</v>
      </c>
      <c r="K135" s="304">
        <v>4131.0</v>
      </c>
      <c r="L135" s="304">
        <v>4169.0</v>
      </c>
      <c r="M135" s="304">
        <v>4206.0</v>
      </c>
      <c r="N135" s="304">
        <v>4214.0</v>
      </c>
      <c r="O135" s="304">
        <v>4217.0</v>
      </c>
      <c r="P135" s="304">
        <v>4268.0</v>
      </c>
      <c r="Q135" s="304">
        <v>4230.0</v>
      </c>
      <c r="R135" s="304">
        <v>4252.0</v>
      </c>
      <c r="S135" s="304">
        <v>4239.0</v>
      </c>
      <c r="T135" s="304">
        <v>4218.0</v>
      </c>
      <c r="U135" s="304"/>
      <c r="V135" s="297"/>
      <c r="W135" s="297"/>
      <c r="X135" s="297"/>
      <c r="Y135" s="297"/>
      <c r="Z135" s="297"/>
      <c r="AA135" s="297"/>
      <c r="AB135" s="297"/>
      <c r="AC135" s="297"/>
      <c r="AD135" s="297"/>
      <c r="AE135" s="297"/>
      <c r="AF135" s="297"/>
      <c r="AG135" s="305"/>
      <c r="AH135" s="300"/>
      <c r="AI135" s="300"/>
      <c r="AJ135" s="300"/>
      <c r="AK135" s="300"/>
      <c r="AL135" s="300"/>
      <c r="AM135" s="300"/>
    </row>
    <row r="136" ht="15.75" customHeight="1">
      <c r="A136" s="303" t="s">
        <v>302</v>
      </c>
      <c r="B136" s="304" t="s">
        <v>239</v>
      </c>
      <c r="C136" s="304">
        <v>33979.0</v>
      </c>
      <c r="D136" s="304">
        <v>34699.0</v>
      </c>
      <c r="E136" s="304">
        <v>36193.0</v>
      </c>
      <c r="F136" s="304">
        <v>36586.0</v>
      </c>
      <c r="G136" s="304">
        <v>36907.0</v>
      </c>
      <c r="H136" s="304">
        <v>37888.0</v>
      </c>
      <c r="I136" s="304">
        <v>39497.0</v>
      </c>
      <c r="J136" s="304">
        <v>41651.0</v>
      </c>
      <c r="K136" s="304">
        <v>42846.0</v>
      </c>
      <c r="L136" s="304">
        <v>45650.0</v>
      </c>
      <c r="M136" s="304">
        <v>46233.0</v>
      </c>
      <c r="N136" s="304">
        <v>46560.0</v>
      </c>
      <c r="O136" s="304">
        <v>47861.0</v>
      </c>
      <c r="P136" s="304">
        <v>48051.0</v>
      </c>
      <c r="Q136" s="304">
        <v>48192.0</v>
      </c>
      <c r="R136" s="304">
        <v>49293.0</v>
      </c>
      <c r="S136" s="304">
        <v>48800.0</v>
      </c>
      <c r="T136" s="304">
        <v>46242.0</v>
      </c>
      <c r="U136" s="304"/>
      <c r="V136" s="297"/>
      <c r="W136" s="297"/>
      <c r="X136" s="297"/>
      <c r="Y136" s="297"/>
      <c r="Z136" s="297"/>
      <c r="AA136" s="297"/>
      <c r="AB136" s="297"/>
      <c r="AC136" s="297"/>
      <c r="AD136" s="297"/>
      <c r="AE136" s="297"/>
      <c r="AF136" s="297"/>
      <c r="AG136" s="305"/>
      <c r="AH136" s="300"/>
      <c r="AI136" s="300"/>
      <c r="AJ136" s="300"/>
      <c r="AK136" s="300"/>
      <c r="AL136" s="300"/>
      <c r="AM136" s="300"/>
    </row>
    <row r="137" ht="15.75" customHeight="1">
      <c r="A137" s="303" t="s">
        <v>135</v>
      </c>
      <c r="B137" s="304" t="s">
        <v>239</v>
      </c>
      <c r="C137" s="304">
        <v>20939.0</v>
      </c>
      <c r="D137" s="304">
        <v>21449.0</v>
      </c>
      <c r="E137" s="304">
        <v>22435.0</v>
      </c>
      <c r="F137" s="304">
        <v>22742.0</v>
      </c>
      <c r="G137" s="304">
        <v>23002.0</v>
      </c>
      <c r="H137" s="304">
        <v>23670.0</v>
      </c>
      <c r="I137" s="304">
        <v>24728.0</v>
      </c>
      <c r="J137" s="304">
        <v>26128.0</v>
      </c>
      <c r="K137" s="304">
        <v>26931.0</v>
      </c>
      <c r="L137" s="304">
        <v>28742.0</v>
      </c>
      <c r="M137" s="304">
        <v>29947.0</v>
      </c>
      <c r="N137" s="304">
        <v>30392.0</v>
      </c>
      <c r="O137" s="304">
        <v>31378.0</v>
      </c>
      <c r="P137" s="304">
        <v>31637.0</v>
      </c>
      <c r="Q137" s="304">
        <v>31820.0</v>
      </c>
      <c r="R137" s="304">
        <v>32611.0</v>
      </c>
      <c r="S137" s="304">
        <v>32290.0</v>
      </c>
      <c r="T137" s="304">
        <v>30560.0</v>
      </c>
      <c r="U137" s="304"/>
      <c r="V137" s="297"/>
      <c r="W137" s="297"/>
      <c r="X137" s="297"/>
      <c r="Y137" s="297"/>
      <c r="Z137" s="297"/>
      <c r="AA137" s="297"/>
      <c r="AB137" s="297"/>
      <c r="AC137" s="297"/>
      <c r="AD137" s="297"/>
      <c r="AE137" s="297"/>
      <c r="AF137" s="297"/>
      <c r="AG137" s="305"/>
      <c r="AH137" s="300"/>
      <c r="AI137" s="300"/>
      <c r="AJ137" s="300"/>
      <c r="AK137" s="300"/>
      <c r="AL137" s="300"/>
      <c r="AM137" s="300"/>
    </row>
    <row r="138" ht="15.75" customHeight="1">
      <c r="A138" s="303" t="s">
        <v>286</v>
      </c>
      <c r="B138" s="304" t="s">
        <v>239</v>
      </c>
      <c r="C138" s="304">
        <v>1362.0</v>
      </c>
      <c r="D138" s="304">
        <v>1387.0</v>
      </c>
      <c r="E138" s="304">
        <v>1443.0</v>
      </c>
      <c r="F138" s="304">
        <v>1454.0</v>
      </c>
      <c r="G138" s="304">
        <v>1463.0</v>
      </c>
      <c r="H138" s="304">
        <v>1498.0</v>
      </c>
      <c r="I138" s="304">
        <v>1558.0</v>
      </c>
      <c r="J138" s="304">
        <v>1640.0</v>
      </c>
      <c r="K138" s="304">
        <v>1684.0</v>
      </c>
      <c r="L138" s="304">
        <v>1791.0</v>
      </c>
      <c r="M138" s="304">
        <v>1807.0</v>
      </c>
      <c r="N138" s="304">
        <v>1809.0</v>
      </c>
      <c r="O138" s="304">
        <v>1858.0</v>
      </c>
      <c r="P138" s="304">
        <v>1852.0</v>
      </c>
      <c r="Q138" s="304">
        <v>1848.0</v>
      </c>
      <c r="R138" s="304">
        <v>1871.0</v>
      </c>
      <c r="S138" s="304">
        <v>1845.0</v>
      </c>
      <c r="T138" s="304">
        <v>1742.0</v>
      </c>
      <c r="U138" s="304"/>
      <c r="V138" s="297"/>
      <c r="W138" s="297"/>
      <c r="X138" s="297"/>
      <c r="Y138" s="297"/>
      <c r="Z138" s="297"/>
      <c r="AA138" s="297"/>
      <c r="AB138" s="297"/>
      <c r="AC138" s="297"/>
      <c r="AD138" s="297"/>
      <c r="AE138" s="297"/>
      <c r="AF138" s="297"/>
      <c r="AG138" s="305"/>
      <c r="AH138" s="300"/>
      <c r="AI138" s="300"/>
      <c r="AJ138" s="300"/>
      <c r="AK138" s="300"/>
      <c r="AL138" s="300"/>
      <c r="AM138" s="300"/>
    </row>
    <row r="139" ht="15.75" customHeight="1">
      <c r="A139" s="303" t="s">
        <v>303</v>
      </c>
      <c r="B139" s="304" t="s">
        <v>239</v>
      </c>
      <c r="C139" s="304">
        <v>11678.0</v>
      </c>
      <c r="D139" s="304">
        <v>11863.0</v>
      </c>
      <c r="E139" s="304">
        <v>12315.0</v>
      </c>
      <c r="F139" s="304">
        <v>12390.0</v>
      </c>
      <c r="G139" s="304">
        <v>12442.0</v>
      </c>
      <c r="H139" s="304">
        <v>12720.0</v>
      </c>
      <c r="I139" s="304">
        <v>13211.0</v>
      </c>
      <c r="J139" s="304">
        <v>13883.0</v>
      </c>
      <c r="K139" s="304">
        <v>14231.0</v>
      </c>
      <c r="L139" s="304">
        <v>15117.0</v>
      </c>
      <c r="M139" s="304">
        <v>14479.0</v>
      </c>
      <c r="N139" s="304">
        <v>14359.0</v>
      </c>
      <c r="O139" s="304">
        <v>14625.0</v>
      </c>
      <c r="P139" s="304">
        <v>14562.0</v>
      </c>
      <c r="Q139" s="304">
        <v>14524.0</v>
      </c>
      <c r="R139" s="304">
        <v>14811.0</v>
      </c>
      <c r="S139" s="304">
        <v>14665.0</v>
      </c>
      <c r="T139" s="304">
        <v>13940.0</v>
      </c>
      <c r="U139" s="304"/>
      <c r="V139" s="297"/>
      <c r="W139" s="297"/>
      <c r="X139" s="297"/>
      <c r="Y139" s="297"/>
      <c r="Z139" s="297"/>
      <c r="AA139" s="297"/>
      <c r="AB139" s="297"/>
      <c r="AC139" s="297"/>
      <c r="AD139" s="297"/>
      <c r="AE139" s="297"/>
      <c r="AF139" s="297"/>
      <c r="AG139" s="305"/>
      <c r="AH139" s="300"/>
      <c r="AI139" s="300"/>
      <c r="AJ139" s="300"/>
      <c r="AK139" s="300"/>
      <c r="AL139" s="300"/>
      <c r="AM139" s="300"/>
    </row>
    <row r="140" ht="15.75" customHeight="1">
      <c r="A140" s="303" t="s">
        <v>305</v>
      </c>
      <c r="B140" s="304" t="s">
        <v>239</v>
      </c>
      <c r="C140" s="304">
        <v>15582.0</v>
      </c>
      <c r="D140" s="304">
        <v>15217.0</v>
      </c>
      <c r="E140" s="304">
        <v>15256.0</v>
      </c>
      <c r="F140" s="304">
        <v>15240.0</v>
      </c>
      <c r="G140" s="304">
        <v>15236.0</v>
      </c>
      <c r="H140" s="304">
        <v>15077.0</v>
      </c>
      <c r="I140" s="304">
        <v>15136.0</v>
      </c>
      <c r="J140" s="304">
        <v>15494.0</v>
      </c>
      <c r="K140" s="304">
        <v>15658.0</v>
      </c>
      <c r="L140" s="304">
        <v>15977.0</v>
      </c>
      <c r="M140" s="304">
        <v>15849.0</v>
      </c>
      <c r="N140" s="304">
        <v>15848.0</v>
      </c>
      <c r="O140" s="304">
        <v>15732.0</v>
      </c>
      <c r="P140" s="304">
        <v>15861.0</v>
      </c>
      <c r="Q140" s="304">
        <v>15907.0</v>
      </c>
      <c r="R140" s="304">
        <v>15645.0</v>
      </c>
      <c r="S140" s="304">
        <v>15727.0</v>
      </c>
      <c r="T140" s="304">
        <v>15303.0</v>
      </c>
      <c r="U140" s="304"/>
      <c r="V140" s="297"/>
      <c r="W140" s="297"/>
      <c r="X140" s="297"/>
      <c r="Y140" s="297"/>
      <c r="Z140" s="297"/>
      <c r="AA140" s="297"/>
      <c r="AB140" s="297"/>
      <c r="AC140" s="297"/>
      <c r="AD140" s="297"/>
      <c r="AE140" s="297"/>
      <c r="AF140" s="297"/>
      <c r="AG140" s="305"/>
      <c r="AH140" s="300"/>
      <c r="AI140" s="300"/>
      <c r="AJ140" s="300"/>
      <c r="AK140" s="300"/>
      <c r="AL140" s="300"/>
      <c r="AM140" s="300"/>
    </row>
    <row r="141" ht="15.75" customHeight="1">
      <c r="A141" s="303" t="s">
        <v>75</v>
      </c>
      <c r="B141" s="304" t="s">
        <v>239</v>
      </c>
      <c r="C141" s="304">
        <v>376.0</v>
      </c>
      <c r="D141" s="304">
        <v>377.0</v>
      </c>
      <c r="E141" s="304">
        <v>383.0</v>
      </c>
      <c r="F141" s="304">
        <v>387.0</v>
      </c>
      <c r="G141" s="304">
        <v>392.0</v>
      </c>
      <c r="H141" s="304">
        <v>393.0</v>
      </c>
      <c r="I141" s="304">
        <v>402.0</v>
      </c>
      <c r="J141" s="304">
        <v>416.0</v>
      </c>
      <c r="K141" s="304">
        <v>428.0</v>
      </c>
      <c r="L141" s="304">
        <v>438.0</v>
      </c>
      <c r="M141" s="304">
        <v>439.0</v>
      </c>
      <c r="N141" s="304">
        <v>446.0</v>
      </c>
      <c r="O141" s="304">
        <v>441.0</v>
      </c>
      <c r="P141" s="304">
        <v>445.0</v>
      </c>
      <c r="Q141" s="304">
        <v>447.0</v>
      </c>
      <c r="R141" s="304">
        <v>439.0</v>
      </c>
      <c r="S141" s="304">
        <v>440.0</v>
      </c>
      <c r="T141" s="304">
        <v>428.0</v>
      </c>
      <c r="U141" s="304"/>
      <c r="V141" s="297"/>
      <c r="W141" s="297"/>
      <c r="X141" s="297"/>
      <c r="Y141" s="297"/>
      <c r="Z141" s="297"/>
      <c r="AA141" s="297"/>
      <c r="AB141" s="297"/>
      <c r="AC141" s="297"/>
      <c r="AD141" s="297"/>
      <c r="AE141" s="297"/>
      <c r="AF141" s="297"/>
      <c r="AG141" s="305"/>
      <c r="AH141" s="300"/>
      <c r="AI141" s="300"/>
      <c r="AJ141" s="300"/>
      <c r="AK141" s="300"/>
      <c r="AL141" s="300"/>
      <c r="AM141" s="300"/>
    </row>
    <row r="142" ht="15.75" customHeight="1">
      <c r="A142" s="303" t="s">
        <v>83</v>
      </c>
      <c r="B142" s="304" t="s">
        <v>239</v>
      </c>
      <c r="C142" s="304">
        <v>85.0</v>
      </c>
      <c r="D142" s="304">
        <v>85.0</v>
      </c>
      <c r="E142" s="304">
        <v>86.0</v>
      </c>
      <c r="F142" s="304">
        <v>87.0</v>
      </c>
      <c r="G142" s="304">
        <v>87.0</v>
      </c>
      <c r="H142" s="304">
        <v>88.0</v>
      </c>
      <c r="I142" s="304">
        <v>89.0</v>
      </c>
      <c r="J142" s="304">
        <v>92.0</v>
      </c>
      <c r="K142" s="304">
        <v>95.0</v>
      </c>
      <c r="L142" s="304">
        <v>97.0</v>
      </c>
      <c r="M142" s="304">
        <v>97.0</v>
      </c>
      <c r="N142" s="304">
        <v>98.0</v>
      </c>
      <c r="O142" s="304">
        <v>97.0</v>
      </c>
      <c r="P142" s="304">
        <v>99.0</v>
      </c>
      <c r="Q142" s="304">
        <v>99.0</v>
      </c>
      <c r="R142" s="304">
        <v>98.0</v>
      </c>
      <c r="S142" s="304">
        <v>99.0</v>
      </c>
      <c r="T142" s="304">
        <v>97.0</v>
      </c>
      <c r="U142" s="304"/>
      <c r="V142" s="297"/>
      <c r="W142" s="297"/>
      <c r="X142" s="297"/>
      <c r="Y142" s="297"/>
      <c r="Z142" s="297"/>
      <c r="AA142" s="297"/>
      <c r="AB142" s="297"/>
      <c r="AC142" s="297"/>
      <c r="AD142" s="297"/>
      <c r="AE142" s="297"/>
      <c r="AF142" s="297"/>
      <c r="AG142" s="305"/>
      <c r="AH142" s="300"/>
      <c r="AI142" s="300"/>
      <c r="AJ142" s="300"/>
      <c r="AK142" s="300"/>
      <c r="AL142" s="300"/>
      <c r="AM142" s="300"/>
    </row>
    <row r="143" ht="15.75" customHeight="1">
      <c r="A143" s="303" t="s">
        <v>151</v>
      </c>
      <c r="B143" s="304" t="s">
        <v>239</v>
      </c>
      <c r="C143" s="304">
        <v>192.0</v>
      </c>
      <c r="D143" s="304">
        <v>190.0</v>
      </c>
      <c r="E143" s="304">
        <v>189.0</v>
      </c>
      <c r="F143" s="304">
        <v>188.0</v>
      </c>
      <c r="G143" s="304">
        <v>187.0</v>
      </c>
      <c r="H143" s="304">
        <v>184.0</v>
      </c>
      <c r="I143" s="304">
        <v>185.0</v>
      </c>
      <c r="J143" s="304">
        <v>189.0</v>
      </c>
      <c r="K143" s="304">
        <v>191.0</v>
      </c>
      <c r="L143" s="304">
        <v>193.0</v>
      </c>
      <c r="M143" s="304">
        <v>190.0</v>
      </c>
      <c r="N143" s="304">
        <v>192.0</v>
      </c>
      <c r="O143" s="304">
        <v>193.0</v>
      </c>
      <c r="P143" s="304">
        <v>194.0</v>
      </c>
      <c r="Q143" s="304">
        <v>194.0</v>
      </c>
      <c r="R143" s="304">
        <v>193.0</v>
      </c>
      <c r="S143" s="304">
        <v>194.0</v>
      </c>
      <c r="T143" s="304">
        <v>189.0</v>
      </c>
      <c r="U143" s="304"/>
      <c r="V143" s="297"/>
      <c r="W143" s="297"/>
      <c r="X143" s="297"/>
      <c r="Y143" s="297"/>
      <c r="Z143" s="297"/>
      <c r="AA143" s="297"/>
      <c r="AB143" s="297"/>
      <c r="AC143" s="297"/>
      <c r="AD143" s="297"/>
      <c r="AE143" s="297"/>
      <c r="AF143" s="297"/>
      <c r="AG143" s="305"/>
      <c r="AH143" s="300"/>
      <c r="AI143" s="300"/>
      <c r="AJ143" s="300"/>
      <c r="AK143" s="300"/>
      <c r="AL143" s="300"/>
      <c r="AM143" s="300"/>
    </row>
    <row r="144" ht="15.75" customHeight="1">
      <c r="A144" s="303" t="s">
        <v>165</v>
      </c>
      <c r="B144" s="304" t="s">
        <v>239</v>
      </c>
      <c r="C144" s="304">
        <v>440.0</v>
      </c>
      <c r="D144" s="304">
        <v>435.0</v>
      </c>
      <c r="E144" s="304">
        <v>435.0</v>
      </c>
      <c r="F144" s="304">
        <v>433.0</v>
      </c>
      <c r="G144" s="304">
        <v>433.0</v>
      </c>
      <c r="H144" s="304">
        <v>428.0</v>
      </c>
      <c r="I144" s="304">
        <v>432.0</v>
      </c>
      <c r="J144" s="304">
        <v>441.0</v>
      </c>
      <c r="K144" s="304">
        <v>447.0</v>
      </c>
      <c r="L144" s="304">
        <v>453.0</v>
      </c>
      <c r="M144" s="304">
        <v>449.0</v>
      </c>
      <c r="N144" s="304">
        <v>449.0</v>
      </c>
      <c r="O144" s="304">
        <v>446.0</v>
      </c>
      <c r="P144" s="304">
        <v>448.0</v>
      </c>
      <c r="Q144" s="304">
        <v>449.0</v>
      </c>
      <c r="R144" s="304">
        <v>440.0</v>
      </c>
      <c r="S144" s="304">
        <v>445.0</v>
      </c>
      <c r="T144" s="304">
        <v>436.0</v>
      </c>
      <c r="U144" s="304"/>
      <c r="V144" s="297"/>
      <c r="W144" s="297"/>
      <c r="X144" s="297"/>
      <c r="Y144" s="297"/>
      <c r="Z144" s="297"/>
      <c r="AA144" s="297"/>
      <c r="AB144" s="297"/>
      <c r="AC144" s="297"/>
      <c r="AD144" s="297"/>
      <c r="AE144" s="297"/>
      <c r="AF144" s="297"/>
      <c r="AG144" s="305"/>
      <c r="AH144" s="300"/>
      <c r="AI144" s="300"/>
      <c r="AJ144" s="300"/>
      <c r="AK144" s="300"/>
      <c r="AL144" s="300"/>
      <c r="AM144" s="300"/>
    </row>
    <row r="145" ht="15.75" customHeight="1">
      <c r="A145" s="303" t="s">
        <v>168</v>
      </c>
      <c r="B145" s="304" t="s">
        <v>239</v>
      </c>
      <c r="C145" s="304">
        <v>874.0</v>
      </c>
      <c r="D145" s="304">
        <v>859.0</v>
      </c>
      <c r="E145" s="304">
        <v>854.0</v>
      </c>
      <c r="F145" s="304">
        <v>844.0</v>
      </c>
      <c r="G145" s="304">
        <v>838.0</v>
      </c>
      <c r="H145" s="304">
        <v>824.0</v>
      </c>
      <c r="I145" s="304">
        <v>826.0</v>
      </c>
      <c r="J145" s="304">
        <v>839.0</v>
      </c>
      <c r="K145" s="304">
        <v>845.0</v>
      </c>
      <c r="L145" s="304">
        <v>850.0</v>
      </c>
      <c r="M145" s="304">
        <v>839.0</v>
      </c>
      <c r="N145" s="304">
        <v>837.0</v>
      </c>
      <c r="O145" s="304">
        <v>830.0</v>
      </c>
      <c r="P145" s="304">
        <v>833.0</v>
      </c>
      <c r="Q145" s="304">
        <v>833.0</v>
      </c>
      <c r="R145" s="304">
        <v>816.0</v>
      </c>
      <c r="S145" s="304">
        <v>819.0</v>
      </c>
      <c r="T145" s="304">
        <v>793.0</v>
      </c>
      <c r="U145" s="304"/>
      <c r="V145" s="297"/>
      <c r="W145" s="297"/>
      <c r="X145" s="297"/>
      <c r="Y145" s="297"/>
      <c r="Z145" s="297"/>
      <c r="AA145" s="297"/>
      <c r="AB145" s="297"/>
      <c r="AC145" s="297"/>
      <c r="AD145" s="297"/>
      <c r="AE145" s="297"/>
      <c r="AF145" s="297"/>
      <c r="AG145" s="305"/>
      <c r="AH145" s="300"/>
      <c r="AI145" s="300"/>
      <c r="AJ145" s="300"/>
      <c r="AK145" s="300"/>
      <c r="AL145" s="300"/>
      <c r="AM145" s="300"/>
    </row>
    <row r="146" ht="15.75" customHeight="1">
      <c r="A146" s="303" t="s">
        <v>159</v>
      </c>
      <c r="B146" s="304" t="s">
        <v>239</v>
      </c>
      <c r="C146" s="304">
        <v>273.0</v>
      </c>
      <c r="D146" s="304">
        <v>271.0</v>
      </c>
      <c r="E146" s="304">
        <v>271.0</v>
      </c>
      <c r="F146" s="304">
        <v>270.0</v>
      </c>
      <c r="G146" s="304">
        <v>270.0</v>
      </c>
      <c r="H146" s="304">
        <v>268.0</v>
      </c>
      <c r="I146" s="304">
        <v>271.0</v>
      </c>
      <c r="J146" s="304">
        <v>277.0</v>
      </c>
      <c r="K146" s="304">
        <v>282.0</v>
      </c>
      <c r="L146" s="304">
        <v>285.0</v>
      </c>
      <c r="M146" s="304">
        <v>283.0</v>
      </c>
      <c r="N146" s="304">
        <v>282.0</v>
      </c>
      <c r="O146" s="304">
        <v>280.0</v>
      </c>
      <c r="P146" s="304">
        <v>281.0</v>
      </c>
      <c r="Q146" s="304">
        <v>281.0</v>
      </c>
      <c r="R146" s="304">
        <v>275.0</v>
      </c>
      <c r="S146" s="304">
        <v>275.0</v>
      </c>
      <c r="T146" s="304">
        <v>267.0</v>
      </c>
      <c r="U146" s="304"/>
      <c r="V146" s="297"/>
      <c r="W146" s="297"/>
      <c r="X146" s="297"/>
      <c r="Y146" s="297"/>
      <c r="Z146" s="297"/>
      <c r="AA146" s="297"/>
      <c r="AB146" s="297"/>
      <c r="AC146" s="297"/>
      <c r="AD146" s="297"/>
      <c r="AE146" s="297"/>
      <c r="AF146" s="297"/>
      <c r="AG146" s="305"/>
      <c r="AH146" s="300"/>
      <c r="AI146" s="300"/>
      <c r="AJ146" s="300"/>
      <c r="AK146" s="300"/>
      <c r="AL146" s="300"/>
      <c r="AM146" s="300"/>
    </row>
    <row r="147" ht="15.75" customHeight="1">
      <c r="A147" s="303" t="s">
        <v>178</v>
      </c>
      <c r="B147" s="304" t="s">
        <v>239</v>
      </c>
      <c r="C147" s="304">
        <v>9083.0</v>
      </c>
      <c r="D147" s="304">
        <v>8796.0</v>
      </c>
      <c r="E147" s="304">
        <v>8839.0</v>
      </c>
      <c r="F147" s="304">
        <v>8847.0</v>
      </c>
      <c r="G147" s="304">
        <v>8857.0</v>
      </c>
      <c r="H147" s="304">
        <v>8767.0</v>
      </c>
      <c r="I147" s="304">
        <v>8776.0</v>
      </c>
      <c r="J147" s="304">
        <v>8995.0</v>
      </c>
      <c r="K147" s="304">
        <v>9071.0</v>
      </c>
      <c r="L147" s="304">
        <v>9310.0</v>
      </c>
      <c r="M147" s="304">
        <v>9235.0</v>
      </c>
      <c r="N147" s="304">
        <v>9219.0</v>
      </c>
      <c r="O147" s="304">
        <v>9142.0</v>
      </c>
      <c r="P147" s="304">
        <v>9224.0</v>
      </c>
      <c r="Q147" s="304">
        <v>9235.0</v>
      </c>
      <c r="R147" s="304">
        <v>9077.0</v>
      </c>
      <c r="S147" s="304">
        <v>9111.0</v>
      </c>
      <c r="T147" s="304">
        <v>8858.0</v>
      </c>
      <c r="U147" s="304"/>
      <c r="V147" s="297"/>
      <c r="W147" s="297"/>
      <c r="X147" s="297"/>
      <c r="Y147" s="297"/>
      <c r="Z147" s="297"/>
      <c r="AA147" s="297"/>
      <c r="AB147" s="297"/>
      <c r="AC147" s="297"/>
      <c r="AD147" s="297"/>
      <c r="AE147" s="297"/>
      <c r="AF147" s="297"/>
      <c r="AG147" s="305"/>
      <c r="AH147" s="300"/>
      <c r="AI147" s="300"/>
      <c r="AJ147" s="300"/>
      <c r="AK147" s="300"/>
      <c r="AL147" s="300"/>
      <c r="AM147" s="300"/>
    </row>
    <row r="148" ht="15.75" customHeight="1">
      <c r="A148" s="303" t="s">
        <v>274</v>
      </c>
      <c r="B148" s="304" t="s">
        <v>239</v>
      </c>
      <c r="C148" s="304">
        <v>60.0</v>
      </c>
      <c r="D148" s="304">
        <v>58.0</v>
      </c>
      <c r="E148" s="304">
        <v>57.0</v>
      </c>
      <c r="F148" s="304">
        <v>56.0</v>
      </c>
      <c r="G148" s="304">
        <v>55.0</v>
      </c>
      <c r="H148" s="304">
        <v>53.0</v>
      </c>
      <c r="I148" s="304">
        <v>53.0</v>
      </c>
      <c r="J148" s="304">
        <v>53.0</v>
      </c>
      <c r="K148" s="304">
        <v>53.0</v>
      </c>
      <c r="L148" s="304">
        <v>53.0</v>
      </c>
      <c r="M148" s="304">
        <v>52.0</v>
      </c>
      <c r="N148" s="304">
        <v>52.0</v>
      </c>
      <c r="O148" s="304">
        <v>51.0</v>
      </c>
      <c r="P148" s="304">
        <v>52.0</v>
      </c>
      <c r="Q148" s="304">
        <v>52.0</v>
      </c>
      <c r="R148" s="304">
        <v>52.0</v>
      </c>
      <c r="S148" s="304">
        <v>54.0</v>
      </c>
      <c r="T148" s="304">
        <v>53.0</v>
      </c>
      <c r="U148" s="304"/>
      <c r="V148" s="297"/>
      <c r="W148" s="297"/>
      <c r="X148" s="297"/>
      <c r="Y148" s="297"/>
      <c r="Z148" s="297"/>
      <c r="AA148" s="297"/>
      <c r="AB148" s="297"/>
      <c r="AC148" s="297"/>
      <c r="AD148" s="297"/>
      <c r="AE148" s="297"/>
      <c r="AF148" s="297"/>
      <c r="AG148" s="305"/>
      <c r="AH148" s="300"/>
      <c r="AI148" s="300"/>
      <c r="AJ148" s="300"/>
      <c r="AK148" s="300"/>
      <c r="AL148" s="300"/>
      <c r="AM148" s="300"/>
    </row>
    <row r="149" ht="15.75" customHeight="1">
      <c r="A149" s="303" t="s">
        <v>170</v>
      </c>
      <c r="B149" s="304" t="s">
        <v>239</v>
      </c>
      <c r="C149" s="304">
        <v>1711.0</v>
      </c>
      <c r="D149" s="304">
        <v>1680.0</v>
      </c>
      <c r="E149" s="304">
        <v>1674.0</v>
      </c>
      <c r="F149" s="304">
        <v>1665.0</v>
      </c>
      <c r="G149" s="304">
        <v>1656.0</v>
      </c>
      <c r="H149" s="304">
        <v>1633.0</v>
      </c>
      <c r="I149" s="304">
        <v>1639.0</v>
      </c>
      <c r="J149" s="304">
        <v>1670.0</v>
      </c>
      <c r="K149" s="304">
        <v>1686.0</v>
      </c>
      <c r="L149" s="304">
        <v>1704.0</v>
      </c>
      <c r="M149" s="304">
        <v>1687.0</v>
      </c>
      <c r="N149" s="304">
        <v>1684.0</v>
      </c>
      <c r="O149" s="304">
        <v>1671.0</v>
      </c>
      <c r="P149" s="304">
        <v>1680.0</v>
      </c>
      <c r="Q149" s="304">
        <v>1700.0</v>
      </c>
      <c r="R149" s="304">
        <v>1685.0</v>
      </c>
      <c r="S149" s="304">
        <v>1697.0</v>
      </c>
      <c r="T149" s="304">
        <v>1655.0</v>
      </c>
      <c r="U149" s="304"/>
      <c r="V149" s="297"/>
      <c r="W149" s="297"/>
      <c r="X149" s="297"/>
      <c r="Y149" s="297"/>
      <c r="Z149" s="297"/>
      <c r="AA149" s="297"/>
      <c r="AB149" s="297"/>
      <c r="AC149" s="297"/>
      <c r="AD149" s="297"/>
      <c r="AE149" s="297"/>
      <c r="AF149" s="297"/>
      <c r="AG149" s="305"/>
      <c r="AH149" s="300"/>
      <c r="AI149" s="300"/>
      <c r="AJ149" s="300"/>
      <c r="AK149" s="300"/>
      <c r="AL149" s="300"/>
      <c r="AM149" s="300"/>
    </row>
    <row r="150" ht="15.75" customHeight="1">
      <c r="A150" s="303" t="s">
        <v>171</v>
      </c>
      <c r="B150" s="304" t="s">
        <v>239</v>
      </c>
      <c r="C150" s="304">
        <v>416.0</v>
      </c>
      <c r="D150" s="304">
        <v>412.0</v>
      </c>
      <c r="E150" s="304">
        <v>413.0</v>
      </c>
      <c r="F150" s="304">
        <v>412.0</v>
      </c>
      <c r="G150" s="304">
        <v>412.0</v>
      </c>
      <c r="H150" s="304">
        <v>409.0</v>
      </c>
      <c r="I150" s="304">
        <v>412.0</v>
      </c>
      <c r="J150" s="304">
        <v>423.0</v>
      </c>
      <c r="K150" s="304">
        <v>429.0</v>
      </c>
      <c r="L150" s="304">
        <v>435.0</v>
      </c>
      <c r="M150" s="304">
        <v>432.0</v>
      </c>
      <c r="N150" s="304">
        <v>431.0</v>
      </c>
      <c r="O150" s="304">
        <v>426.0</v>
      </c>
      <c r="P150" s="304">
        <v>428.0</v>
      </c>
      <c r="Q150" s="304">
        <v>428.0</v>
      </c>
      <c r="R150" s="304">
        <v>419.0</v>
      </c>
      <c r="S150" s="304">
        <v>422.0</v>
      </c>
      <c r="T150" s="304">
        <v>407.0</v>
      </c>
      <c r="U150" s="304"/>
      <c r="V150" s="297"/>
      <c r="W150" s="297"/>
      <c r="X150" s="297"/>
      <c r="Y150" s="297"/>
      <c r="Z150" s="297"/>
      <c r="AA150" s="297"/>
      <c r="AB150" s="297"/>
      <c r="AC150" s="297"/>
      <c r="AD150" s="297"/>
      <c r="AE150" s="297"/>
      <c r="AF150" s="297"/>
      <c r="AG150" s="305"/>
      <c r="AH150" s="300"/>
      <c r="AI150" s="300"/>
      <c r="AJ150" s="300"/>
      <c r="AK150" s="300"/>
      <c r="AL150" s="300"/>
      <c r="AM150" s="300"/>
    </row>
    <row r="151" ht="15.75" customHeight="1">
      <c r="A151" s="303" t="s">
        <v>308</v>
      </c>
      <c r="B151" s="304" t="s">
        <v>239</v>
      </c>
      <c r="C151" s="304">
        <v>2072.0</v>
      </c>
      <c r="D151" s="304">
        <v>2054.0</v>
      </c>
      <c r="E151" s="304">
        <v>2055.0</v>
      </c>
      <c r="F151" s="304">
        <v>2051.0</v>
      </c>
      <c r="G151" s="304">
        <v>2049.0</v>
      </c>
      <c r="H151" s="304">
        <v>2030.0</v>
      </c>
      <c r="I151" s="304">
        <v>2051.0</v>
      </c>
      <c r="J151" s="304">
        <v>2099.0</v>
      </c>
      <c r="K151" s="304">
        <v>2131.0</v>
      </c>
      <c r="L151" s="304">
        <v>2159.0</v>
      </c>
      <c r="M151" s="304">
        <v>2146.0</v>
      </c>
      <c r="N151" s="304">
        <v>2158.0</v>
      </c>
      <c r="O151" s="304">
        <v>2155.0</v>
      </c>
      <c r="P151" s="304">
        <v>2177.0</v>
      </c>
      <c r="Q151" s="304">
        <v>2189.0</v>
      </c>
      <c r="R151" s="304">
        <v>2151.0</v>
      </c>
      <c r="S151" s="304">
        <v>2171.0</v>
      </c>
      <c r="T151" s="304">
        <v>2120.0</v>
      </c>
      <c r="U151" s="304"/>
      <c r="V151" s="297"/>
      <c r="W151" s="297"/>
      <c r="X151" s="297"/>
      <c r="Y151" s="297"/>
      <c r="Z151" s="297"/>
      <c r="AA151" s="297"/>
      <c r="AB151" s="297"/>
      <c r="AC151" s="297"/>
      <c r="AD151" s="297"/>
      <c r="AE151" s="297"/>
      <c r="AF151" s="297"/>
      <c r="AG151" s="305"/>
      <c r="AH151" s="300"/>
      <c r="AI151" s="300"/>
      <c r="AJ151" s="300"/>
      <c r="AK151" s="300"/>
      <c r="AL151" s="300"/>
      <c r="AM151" s="300"/>
    </row>
    <row r="152" ht="15.75" customHeight="1">
      <c r="A152" s="303" t="s">
        <v>309</v>
      </c>
      <c r="B152" s="304" t="s">
        <v>239</v>
      </c>
      <c r="C152" s="304">
        <v>12083.0</v>
      </c>
      <c r="D152" s="304">
        <v>11996.0</v>
      </c>
      <c r="E152" s="304">
        <v>12196.0</v>
      </c>
      <c r="F152" s="304">
        <v>12232.0</v>
      </c>
      <c r="G152" s="304">
        <v>12350.0</v>
      </c>
      <c r="H152" s="304">
        <v>12595.0</v>
      </c>
      <c r="I152" s="304">
        <v>12801.0</v>
      </c>
      <c r="J152" s="304">
        <v>13071.0</v>
      </c>
      <c r="K152" s="304">
        <v>13486.0</v>
      </c>
      <c r="L152" s="304">
        <v>13839.0</v>
      </c>
      <c r="M152" s="304">
        <v>13821.0</v>
      </c>
      <c r="N152" s="304">
        <v>13736.0</v>
      </c>
      <c r="O152" s="304">
        <v>14025.0</v>
      </c>
      <c r="P152" s="304">
        <v>14365.0</v>
      </c>
      <c r="Q152" s="304">
        <v>14219.0</v>
      </c>
      <c r="R152" s="304">
        <v>14312.0</v>
      </c>
      <c r="S152" s="304">
        <v>14127.0</v>
      </c>
      <c r="T152" s="304">
        <v>13809.0</v>
      </c>
      <c r="U152" s="304"/>
      <c r="V152" s="297"/>
      <c r="W152" s="297"/>
      <c r="X152" s="297"/>
      <c r="Y152" s="297"/>
      <c r="Z152" s="297"/>
      <c r="AA152" s="297"/>
      <c r="AB152" s="297"/>
      <c r="AC152" s="297"/>
      <c r="AD152" s="297"/>
      <c r="AE152" s="297"/>
      <c r="AF152" s="297"/>
      <c r="AG152" s="305"/>
      <c r="AH152" s="300"/>
      <c r="AI152" s="300"/>
      <c r="AJ152" s="300"/>
      <c r="AK152" s="300"/>
      <c r="AL152" s="300"/>
      <c r="AM152" s="300"/>
    </row>
    <row r="153" ht="15.75" customHeight="1">
      <c r="A153" s="303" t="s">
        <v>175</v>
      </c>
      <c r="B153" s="304" t="s">
        <v>239</v>
      </c>
      <c r="C153" s="304">
        <v>5316.0</v>
      </c>
      <c r="D153" s="304">
        <v>5284.0</v>
      </c>
      <c r="E153" s="304">
        <v>5374.0</v>
      </c>
      <c r="F153" s="304">
        <v>5395.0</v>
      </c>
      <c r="G153" s="304">
        <v>5449.0</v>
      </c>
      <c r="H153" s="304">
        <v>5560.0</v>
      </c>
      <c r="I153" s="304">
        <v>5654.0</v>
      </c>
      <c r="J153" s="304">
        <v>5776.0</v>
      </c>
      <c r="K153" s="304">
        <v>5960.0</v>
      </c>
      <c r="L153" s="304">
        <v>6121.0</v>
      </c>
      <c r="M153" s="304">
        <v>6114.0</v>
      </c>
      <c r="N153" s="304">
        <v>6103.0</v>
      </c>
      <c r="O153" s="304">
        <v>6282.0</v>
      </c>
      <c r="P153" s="304">
        <v>6484.0</v>
      </c>
      <c r="Q153" s="304">
        <v>6467.0</v>
      </c>
      <c r="R153" s="304">
        <v>6552.0</v>
      </c>
      <c r="S153" s="304">
        <v>6496.0</v>
      </c>
      <c r="T153" s="304">
        <v>6350.0</v>
      </c>
      <c r="U153" s="304"/>
      <c r="V153" s="297"/>
      <c r="W153" s="297"/>
      <c r="X153" s="297"/>
      <c r="Y153" s="297"/>
      <c r="Z153" s="297"/>
      <c r="AA153" s="297"/>
      <c r="AB153" s="297"/>
      <c r="AC153" s="297"/>
      <c r="AD153" s="297"/>
      <c r="AE153" s="297"/>
      <c r="AF153" s="297"/>
      <c r="AG153" s="305"/>
      <c r="AH153" s="300"/>
      <c r="AI153" s="300"/>
      <c r="AJ153" s="300"/>
      <c r="AK153" s="300"/>
      <c r="AL153" s="300"/>
      <c r="AM153" s="300"/>
    </row>
    <row r="154" ht="15.75" customHeight="1">
      <c r="A154" s="303" t="s">
        <v>154</v>
      </c>
      <c r="B154" s="304" t="s">
        <v>239</v>
      </c>
      <c r="C154" s="304">
        <v>2257.0</v>
      </c>
      <c r="D154" s="304">
        <v>2239.0</v>
      </c>
      <c r="E154" s="304">
        <v>2275.0</v>
      </c>
      <c r="F154" s="304">
        <v>2281.0</v>
      </c>
      <c r="G154" s="304">
        <v>2303.0</v>
      </c>
      <c r="H154" s="304">
        <v>2348.0</v>
      </c>
      <c r="I154" s="304">
        <v>2385.0</v>
      </c>
      <c r="J154" s="304">
        <v>2436.0</v>
      </c>
      <c r="K154" s="304">
        <v>2513.0</v>
      </c>
      <c r="L154" s="304">
        <v>2577.0</v>
      </c>
      <c r="M154" s="304">
        <v>2646.0</v>
      </c>
      <c r="N154" s="304">
        <v>2622.0</v>
      </c>
      <c r="O154" s="304">
        <v>2660.0</v>
      </c>
      <c r="P154" s="304">
        <v>2716.0</v>
      </c>
      <c r="Q154" s="304">
        <v>2676.0</v>
      </c>
      <c r="R154" s="304">
        <v>2685.0</v>
      </c>
      <c r="S154" s="304">
        <v>2649.0</v>
      </c>
      <c r="T154" s="304">
        <v>2591.0</v>
      </c>
      <c r="U154" s="304"/>
      <c r="V154" s="297"/>
      <c r="W154" s="297"/>
      <c r="X154" s="297"/>
      <c r="Y154" s="297"/>
      <c r="Z154" s="297"/>
      <c r="AA154" s="297"/>
      <c r="AB154" s="297"/>
      <c r="AC154" s="297"/>
      <c r="AD154" s="297"/>
      <c r="AE154" s="297"/>
      <c r="AF154" s="297"/>
      <c r="AG154" s="305"/>
      <c r="AH154" s="300"/>
      <c r="AI154" s="300"/>
      <c r="AJ154" s="300"/>
      <c r="AK154" s="300"/>
      <c r="AL154" s="300"/>
      <c r="AM154" s="300"/>
    </row>
    <row r="155" ht="15.75" customHeight="1">
      <c r="A155" s="303" t="s">
        <v>265</v>
      </c>
      <c r="B155" s="304" t="s">
        <v>239</v>
      </c>
      <c r="C155" s="304">
        <v>1.0</v>
      </c>
      <c r="D155" s="304">
        <v>1.0</v>
      </c>
      <c r="E155" s="304">
        <v>2.0</v>
      </c>
      <c r="F155" s="304">
        <v>2.0</v>
      </c>
      <c r="G155" s="304">
        <v>2.0</v>
      </c>
      <c r="H155" s="304">
        <v>2.0</v>
      </c>
      <c r="I155" s="304">
        <v>3.0</v>
      </c>
      <c r="J155" s="304">
        <v>3.0</v>
      </c>
      <c r="K155" s="304">
        <v>3.0</v>
      </c>
      <c r="L155" s="304">
        <v>4.0</v>
      </c>
      <c r="M155" s="304">
        <v>4.0</v>
      </c>
      <c r="N155" s="304">
        <v>4.0</v>
      </c>
      <c r="O155" s="304">
        <v>4.0</v>
      </c>
      <c r="P155" s="304">
        <v>4.0</v>
      </c>
      <c r="Q155" s="304">
        <v>4.0</v>
      </c>
      <c r="R155" s="304">
        <v>4.0</v>
      </c>
      <c r="S155" s="304">
        <v>4.0</v>
      </c>
      <c r="T155" s="304">
        <v>4.0</v>
      </c>
      <c r="U155" s="304"/>
      <c r="V155" s="297"/>
      <c r="W155" s="297"/>
      <c r="X155" s="297"/>
      <c r="Y155" s="297"/>
      <c r="Z155" s="297"/>
      <c r="AA155" s="297"/>
      <c r="AB155" s="297"/>
      <c r="AC155" s="297"/>
      <c r="AD155" s="297"/>
      <c r="AE155" s="297"/>
      <c r="AF155" s="297"/>
      <c r="AG155" s="305"/>
      <c r="AH155" s="300"/>
      <c r="AI155" s="300"/>
      <c r="AJ155" s="300"/>
      <c r="AK155" s="300"/>
      <c r="AL155" s="300"/>
      <c r="AM155" s="300"/>
    </row>
    <row r="156" ht="15.75" customHeight="1">
      <c r="A156" s="303" t="s">
        <v>161</v>
      </c>
      <c r="B156" s="304" t="s">
        <v>239</v>
      </c>
      <c r="C156" s="304">
        <v>440.0</v>
      </c>
      <c r="D156" s="304">
        <v>430.0</v>
      </c>
      <c r="E156" s="304">
        <v>431.0</v>
      </c>
      <c r="F156" s="304">
        <v>426.0</v>
      </c>
      <c r="G156" s="304">
        <v>424.0</v>
      </c>
      <c r="H156" s="304">
        <v>427.0</v>
      </c>
      <c r="I156" s="304">
        <v>428.0</v>
      </c>
      <c r="J156" s="304">
        <v>431.0</v>
      </c>
      <c r="K156" s="304">
        <v>439.0</v>
      </c>
      <c r="L156" s="304">
        <v>444.0</v>
      </c>
      <c r="M156" s="304">
        <v>437.0</v>
      </c>
      <c r="N156" s="304">
        <v>433.0</v>
      </c>
      <c r="O156" s="304">
        <v>438.0</v>
      </c>
      <c r="P156" s="304">
        <v>445.0</v>
      </c>
      <c r="Q156" s="304">
        <v>437.0</v>
      </c>
      <c r="R156" s="304">
        <v>437.0</v>
      </c>
      <c r="S156" s="304">
        <v>429.0</v>
      </c>
      <c r="T156" s="304">
        <v>419.0</v>
      </c>
      <c r="U156" s="304"/>
      <c r="V156" s="297"/>
      <c r="W156" s="297"/>
      <c r="X156" s="297"/>
      <c r="Y156" s="297"/>
      <c r="Z156" s="297"/>
      <c r="AA156" s="297"/>
      <c r="AB156" s="297"/>
      <c r="AC156" s="297"/>
      <c r="AD156" s="297"/>
      <c r="AE156" s="297"/>
      <c r="AF156" s="297"/>
      <c r="AG156" s="305"/>
      <c r="AH156" s="300"/>
      <c r="AI156" s="300"/>
      <c r="AJ156" s="300"/>
      <c r="AK156" s="300"/>
      <c r="AL156" s="300"/>
      <c r="AM156" s="300"/>
    </row>
    <row r="157" ht="15.75" customHeight="1">
      <c r="A157" s="303" t="s">
        <v>310</v>
      </c>
      <c r="B157" s="304" t="s">
        <v>239</v>
      </c>
      <c r="C157" s="304">
        <v>4069.0</v>
      </c>
      <c r="D157" s="304">
        <v>4042.0</v>
      </c>
      <c r="E157" s="304">
        <v>4114.0</v>
      </c>
      <c r="F157" s="304">
        <v>4128.0</v>
      </c>
      <c r="G157" s="304">
        <v>4172.0</v>
      </c>
      <c r="H157" s="304">
        <v>4258.0</v>
      </c>
      <c r="I157" s="304">
        <v>4331.0</v>
      </c>
      <c r="J157" s="304">
        <v>4425.0</v>
      </c>
      <c r="K157" s="304">
        <v>4571.0</v>
      </c>
      <c r="L157" s="304">
        <v>4693.0</v>
      </c>
      <c r="M157" s="304">
        <v>4620.0</v>
      </c>
      <c r="N157" s="304">
        <v>4574.0</v>
      </c>
      <c r="O157" s="304">
        <v>4641.0</v>
      </c>
      <c r="P157" s="304">
        <v>4716.0</v>
      </c>
      <c r="Q157" s="304">
        <v>4635.0</v>
      </c>
      <c r="R157" s="304">
        <v>4634.0</v>
      </c>
      <c r="S157" s="304">
        <v>4549.0</v>
      </c>
      <c r="T157" s="304">
        <v>4445.0</v>
      </c>
      <c r="U157" s="304"/>
      <c r="V157" s="297"/>
      <c r="W157" s="297"/>
      <c r="X157" s="297"/>
      <c r="Y157" s="297"/>
      <c r="Z157" s="297"/>
      <c r="AA157" s="297"/>
      <c r="AB157" s="297"/>
      <c r="AC157" s="297"/>
      <c r="AD157" s="297"/>
      <c r="AE157" s="297"/>
      <c r="AF157" s="297"/>
      <c r="AG157" s="305"/>
      <c r="AH157" s="300"/>
      <c r="AI157" s="300"/>
      <c r="AJ157" s="300"/>
      <c r="AK157" s="300"/>
      <c r="AL157" s="300"/>
      <c r="AM157" s="300"/>
    </row>
    <row r="158" ht="15.75" customHeight="1">
      <c r="A158" s="303" t="s">
        <v>311</v>
      </c>
      <c r="B158" s="304" t="s">
        <v>239</v>
      </c>
      <c r="C158" s="304">
        <v>5902.0</v>
      </c>
      <c r="D158" s="304">
        <v>5778.0</v>
      </c>
      <c r="E158" s="304">
        <v>5926.0</v>
      </c>
      <c r="F158" s="304">
        <v>5981.0</v>
      </c>
      <c r="G158" s="304">
        <v>6052.0</v>
      </c>
      <c r="H158" s="304">
        <v>6176.0</v>
      </c>
      <c r="I158" s="304">
        <v>6286.0</v>
      </c>
      <c r="J158" s="304">
        <v>6617.0</v>
      </c>
      <c r="K158" s="304">
        <v>6823.0</v>
      </c>
      <c r="L158" s="304">
        <v>6965.0</v>
      </c>
      <c r="M158" s="304">
        <v>7119.0</v>
      </c>
      <c r="N158" s="304">
        <v>7123.0</v>
      </c>
      <c r="O158" s="304">
        <v>7141.0</v>
      </c>
      <c r="P158" s="304">
        <v>7153.0</v>
      </c>
      <c r="Q158" s="304">
        <v>7245.0</v>
      </c>
      <c r="R158" s="304">
        <v>7432.0</v>
      </c>
      <c r="S158" s="304">
        <v>7497.0</v>
      </c>
      <c r="T158" s="304">
        <v>7410.0</v>
      </c>
      <c r="U158" s="304"/>
      <c r="V158" s="297"/>
      <c r="W158" s="297"/>
      <c r="X158" s="297"/>
      <c r="Y158" s="297"/>
      <c r="Z158" s="297"/>
      <c r="AA158" s="297"/>
      <c r="AB158" s="297"/>
      <c r="AC158" s="297"/>
      <c r="AD158" s="297"/>
      <c r="AE158" s="297"/>
      <c r="AF158" s="297"/>
      <c r="AG158" s="305"/>
      <c r="AH158" s="300"/>
      <c r="AI158" s="300"/>
      <c r="AJ158" s="300"/>
      <c r="AK158" s="300"/>
      <c r="AL158" s="300"/>
      <c r="AM158" s="300"/>
    </row>
    <row r="159" ht="15.75" customHeight="1">
      <c r="A159" s="303" t="s">
        <v>136</v>
      </c>
      <c r="B159" s="304" t="s">
        <v>239</v>
      </c>
      <c r="C159" s="304">
        <v>449.0</v>
      </c>
      <c r="D159" s="304">
        <v>424.0</v>
      </c>
      <c r="E159" s="304">
        <v>420.0</v>
      </c>
      <c r="F159" s="304">
        <v>409.0</v>
      </c>
      <c r="G159" s="304">
        <v>400.0</v>
      </c>
      <c r="H159" s="304">
        <v>394.0</v>
      </c>
      <c r="I159" s="304">
        <v>387.0</v>
      </c>
      <c r="J159" s="304">
        <v>394.0</v>
      </c>
      <c r="K159" s="304">
        <v>392.0</v>
      </c>
      <c r="L159" s="304">
        <v>387.0</v>
      </c>
      <c r="M159" s="304">
        <v>385.0</v>
      </c>
      <c r="N159" s="304">
        <v>385.0</v>
      </c>
      <c r="O159" s="304">
        <v>390.0</v>
      </c>
      <c r="P159" s="304">
        <v>397.0</v>
      </c>
      <c r="Q159" s="304">
        <v>401.0</v>
      </c>
      <c r="R159" s="304">
        <v>411.0</v>
      </c>
      <c r="S159" s="304">
        <v>414.0</v>
      </c>
      <c r="T159" s="304">
        <v>416.0</v>
      </c>
      <c r="U159" s="304"/>
      <c r="V159" s="297"/>
      <c r="W159" s="297"/>
      <c r="X159" s="297"/>
      <c r="Y159" s="297"/>
      <c r="Z159" s="297"/>
      <c r="AA159" s="297"/>
      <c r="AB159" s="297"/>
      <c r="AC159" s="297"/>
      <c r="AD159" s="297"/>
      <c r="AE159" s="297"/>
      <c r="AF159" s="297"/>
      <c r="AG159" s="305"/>
      <c r="AH159" s="300"/>
      <c r="AI159" s="300"/>
      <c r="AJ159" s="300"/>
      <c r="AK159" s="300"/>
      <c r="AL159" s="300"/>
      <c r="AM159" s="300"/>
    </row>
    <row r="160" ht="15.75" customHeight="1">
      <c r="A160" s="303" t="s">
        <v>139</v>
      </c>
      <c r="B160" s="304" t="s">
        <v>239</v>
      </c>
      <c r="C160" s="304">
        <v>847.0</v>
      </c>
      <c r="D160" s="304">
        <v>828.0</v>
      </c>
      <c r="E160" s="304">
        <v>849.0</v>
      </c>
      <c r="F160" s="304">
        <v>856.0</v>
      </c>
      <c r="G160" s="304">
        <v>866.0</v>
      </c>
      <c r="H160" s="304">
        <v>883.0</v>
      </c>
      <c r="I160" s="304">
        <v>898.0</v>
      </c>
      <c r="J160" s="304">
        <v>944.0</v>
      </c>
      <c r="K160" s="304">
        <v>973.0</v>
      </c>
      <c r="L160" s="304">
        <v>993.0</v>
      </c>
      <c r="M160" s="304">
        <v>1013.0</v>
      </c>
      <c r="N160" s="304">
        <v>1019.0</v>
      </c>
      <c r="O160" s="304">
        <v>1021.0</v>
      </c>
      <c r="P160" s="304">
        <v>1023.0</v>
      </c>
      <c r="Q160" s="304">
        <v>1034.0</v>
      </c>
      <c r="R160" s="304">
        <v>1058.0</v>
      </c>
      <c r="S160" s="304">
        <v>1068.0</v>
      </c>
      <c r="T160" s="304">
        <v>1054.0</v>
      </c>
      <c r="U160" s="304"/>
      <c r="V160" s="297"/>
      <c r="W160" s="297"/>
      <c r="X160" s="297"/>
      <c r="Y160" s="297"/>
      <c r="Z160" s="297"/>
      <c r="AA160" s="297"/>
      <c r="AB160" s="297"/>
      <c r="AC160" s="297"/>
      <c r="AD160" s="297"/>
      <c r="AE160" s="297"/>
      <c r="AF160" s="297"/>
      <c r="AG160" s="305"/>
      <c r="AH160" s="300"/>
      <c r="AI160" s="300"/>
      <c r="AJ160" s="300"/>
      <c r="AK160" s="300"/>
      <c r="AL160" s="300"/>
      <c r="AM160" s="300"/>
    </row>
    <row r="161" ht="15.75" customHeight="1">
      <c r="A161" s="303" t="s">
        <v>141</v>
      </c>
      <c r="B161" s="304" t="s">
        <v>239</v>
      </c>
      <c r="C161" s="304">
        <v>224.0</v>
      </c>
      <c r="D161" s="304">
        <v>241.0</v>
      </c>
      <c r="E161" s="304">
        <v>269.0</v>
      </c>
      <c r="F161" s="304">
        <v>292.0</v>
      </c>
      <c r="G161" s="304">
        <v>316.0</v>
      </c>
      <c r="H161" s="304">
        <v>342.0</v>
      </c>
      <c r="I161" s="304">
        <v>368.0</v>
      </c>
      <c r="J161" s="304">
        <v>407.0</v>
      </c>
      <c r="K161" s="304">
        <v>439.0</v>
      </c>
      <c r="L161" s="304">
        <v>468.0</v>
      </c>
      <c r="M161" s="304">
        <v>492.0</v>
      </c>
      <c r="N161" s="304">
        <v>493.0</v>
      </c>
      <c r="O161" s="304">
        <v>492.0</v>
      </c>
      <c r="P161" s="304">
        <v>492.0</v>
      </c>
      <c r="Q161" s="304">
        <v>499.0</v>
      </c>
      <c r="R161" s="304">
        <v>519.0</v>
      </c>
      <c r="S161" s="304">
        <v>529.0</v>
      </c>
      <c r="T161" s="304">
        <v>522.0</v>
      </c>
      <c r="U161" s="304"/>
      <c r="V161" s="297"/>
      <c r="W161" s="297"/>
      <c r="X161" s="297"/>
      <c r="Y161" s="297"/>
      <c r="Z161" s="297"/>
      <c r="AA161" s="297"/>
      <c r="AB161" s="297"/>
      <c r="AC161" s="297"/>
      <c r="AD161" s="297"/>
      <c r="AE161" s="297"/>
      <c r="AF161" s="297"/>
      <c r="AG161" s="305"/>
      <c r="AH161" s="300"/>
      <c r="AI161" s="300"/>
      <c r="AJ161" s="300"/>
      <c r="AK161" s="300"/>
      <c r="AL161" s="300"/>
      <c r="AM161" s="300"/>
    </row>
    <row r="162" ht="15.75" customHeight="1">
      <c r="A162" s="303" t="s">
        <v>142</v>
      </c>
      <c r="B162" s="304" t="s">
        <v>239</v>
      </c>
      <c r="C162" s="304">
        <v>1252.0</v>
      </c>
      <c r="D162" s="304">
        <v>1196.0</v>
      </c>
      <c r="E162" s="304">
        <v>1194.0</v>
      </c>
      <c r="F162" s="304">
        <v>1175.0</v>
      </c>
      <c r="G162" s="304">
        <v>1160.0</v>
      </c>
      <c r="H162" s="304">
        <v>1154.0</v>
      </c>
      <c r="I162" s="304">
        <v>1146.0</v>
      </c>
      <c r="J162" s="304">
        <v>1177.0</v>
      </c>
      <c r="K162" s="304">
        <v>1185.0</v>
      </c>
      <c r="L162" s="304">
        <v>1181.0</v>
      </c>
      <c r="M162" s="304">
        <v>1191.0</v>
      </c>
      <c r="N162" s="304">
        <v>1191.0</v>
      </c>
      <c r="O162" s="304">
        <v>1207.0</v>
      </c>
      <c r="P162" s="304">
        <v>1212.0</v>
      </c>
      <c r="Q162" s="304">
        <v>1234.0</v>
      </c>
      <c r="R162" s="304">
        <v>1265.0</v>
      </c>
      <c r="S162" s="304">
        <v>1278.0</v>
      </c>
      <c r="T162" s="304">
        <v>1265.0</v>
      </c>
      <c r="U162" s="304"/>
      <c r="V162" s="297"/>
      <c r="W162" s="297"/>
      <c r="X162" s="297"/>
      <c r="Y162" s="297"/>
      <c r="Z162" s="297"/>
      <c r="AA162" s="297"/>
      <c r="AB162" s="297"/>
      <c r="AC162" s="297"/>
      <c r="AD162" s="297"/>
      <c r="AE162" s="297"/>
      <c r="AF162" s="297"/>
      <c r="AG162" s="305"/>
      <c r="AH162" s="300"/>
      <c r="AI162" s="300"/>
      <c r="AJ162" s="300"/>
      <c r="AK162" s="300"/>
      <c r="AL162" s="300"/>
      <c r="AM162" s="300"/>
    </row>
    <row r="163" ht="15.75" customHeight="1">
      <c r="A163" s="303" t="s">
        <v>312</v>
      </c>
      <c r="B163" s="304" t="s">
        <v>239</v>
      </c>
      <c r="C163" s="304">
        <v>3130.0</v>
      </c>
      <c r="D163" s="304">
        <v>3089.0</v>
      </c>
      <c r="E163" s="304">
        <v>3194.0</v>
      </c>
      <c r="F163" s="304">
        <v>3249.0</v>
      </c>
      <c r="G163" s="304">
        <v>3310.0</v>
      </c>
      <c r="H163" s="304">
        <v>3403.0</v>
      </c>
      <c r="I163" s="304">
        <v>3487.0</v>
      </c>
      <c r="J163" s="304">
        <v>3695.0</v>
      </c>
      <c r="K163" s="304">
        <v>3834.0</v>
      </c>
      <c r="L163" s="304">
        <v>3936.0</v>
      </c>
      <c r="M163" s="304">
        <v>4038.0</v>
      </c>
      <c r="N163" s="304">
        <v>4035.0</v>
      </c>
      <c r="O163" s="304">
        <v>4031.0</v>
      </c>
      <c r="P163" s="304">
        <v>4029.0</v>
      </c>
      <c r="Q163" s="304">
        <v>4077.0</v>
      </c>
      <c r="R163" s="304">
        <v>4179.0</v>
      </c>
      <c r="S163" s="304">
        <v>4208.0</v>
      </c>
      <c r="T163" s="304">
        <v>4153.0</v>
      </c>
      <c r="U163" s="304"/>
      <c r="V163" s="297"/>
      <c r="W163" s="297"/>
      <c r="X163" s="297"/>
      <c r="Y163" s="297"/>
      <c r="Z163" s="297"/>
      <c r="AA163" s="297"/>
      <c r="AB163" s="297"/>
      <c r="AC163" s="297"/>
      <c r="AD163" s="297"/>
      <c r="AE163" s="297"/>
      <c r="AF163" s="297"/>
      <c r="AG163" s="305"/>
      <c r="AH163" s="300"/>
      <c r="AI163" s="300"/>
      <c r="AJ163" s="300"/>
      <c r="AK163" s="300"/>
      <c r="AL163" s="300"/>
      <c r="AM163" s="300"/>
    </row>
    <row r="164" ht="15.75" customHeight="1">
      <c r="A164" s="303" t="s">
        <v>313</v>
      </c>
      <c r="B164" s="304" t="s">
        <v>239</v>
      </c>
      <c r="C164" s="304">
        <v>35840.0</v>
      </c>
      <c r="D164" s="304">
        <v>35718.0</v>
      </c>
      <c r="E164" s="304">
        <v>36015.0</v>
      </c>
      <c r="F164" s="304">
        <v>36130.0</v>
      </c>
      <c r="G164" s="304">
        <v>36383.0</v>
      </c>
      <c r="H164" s="304">
        <v>36838.0</v>
      </c>
      <c r="I164" s="304">
        <v>37408.0</v>
      </c>
      <c r="J164" s="304">
        <v>38132.0</v>
      </c>
      <c r="K164" s="304">
        <v>38907.0</v>
      </c>
      <c r="L164" s="304">
        <v>39685.0</v>
      </c>
      <c r="M164" s="304">
        <v>40195.0</v>
      </c>
      <c r="N164" s="304">
        <v>40520.0</v>
      </c>
      <c r="O164" s="304">
        <v>41022.0</v>
      </c>
      <c r="P164" s="304">
        <v>40911.0</v>
      </c>
      <c r="Q164" s="304">
        <v>40573.0</v>
      </c>
      <c r="R164" s="304">
        <v>40237.0</v>
      </c>
      <c r="S164" s="304">
        <v>40245.0</v>
      </c>
      <c r="T164" s="304">
        <v>39803.0</v>
      </c>
      <c r="U164" s="304"/>
      <c r="V164" s="297"/>
      <c r="W164" s="297"/>
      <c r="X164" s="297"/>
      <c r="Y164" s="297"/>
      <c r="Z164" s="297"/>
      <c r="AA164" s="297"/>
      <c r="AB164" s="297"/>
      <c r="AC164" s="297"/>
      <c r="AD164" s="297"/>
      <c r="AE164" s="297"/>
      <c r="AF164" s="297"/>
      <c r="AG164" s="305"/>
      <c r="AH164" s="300"/>
      <c r="AI164" s="300"/>
      <c r="AJ164" s="300"/>
      <c r="AK164" s="300"/>
      <c r="AL164" s="300"/>
      <c r="AM164" s="300"/>
    </row>
    <row r="165" ht="15.75" customHeight="1">
      <c r="A165" s="303" t="s">
        <v>255</v>
      </c>
      <c r="B165" s="304" t="s">
        <v>239</v>
      </c>
      <c r="C165" s="304">
        <v>964.0</v>
      </c>
      <c r="D165" s="304">
        <v>950.0</v>
      </c>
      <c r="E165" s="304">
        <v>948.0</v>
      </c>
      <c r="F165" s="304">
        <v>940.0</v>
      </c>
      <c r="G165" s="304">
        <v>937.0</v>
      </c>
      <c r="H165" s="304">
        <v>937.0</v>
      </c>
      <c r="I165" s="304">
        <v>942.0</v>
      </c>
      <c r="J165" s="304">
        <v>950.0</v>
      </c>
      <c r="K165" s="304">
        <v>959.0</v>
      </c>
      <c r="L165" s="304">
        <v>967.0</v>
      </c>
      <c r="M165" s="304">
        <v>985.0</v>
      </c>
      <c r="N165" s="304">
        <v>998.0</v>
      </c>
      <c r="O165" s="304">
        <v>1011.0</v>
      </c>
      <c r="P165" s="304">
        <v>1006.0</v>
      </c>
      <c r="Q165" s="304">
        <v>997.0</v>
      </c>
      <c r="R165" s="304">
        <v>987.0</v>
      </c>
      <c r="S165" s="304">
        <v>984.0</v>
      </c>
      <c r="T165" s="304">
        <v>974.0</v>
      </c>
      <c r="U165" s="304"/>
      <c r="V165" s="297"/>
      <c r="W165" s="297"/>
      <c r="X165" s="297"/>
      <c r="Y165" s="297"/>
      <c r="Z165" s="297"/>
      <c r="AA165" s="297"/>
      <c r="AB165" s="297"/>
      <c r="AC165" s="297"/>
      <c r="AD165" s="297"/>
      <c r="AE165" s="297"/>
      <c r="AF165" s="297"/>
      <c r="AG165" s="305"/>
      <c r="AH165" s="300"/>
      <c r="AI165" s="300"/>
      <c r="AJ165" s="300"/>
      <c r="AK165" s="300"/>
      <c r="AL165" s="300"/>
      <c r="AM165" s="300"/>
    </row>
    <row r="166" ht="15.75" customHeight="1">
      <c r="A166" s="303" t="s">
        <v>260</v>
      </c>
      <c r="B166" s="304" t="s">
        <v>239</v>
      </c>
      <c r="C166" s="304">
        <v>403.0</v>
      </c>
      <c r="D166" s="304">
        <v>403.0</v>
      </c>
      <c r="E166" s="304">
        <v>407.0</v>
      </c>
      <c r="F166" s="304">
        <v>409.0</v>
      </c>
      <c r="G166" s="304">
        <v>412.0</v>
      </c>
      <c r="H166" s="304">
        <v>418.0</v>
      </c>
      <c r="I166" s="304">
        <v>425.0</v>
      </c>
      <c r="J166" s="304">
        <v>434.0</v>
      </c>
      <c r="K166" s="304">
        <v>443.0</v>
      </c>
      <c r="L166" s="304">
        <v>452.0</v>
      </c>
      <c r="M166" s="304">
        <v>462.0</v>
      </c>
      <c r="N166" s="304">
        <v>465.0</v>
      </c>
      <c r="O166" s="304">
        <v>470.0</v>
      </c>
      <c r="P166" s="304">
        <v>469.0</v>
      </c>
      <c r="Q166" s="304">
        <v>464.0</v>
      </c>
      <c r="R166" s="304">
        <v>459.0</v>
      </c>
      <c r="S166" s="304">
        <v>457.0</v>
      </c>
      <c r="T166" s="304">
        <v>452.0</v>
      </c>
      <c r="U166" s="304"/>
      <c r="V166" s="297"/>
      <c r="W166" s="297"/>
      <c r="X166" s="297"/>
      <c r="Y166" s="297"/>
      <c r="Z166" s="297"/>
      <c r="AA166" s="297"/>
      <c r="AB166" s="297"/>
      <c r="AC166" s="297"/>
      <c r="AD166" s="297"/>
      <c r="AE166" s="297"/>
      <c r="AF166" s="297"/>
      <c r="AG166" s="305"/>
      <c r="AH166" s="300"/>
      <c r="AI166" s="300"/>
      <c r="AJ166" s="300"/>
      <c r="AK166" s="300"/>
      <c r="AL166" s="300"/>
      <c r="AM166" s="300"/>
    </row>
    <row r="167" ht="15.75" customHeight="1">
      <c r="A167" s="303" t="s">
        <v>264</v>
      </c>
      <c r="B167" s="304" t="s">
        <v>239</v>
      </c>
      <c r="C167" s="304">
        <v>6919.0</v>
      </c>
      <c r="D167" s="304">
        <v>6867.0</v>
      </c>
      <c r="E167" s="304">
        <v>6894.0</v>
      </c>
      <c r="F167" s="304">
        <v>6896.0</v>
      </c>
      <c r="G167" s="304">
        <v>6917.0</v>
      </c>
      <c r="H167" s="304">
        <v>6984.0</v>
      </c>
      <c r="I167" s="304">
        <v>7064.0</v>
      </c>
      <c r="J167" s="304">
        <v>7177.0</v>
      </c>
      <c r="K167" s="304">
        <v>7301.0</v>
      </c>
      <c r="L167" s="304">
        <v>7425.0</v>
      </c>
      <c r="M167" s="304">
        <v>7615.0</v>
      </c>
      <c r="N167" s="304">
        <v>7678.0</v>
      </c>
      <c r="O167" s="304">
        <v>7772.0</v>
      </c>
      <c r="P167" s="304">
        <v>7800.0</v>
      </c>
      <c r="Q167" s="304">
        <v>7731.0</v>
      </c>
      <c r="R167" s="304">
        <v>7654.0</v>
      </c>
      <c r="S167" s="304">
        <v>7628.0</v>
      </c>
      <c r="T167" s="304">
        <v>7551.0</v>
      </c>
      <c r="U167" s="304"/>
      <c r="V167" s="297"/>
      <c r="W167" s="297"/>
      <c r="X167" s="297"/>
      <c r="Y167" s="297"/>
      <c r="Z167" s="297"/>
      <c r="AA167" s="297"/>
      <c r="AB167" s="297"/>
      <c r="AC167" s="297"/>
      <c r="AD167" s="297"/>
      <c r="AE167" s="297"/>
      <c r="AF167" s="297"/>
      <c r="AG167" s="305"/>
      <c r="AH167" s="300"/>
      <c r="AI167" s="300"/>
      <c r="AJ167" s="300"/>
      <c r="AK167" s="300"/>
      <c r="AL167" s="300"/>
      <c r="AM167" s="300"/>
    </row>
    <row r="168" ht="15.75" customHeight="1">
      <c r="A168" s="303" t="s">
        <v>271</v>
      </c>
      <c r="B168" s="304" t="s">
        <v>239</v>
      </c>
      <c r="C168" s="304">
        <v>181.0</v>
      </c>
      <c r="D168" s="304">
        <v>183.0</v>
      </c>
      <c r="E168" s="304">
        <v>188.0</v>
      </c>
      <c r="F168" s="304">
        <v>191.0</v>
      </c>
      <c r="G168" s="304">
        <v>195.0</v>
      </c>
      <c r="H168" s="304">
        <v>200.0</v>
      </c>
      <c r="I168" s="304">
        <v>206.0</v>
      </c>
      <c r="J168" s="304">
        <v>212.0</v>
      </c>
      <c r="K168" s="304">
        <v>220.0</v>
      </c>
      <c r="L168" s="304">
        <v>227.0</v>
      </c>
      <c r="M168" s="304">
        <v>233.0</v>
      </c>
      <c r="N168" s="304">
        <v>239.0</v>
      </c>
      <c r="O168" s="304">
        <v>242.0</v>
      </c>
      <c r="P168" s="304">
        <v>240.0</v>
      </c>
      <c r="Q168" s="304">
        <v>240.0</v>
      </c>
      <c r="R168" s="304">
        <v>238.0</v>
      </c>
      <c r="S168" s="304">
        <v>237.0</v>
      </c>
      <c r="T168" s="304">
        <v>234.0</v>
      </c>
      <c r="U168" s="304"/>
      <c r="V168" s="297"/>
      <c r="W168" s="297"/>
      <c r="X168" s="297"/>
      <c r="Y168" s="297"/>
      <c r="Z168" s="297"/>
      <c r="AA168" s="297"/>
      <c r="AB168" s="297"/>
      <c r="AC168" s="297"/>
      <c r="AD168" s="297"/>
      <c r="AE168" s="297"/>
      <c r="AF168" s="297"/>
      <c r="AG168" s="305"/>
      <c r="AH168" s="300"/>
      <c r="AI168" s="300"/>
      <c r="AJ168" s="300"/>
      <c r="AK168" s="300"/>
      <c r="AL168" s="300"/>
      <c r="AM168" s="300"/>
    </row>
    <row r="169" ht="15.75" customHeight="1">
      <c r="A169" s="303" t="s">
        <v>275</v>
      </c>
      <c r="B169" s="304" t="s">
        <v>239</v>
      </c>
      <c r="C169" s="304">
        <v>9284.0</v>
      </c>
      <c r="D169" s="304">
        <v>9270.0</v>
      </c>
      <c r="E169" s="304">
        <v>9363.0</v>
      </c>
      <c r="F169" s="304">
        <v>9422.0</v>
      </c>
      <c r="G169" s="304">
        <v>9503.0</v>
      </c>
      <c r="H169" s="304">
        <v>9655.0</v>
      </c>
      <c r="I169" s="304">
        <v>9814.0</v>
      </c>
      <c r="J169" s="304">
        <v>10024.0</v>
      </c>
      <c r="K169" s="304">
        <v>10256.0</v>
      </c>
      <c r="L169" s="304">
        <v>10491.0</v>
      </c>
      <c r="M169" s="304">
        <v>10937.0</v>
      </c>
      <c r="N169" s="304">
        <v>11025.0</v>
      </c>
      <c r="O169" s="304">
        <v>11177.0</v>
      </c>
      <c r="P169" s="304">
        <v>11180.0</v>
      </c>
      <c r="Q169" s="304">
        <v>11098.0</v>
      </c>
      <c r="R169" s="304">
        <v>11061.0</v>
      </c>
      <c r="S169" s="304">
        <v>11178.0</v>
      </c>
      <c r="T169" s="304">
        <v>11058.0</v>
      </c>
      <c r="U169" s="304"/>
      <c r="V169" s="297"/>
      <c r="W169" s="297"/>
      <c r="X169" s="297"/>
      <c r="Y169" s="297"/>
      <c r="Z169" s="297"/>
      <c r="AA169" s="297"/>
      <c r="AB169" s="297"/>
      <c r="AC169" s="297"/>
      <c r="AD169" s="297"/>
      <c r="AE169" s="297"/>
      <c r="AF169" s="297"/>
      <c r="AG169" s="305"/>
      <c r="AH169" s="300"/>
      <c r="AI169" s="300"/>
      <c r="AJ169" s="300"/>
      <c r="AK169" s="300"/>
      <c r="AL169" s="300"/>
      <c r="AM169" s="300"/>
    </row>
    <row r="170" ht="15.75" customHeight="1">
      <c r="A170" s="303" t="s">
        <v>278</v>
      </c>
      <c r="B170" s="304" t="s">
        <v>239</v>
      </c>
      <c r="C170" s="304">
        <v>629.0</v>
      </c>
      <c r="D170" s="304">
        <v>622.0</v>
      </c>
      <c r="E170" s="304">
        <v>622.0</v>
      </c>
      <c r="F170" s="304">
        <v>618.0</v>
      </c>
      <c r="G170" s="304">
        <v>617.0</v>
      </c>
      <c r="H170" s="304">
        <v>619.0</v>
      </c>
      <c r="I170" s="304">
        <v>624.0</v>
      </c>
      <c r="J170" s="304">
        <v>631.0</v>
      </c>
      <c r="K170" s="304">
        <v>638.0</v>
      </c>
      <c r="L170" s="304">
        <v>645.0</v>
      </c>
      <c r="M170" s="304">
        <v>652.0</v>
      </c>
      <c r="N170" s="304">
        <v>657.0</v>
      </c>
      <c r="O170" s="304">
        <v>666.0</v>
      </c>
      <c r="P170" s="304">
        <v>661.0</v>
      </c>
      <c r="Q170" s="304">
        <v>661.0</v>
      </c>
      <c r="R170" s="304">
        <v>653.0</v>
      </c>
      <c r="S170" s="304">
        <v>651.0</v>
      </c>
      <c r="T170" s="304">
        <v>652.0</v>
      </c>
      <c r="U170" s="304"/>
      <c r="V170" s="297"/>
      <c r="W170" s="297"/>
      <c r="X170" s="297"/>
      <c r="Y170" s="297"/>
      <c r="Z170" s="297"/>
      <c r="AA170" s="297"/>
      <c r="AB170" s="297"/>
      <c r="AC170" s="297"/>
      <c r="AD170" s="297"/>
      <c r="AE170" s="297"/>
      <c r="AF170" s="297"/>
      <c r="AG170" s="305"/>
      <c r="AH170" s="300"/>
      <c r="AI170" s="300"/>
      <c r="AJ170" s="300"/>
      <c r="AK170" s="300"/>
      <c r="AL170" s="300"/>
      <c r="AM170" s="300"/>
    </row>
    <row r="171" ht="15.75" customHeight="1">
      <c r="A171" s="303" t="s">
        <v>315</v>
      </c>
      <c r="B171" s="304" t="s">
        <v>239</v>
      </c>
      <c r="C171" s="304">
        <v>17460.0</v>
      </c>
      <c r="D171" s="304">
        <v>17423.0</v>
      </c>
      <c r="E171" s="304">
        <v>17593.0</v>
      </c>
      <c r="F171" s="304">
        <v>17654.0</v>
      </c>
      <c r="G171" s="304">
        <v>17802.0</v>
      </c>
      <c r="H171" s="304">
        <v>18025.0</v>
      </c>
      <c r="I171" s="304">
        <v>18333.0</v>
      </c>
      <c r="J171" s="304">
        <v>18704.0</v>
      </c>
      <c r="K171" s="304">
        <v>19090.0</v>
      </c>
      <c r="L171" s="304">
        <v>19478.0</v>
      </c>
      <c r="M171" s="304">
        <v>19311.0</v>
      </c>
      <c r="N171" s="304">
        <v>19458.0</v>
      </c>
      <c r="O171" s="304">
        <v>19684.0</v>
      </c>
      <c r="P171" s="304">
        <v>19555.0</v>
      </c>
      <c r="Q171" s="304">
        <v>19382.0</v>
      </c>
      <c r="R171" s="304">
        <v>19185.0</v>
      </c>
      <c r="S171" s="304">
        <v>19110.0</v>
      </c>
      <c r="T171" s="304">
        <v>18882.0</v>
      </c>
      <c r="U171" s="304"/>
      <c r="V171" s="297"/>
      <c r="W171" s="297"/>
      <c r="X171" s="297"/>
      <c r="Y171" s="297"/>
      <c r="Z171" s="297"/>
      <c r="AA171" s="297"/>
      <c r="AB171" s="297"/>
      <c r="AC171" s="297"/>
      <c r="AD171" s="297"/>
      <c r="AE171" s="297"/>
      <c r="AF171" s="297"/>
      <c r="AG171" s="305"/>
      <c r="AH171" s="300"/>
      <c r="AI171" s="300"/>
      <c r="AJ171" s="300"/>
      <c r="AK171" s="300"/>
      <c r="AL171" s="300"/>
      <c r="AM171" s="300"/>
    </row>
    <row r="172" ht="15.75" customHeight="1">
      <c r="A172" s="303" t="s">
        <v>316</v>
      </c>
      <c r="B172" s="304" t="s">
        <v>239</v>
      </c>
      <c r="C172" s="304">
        <v>12561.0</v>
      </c>
      <c r="D172" s="304">
        <v>12475.0</v>
      </c>
      <c r="E172" s="304">
        <v>12381.0</v>
      </c>
      <c r="F172" s="304">
        <v>12374.0</v>
      </c>
      <c r="G172" s="304">
        <v>12473.0</v>
      </c>
      <c r="H172" s="304">
        <v>12460.0</v>
      </c>
      <c r="I172" s="304">
        <v>12538.0</v>
      </c>
      <c r="J172" s="304">
        <v>12620.0</v>
      </c>
      <c r="K172" s="304">
        <v>12772.0</v>
      </c>
      <c r="L172" s="304">
        <v>12967.0</v>
      </c>
      <c r="M172" s="304">
        <v>13422.0</v>
      </c>
      <c r="N172" s="304">
        <v>13580.0</v>
      </c>
      <c r="O172" s="304">
        <v>13642.0</v>
      </c>
      <c r="P172" s="304">
        <v>13551.0</v>
      </c>
      <c r="Q172" s="304">
        <v>13544.0</v>
      </c>
      <c r="R172" s="304">
        <v>13566.0</v>
      </c>
      <c r="S172" s="304">
        <v>13355.0</v>
      </c>
      <c r="T172" s="304">
        <v>13378.0</v>
      </c>
      <c r="U172" s="304"/>
      <c r="V172" s="297"/>
      <c r="W172" s="297"/>
      <c r="X172" s="297"/>
      <c r="Y172" s="297"/>
      <c r="Z172" s="297"/>
      <c r="AA172" s="297"/>
      <c r="AB172" s="297"/>
      <c r="AC172" s="297"/>
      <c r="AD172" s="297"/>
      <c r="AE172" s="297"/>
      <c r="AF172" s="297"/>
      <c r="AG172" s="305"/>
      <c r="AH172" s="300"/>
      <c r="AI172" s="300"/>
      <c r="AJ172" s="300"/>
      <c r="AK172" s="300"/>
      <c r="AL172" s="300"/>
      <c r="AM172" s="300"/>
    </row>
    <row r="173" ht="15.75" customHeight="1">
      <c r="A173" s="303" t="s">
        <v>152</v>
      </c>
      <c r="B173" s="304" t="s">
        <v>239</v>
      </c>
      <c r="C173" s="304">
        <v>243.0</v>
      </c>
      <c r="D173" s="304">
        <v>238.0</v>
      </c>
      <c r="E173" s="304">
        <v>234.0</v>
      </c>
      <c r="F173" s="304">
        <v>231.0</v>
      </c>
      <c r="G173" s="304">
        <v>231.0</v>
      </c>
      <c r="H173" s="304">
        <v>228.0</v>
      </c>
      <c r="I173" s="304">
        <v>227.0</v>
      </c>
      <c r="J173" s="304">
        <v>225.0</v>
      </c>
      <c r="K173" s="304">
        <v>225.0</v>
      </c>
      <c r="L173" s="304">
        <v>227.0</v>
      </c>
      <c r="M173" s="304">
        <v>231.0</v>
      </c>
      <c r="N173" s="304">
        <v>234.0</v>
      </c>
      <c r="O173" s="304">
        <v>234.0</v>
      </c>
      <c r="P173" s="304">
        <v>232.0</v>
      </c>
      <c r="Q173" s="304">
        <v>232.0</v>
      </c>
      <c r="R173" s="304">
        <v>231.0</v>
      </c>
      <c r="S173" s="304">
        <v>229.0</v>
      </c>
      <c r="T173" s="304">
        <v>229.0</v>
      </c>
      <c r="U173" s="304"/>
      <c r="V173" s="297"/>
      <c r="W173" s="297"/>
      <c r="X173" s="297"/>
      <c r="Y173" s="297"/>
      <c r="Z173" s="297"/>
      <c r="AA173" s="297"/>
      <c r="AB173" s="297"/>
      <c r="AC173" s="297"/>
      <c r="AD173" s="297"/>
      <c r="AE173" s="297"/>
      <c r="AF173" s="297"/>
      <c r="AG173" s="305"/>
      <c r="AH173" s="300"/>
      <c r="AI173" s="300"/>
      <c r="AJ173" s="300"/>
      <c r="AK173" s="300"/>
      <c r="AL173" s="300"/>
      <c r="AM173" s="300"/>
    </row>
    <row r="174" ht="15.75" customHeight="1">
      <c r="A174" s="303" t="s">
        <v>157</v>
      </c>
      <c r="B174" s="304" t="s">
        <v>239</v>
      </c>
      <c r="C174" s="304">
        <v>344.0</v>
      </c>
      <c r="D174" s="304">
        <v>352.0</v>
      </c>
      <c r="E174" s="304">
        <v>359.0</v>
      </c>
      <c r="F174" s="304">
        <v>366.0</v>
      </c>
      <c r="G174" s="304">
        <v>377.0</v>
      </c>
      <c r="H174" s="304">
        <v>381.0</v>
      </c>
      <c r="I174" s="304">
        <v>393.0</v>
      </c>
      <c r="J174" s="304">
        <v>410.0</v>
      </c>
      <c r="K174" s="304">
        <v>423.0</v>
      </c>
      <c r="L174" s="304">
        <v>434.0</v>
      </c>
      <c r="M174" s="304">
        <v>450.0</v>
      </c>
      <c r="N174" s="304">
        <v>454.0</v>
      </c>
      <c r="O174" s="304">
        <v>455.0</v>
      </c>
      <c r="P174" s="304">
        <v>452.0</v>
      </c>
      <c r="Q174" s="304">
        <v>453.0</v>
      </c>
      <c r="R174" s="304">
        <v>450.0</v>
      </c>
      <c r="S174" s="304">
        <v>445.0</v>
      </c>
      <c r="T174" s="304">
        <v>445.0</v>
      </c>
      <c r="U174" s="304"/>
      <c r="V174" s="297"/>
      <c r="W174" s="297"/>
      <c r="X174" s="297"/>
      <c r="Y174" s="297"/>
      <c r="Z174" s="297"/>
      <c r="AA174" s="297"/>
      <c r="AB174" s="297"/>
      <c r="AC174" s="297"/>
      <c r="AD174" s="297"/>
      <c r="AE174" s="297"/>
      <c r="AF174" s="297"/>
      <c r="AG174" s="305"/>
      <c r="AH174" s="300"/>
      <c r="AI174" s="300"/>
      <c r="AJ174" s="300"/>
      <c r="AK174" s="300"/>
      <c r="AL174" s="300"/>
      <c r="AM174" s="300"/>
    </row>
    <row r="175" ht="15.75" customHeight="1">
      <c r="A175" s="303" t="s">
        <v>158</v>
      </c>
      <c r="B175" s="304" t="s">
        <v>239</v>
      </c>
      <c r="C175" s="304">
        <v>512.0</v>
      </c>
      <c r="D175" s="304">
        <v>501.0</v>
      </c>
      <c r="E175" s="304">
        <v>489.0</v>
      </c>
      <c r="F175" s="304">
        <v>482.0</v>
      </c>
      <c r="G175" s="304">
        <v>479.0</v>
      </c>
      <c r="H175" s="304">
        <v>473.0</v>
      </c>
      <c r="I175" s="304">
        <v>468.0</v>
      </c>
      <c r="J175" s="304">
        <v>463.0</v>
      </c>
      <c r="K175" s="304">
        <v>462.0</v>
      </c>
      <c r="L175" s="304">
        <v>463.0</v>
      </c>
      <c r="M175" s="304">
        <v>471.0</v>
      </c>
      <c r="N175" s="304">
        <v>476.0</v>
      </c>
      <c r="O175" s="304">
        <v>477.0</v>
      </c>
      <c r="P175" s="304">
        <v>472.0</v>
      </c>
      <c r="Q175" s="304">
        <v>472.0</v>
      </c>
      <c r="R175" s="304">
        <v>470.0</v>
      </c>
      <c r="S175" s="304">
        <v>462.0</v>
      </c>
      <c r="T175" s="304">
        <v>463.0</v>
      </c>
      <c r="U175" s="304"/>
      <c r="V175" s="297"/>
      <c r="W175" s="297"/>
      <c r="X175" s="297"/>
      <c r="Y175" s="297"/>
      <c r="Z175" s="297"/>
      <c r="AA175" s="297"/>
      <c r="AB175" s="297"/>
      <c r="AC175" s="297"/>
      <c r="AD175" s="297"/>
      <c r="AE175" s="297"/>
      <c r="AF175" s="297"/>
      <c r="AG175" s="305"/>
      <c r="AH175" s="300"/>
      <c r="AI175" s="300"/>
      <c r="AJ175" s="300"/>
      <c r="AK175" s="300"/>
      <c r="AL175" s="300"/>
      <c r="AM175" s="300"/>
    </row>
    <row r="176" ht="15.75" customHeight="1">
      <c r="A176" s="303" t="s">
        <v>163</v>
      </c>
      <c r="B176" s="304" t="s">
        <v>239</v>
      </c>
      <c r="C176" s="304">
        <v>5999.0</v>
      </c>
      <c r="D176" s="304">
        <v>5979.0</v>
      </c>
      <c r="E176" s="304">
        <v>5953.0</v>
      </c>
      <c r="F176" s="304">
        <v>5966.0</v>
      </c>
      <c r="G176" s="304">
        <v>6028.0</v>
      </c>
      <c r="H176" s="304">
        <v>6031.0</v>
      </c>
      <c r="I176" s="304">
        <v>6090.0</v>
      </c>
      <c r="J176" s="304">
        <v>6165.0</v>
      </c>
      <c r="K176" s="304">
        <v>6252.0</v>
      </c>
      <c r="L176" s="304">
        <v>6356.0</v>
      </c>
      <c r="M176" s="304">
        <v>6637.0</v>
      </c>
      <c r="N176" s="304">
        <v>6725.0</v>
      </c>
      <c r="O176" s="304">
        <v>6765.0</v>
      </c>
      <c r="P176" s="304">
        <v>6742.0</v>
      </c>
      <c r="Q176" s="304">
        <v>6732.0</v>
      </c>
      <c r="R176" s="304">
        <v>6780.0</v>
      </c>
      <c r="S176" s="304">
        <v>6679.0</v>
      </c>
      <c r="T176" s="304">
        <v>6691.0</v>
      </c>
      <c r="U176" s="304"/>
      <c r="V176" s="297"/>
      <c r="W176" s="297"/>
      <c r="X176" s="297"/>
      <c r="Y176" s="297"/>
      <c r="Z176" s="297"/>
      <c r="AA176" s="297"/>
      <c r="AB176" s="297"/>
      <c r="AC176" s="297"/>
      <c r="AD176" s="297"/>
      <c r="AE176" s="297"/>
      <c r="AF176" s="297"/>
      <c r="AG176" s="305"/>
      <c r="AH176" s="300"/>
      <c r="AI176" s="300"/>
      <c r="AJ176" s="300"/>
      <c r="AK176" s="300"/>
      <c r="AL176" s="300"/>
      <c r="AM176" s="300"/>
    </row>
    <row r="177" ht="15.75" customHeight="1">
      <c r="A177" s="303" t="s">
        <v>287</v>
      </c>
      <c r="B177" s="304" t="s">
        <v>239</v>
      </c>
      <c r="C177" s="304">
        <v>160.0</v>
      </c>
      <c r="D177" s="304">
        <v>157.0</v>
      </c>
      <c r="E177" s="304">
        <v>154.0</v>
      </c>
      <c r="F177" s="304">
        <v>152.0</v>
      </c>
      <c r="G177" s="304">
        <v>152.0</v>
      </c>
      <c r="H177" s="304">
        <v>150.0</v>
      </c>
      <c r="I177" s="304">
        <v>149.0</v>
      </c>
      <c r="J177" s="304">
        <v>148.0</v>
      </c>
      <c r="K177" s="304">
        <v>148.0</v>
      </c>
      <c r="L177" s="304">
        <v>149.0</v>
      </c>
      <c r="M177" s="304">
        <v>153.0</v>
      </c>
      <c r="N177" s="304">
        <v>153.0</v>
      </c>
      <c r="O177" s="304">
        <v>154.0</v>
      </c>
      <c r="P177" s="304">
        <v>158.0</v>
      </c>
      <c r="Q177" s="304">
        <v>159.0</v>
      </c>
      <c r="R177" s="304">
        <v>159.0</v>
      </c>
      <c r="S177" s="304">
        <v>156.0</v>
      </c>
      <c r="T177" s="304">
        <v>156.0</v>
      </c>
      <c r="U177" s="304"/>
      <c r="V177" s="297"/>
      <c r="W177" s="297"/>
      <c r="X177" s="297"/>
      <c r="Y177" s="297"/>
      <c r="Z177" s="297"/>
      <c r="AA177" s="297"/>
      <c r="AB177" s="297"/>
      <c r="AC177" s="297"/>
      <c r="AD177" s="297"/>
      <c r="AE177" s="297"/>
      <c r="AF177" s="297"/>
      <c r="AG177" s="305"/>
      <c r="AH177" s="300"/>
      <c r="AI177" s="300"/>
      <c r="AJ177" s="300"/>
      <c r="AK177" s="300"/>
      <c r="AL177" s="300"/>
      <c r="AM177" s="300"/>
    </row>
    <row r="178" ht="15.75" customHeight="1">
      <c r="A178" s="303" t="s">
        <v>317</v>
      </c>
      <c r="B178" s="304" t="s">
        <v>239</v>
      </c>
      <c r="C178" s="304">
        <v>5303.0</v>
      </c>
      <c r="D178" s="304">
        <v>5248.0</v>
      </c>
      <c r="E178" s="304">
        <v>5192.0</v>
      </c>
      <c r="F178" s="304">
        <v>5177.0</v>
      </c>
      <c r="G178" s="304">
        <v>5206.0</v>
      </c>
      <c r="H178" s="304">
        <v>5197.0</v>
      </c>
      <c r="I178" s="304">
        <v>5211.0</v>
      </c>
      <c r="J178" s="304">
        <v>5209.0</v>
      </c>
      <c r="K178" s="304">
        <v>5262.0</v>
      </c>
      <c r="L178" s="304">
        <v>5338.0</v>
      </c>
      <c r="M178" s="304">
        <v>5480.0</v>
      </c>
      <c r="N178" s="304">
        <v>5538.0</v>
      </c>
      <c r="O178" s="304">
        <v>5557.0</v>
      </c>
      <c r="P178" s="304">
        <v>5495.0</v>
      </c>
      <c r="Q178" s="304">
        <v>5496.0</v>
      </c>
      <c r="R178" s="304">
        <v>5476.0</v>
      </c>
      <c r="S178" s="304">
        <v>5384.0</v>
      </c>
      <c r="T178" s="304">
        <v>5394.0</v>
      </c>
      <c r="U178" s="304"/>
      <c r="V178" s="297"/>
      <c r="W178" s="297"/>
      <c r="X178" s="297"/>
      <c r="Y178" s="297"/>
      <c r="Z178" s="297"/>
      <c r="AA178" s="297"/>
      <c r="AB178" s="297"/>
      <c r="AC178" s="297"/>
      <c r="AD178" s="297"/>
      <c r="AE178" s="297"/>
      <c r="AF178" s="297"/>
      <c r="AG178" s="305"/>
      <c r="AH178" s="300"/>
      <c r="AI178" s="300"/>
      <c r="AJ178" s="300"/>
      <c r="AK178" s="300"/>
      <c r="AL178" s="300"/>
      <c r="AM178" s="300"/>
    </row>
    <row r="179" ht="15.75" customHeight="1">
      <c r="A179" s="303" t="s">
        <v>318</v>
      </c>
      <c r="B179" s="304" t="s">
        <v>239</v>
      </c>
      <c r="C179" s="304">
        <v>4851.0</v>
      </c>
      <c r="D179" s="304">
        <v>4763.0</v>
      </c>
      <c r="E179" s="304">
        <v>4743.0</v>
      </c>
      <c r="F179" s="304">
        <v>4632.0</v>
      </c>
      <c r="G179" s="304">
        <v>4629.0</v>
      </c>
      <c r="H179" s="304">
        <v>4604.0</v>
      </c>
      <c r="I179" s="304">
        <v>4632.0</v>
      </c>
      <c r="J179" s="304">
        <v>4647.0</v>
      </c>
      <c r="K179" s="304">
        <v>4698.0</v>
      </c>
      <c r="L179" s="304">
        <v>4819.0</v>
      </c>
      <c r="M179" s="304">
        <v>4809.0</v>
      </c>
      <c r="N179" s="304">
        <v>4808.0</v>
      </c>
      <c r="O179" s="304">
        <v>4833.0</v>
      </c>
      <c r="P179" s="304">
        <v>4834.0</v>
      </c>
      <c r="Q179" s="304">
        <v>4789.0</v>
      </c>
      <c r="R179" s="304">
        <v>4717.0</v>
      </c>
      <c r="S179" s="304">
        <v>4669.0</v>
      </c>
      <c r="T179" s="304">
        <v>4696.0</v>
      </c>
      <c r="U179" s="304"/>
      <c r="V179" s="297"/>
      <c r="W179" s="297"/>
      <c r="X179" s="297"/>
      <c r="Y179" s="297"/>
      <c r="Z179" s="297"/>
      <c r="AA179" s="297"/>
      <c r="AB179" s="297"/>
      <c r="AC179" s="297"/>
      <c r="AD179" s="297"/>
      <c r="AE179" s="297"/>
      <c r="AF179" s="297"/>
      <c r="AG179" s="305"/>
      <c r="AH179" s="300"/>
      <c r="AI179" s="300"/>
      <c r="AJ179" s="300"/>
      <c r="AK179" s="300"/>
      <c r="AL179" s="300"/>
      <c r="AM179" s="300"/>
    </row>
    <row r="180" ht="15.75" customHeight="1">
      <c r="A180" s="303" t="s">
        <v>256</v>
      </c>
      <c r="B180" s="304" t="s">
        <v>239</v>
      </c>
      <c r="C180" s="304">
        <v>303.0</v>
      </c>
      <c r="D180" s="304">
        <v>293.0</v>
      </c>
      <c r="E180" s="304">
        <v>287.0</v>
      </c>
      <c r="F180" s="304">
        <v>275.0</v>
      </c>
      <c r="G180" s="304">
        <v>270.0</v>
      </c>
      <c r="H180" s="304">
        <v>264.0</v>
      </c>
      <c r="I180" s="304">
        <v>261.0</v>
      </c>
      <c r="J180" s="304">
        <v>257.0</v>
      </c>
      <c r="K180" s="304">
        <v>256.0</v>
      </c>
      <c r="L180" s="304">
        <v>258.0</v>
      </c>
      <c r="M180" s="304">
        <v>254.0</v>
      </c>
      <c r="N180" s="304">
        <v>254.0</v>
      </c>
      <c r="O180" s="304">
        <v>255.0</v>
      </c>
      <c r="P180" s="304">
        <v>256.0</v>
      </c>
      <c r="Q180" s="304">
        <v>254.0</v>
      </c>
      <c r="R180" s="304">
        <v>250.0</v>
      </c>
      <c r="S180" s="304">
        <v>247.0</v>
      </c>
      <c r="T180" s="304">
        <v>249.0</v>
      </c>
      <c r="U180" s="304"/>
      <c r="V180" s="297"/>
      <c r="W180" s="297"/>
      <c r="X180" s="297"/>
      <c r="Y180" s="297"/>
      <c r="Z180" s="297"/>
      <c r="AA180" s="297"/>
      <c r="AB180" s="297"/>
      <c r="AC180" s="297"/>
      <c r="AD180" s="297"/>
      <c r="AE180" s="297"/>
      <c r="AF180" s="297"/>
      <c r="AG180" s="305"/>
      <c r="AH180" s="300"/>
      <c r="AI180" s="300"/>
      <c r="AJ180" s="300"/>
      <c r="AK180" s="300"/>
      <c r="AL180" s="300"/>
      <c r="AM180" s="300"/>
    </row>
    <row r="181" ht="15.75" customHeight="1">
      <c r="A181" s="303" t="s">
        <v>263</v>
      </c>
      <c r="B181" s="304" t="s">
        <v>239</v>
      </c>
      <c r="C181" s="304">
        <v>66.0</v>
      </c>
      <c r="D181" s="304">
        <v>68.0</v>
      </c>
      <c r="E181" s="304">
        <v>70.0</v>
      </c>
      <c r="F181" s="304">
        <v>71.0</v>
      </c>
      <c r="G181" s="304">
        <v>74.0</v>
      </c>
      <c r="H181" s="304">
        <v>76.0</v>
      </c>
      <c r="I181" s="304">
        <v>79.0</v>
      </c>
      <c r="J181" s="304">
        <v>82.0</v>
      </c>
      <c r="K181" s="304">
        <v>85.0</v>
      </c>
      <c r="L181" s="304">
        <v>90.0</v>
      </c>
      <c r="M181" s="304">
        <v>92.0</v>
      </c>
      <c r="N181" s="304">
        <v>92.0</v>
      </c>
      <c r="O181" s="304">
        <v>92.0</v>
      </c>
      <c r="P181" s="304">
        <v>92.0</v>
      </c>
      <c r="Q181" s="304">
        <v>91.0</v>
      </c>
      <c r="R181" s="304">
        <v>90.0</v>
      </c>
      <c r="S181" s="304">
        <v>89.0</v>
      </c>
      <c r="T181" s="304">
        <v>90.0</v>
      </c>
      <c r="U181" s="304"/>
      <c r="V181" s="297"/>
      <c r="W181" s="297"/>
      <c r="X181" s="297"/>
      <c r="Y181" s="297"/>
      <c r="Z181" s="297"/>
      <c r="AA181" s="297"/>
      <c r="AB181" s="297"/>
      <c r="AC181" s="297"/>
      <c r="AD181" s="297"/>
      <c r="AE181" s="297"/>
      <c r="AF181" s="297"/>
      <c r="AG181" s="305"/>
      <c r="AH181" s="300"/>
      <c r="AI181" s="300"/>
      <c r="AJ181" s="300"/>
      <c r="AK181" s="300"/>
      <c r="AL181" s="300"/>
      <c r="AM181" s="300"/>
    </row>
    <row r="182" ht="15.75" customHeight="1">
      <c r="A182" s="303" t="s">
        <v>283</v>
      </c>
      <c r="B182" s="304" t="s">
        <v>239</v>
      </c>
      <c r="C182" s="304">
        <v>3149.0</v>
      </c>
      <c r="D182" s="304">
        <v>3080.0</v>
      </c>
      <c r="E182" s="304">
        <v>3056.0</v>
      </c>
      <c r="F182" s="304">
        <v>2974.0</v>
      </c>
      <c r="G182" s="304">
        <v>2960.0</v>
      </c>
      <c r="H182" s="304">
        <v>2933.0</v>
      </c>
      <c r="I182" s="304">
        <v>2940.0</v>
      </c>
      <c r="J182" s="304">
        <v>2937.0</v>
      </c>
      <c r="K182" s="304">
        <v>2958.0</v>
      </c>
      <c r="L182" s="304">
        <v>3022.0</v>
      </c>
      <c r="M182" s="304">
        <v>3007.0</v>
      </c>
      <c r="N182" s="304">
        <v>3006.0</v>
      </c>
      <c r="O182" s="304">
        <v>3021.0</v>
      </c>
      <c r="P182" s="304">
        <v>3021.0</v>
      </c>
      <c r="Q182" s="304">
        <v>2992.0</v>
      </c>
      <c r="R182" s="304">
        <v>2945.0</v>
      </c>
      <c r="S182" s="304">
        <v>2916.0</v>
      </c>
      <c r="T182" s="304">
        <v>2930.0</v>
      </c>
      <c r="U182" s="304"/>
      <c r="V182" s="297"/>
      <c r="W182" s="297"/>
      <c r="X182" s="297"/>
      <c r="Y182" s="297"/>
      <c r="Z182" s="297"/>
      <c r="AA182" s="297"/>
      <c r="AB182" s="297"/>
      <c r="AC182" s="297"/>
      <c r="AD182" s="297"/>
      <c r="AE182" s="297"/>
      <c r="AF182" s="297"/>
      <c r="AG182" s="305"/>
      <c r="AH182" s="300"/>
      <c r="AI182" s="300"/>
      <c r="AJ182" s="300"/>
      <c r="AK182" s="300"/>
      <c r="AL182" s="300"/>
      <c r="AM182" s="300"/>
    </row>
    <row r="183" ht="15.75" customHeight="1">
      <c r="A183" s="303" t="s">
        <v>319</v>
      </c>
      <c r="B183" s="304" t="s">
        <v>239</v>
      </c>
      <c r="C183" s="304">
        <v>1333.0</v>
      </c>
      <c r="D183" s="304">
        <v>1322.0</v>
      </c>
      <c r="E183" s="304">
        <v>1330.0</v>
      </c>
      <c r="F183" s="304">
        <v>1312.0</v>
      </c>
      <c r="G183" s="304">
        <v>1325.0</v>
      </c>
      <c r="H183" s="304">
        <v>1331.0</v>
      </c>
      <c r="I183" s="304">
        <v>1352.0</v>
      </c>
      <c r="J183" s="304">
        <v>1371.0</v>
      </c>
      <c r="K183" s="304">
        <v>1399.0</v>
      </c>
      <c r="L183" s="304">
        <v>1449.0</v>
      </c>
      <c r="M183" s="304">
        <v>1456.0</v>
      </c>
      <c r="N183" s="304">
        <v>1456.0</v>
      </c>
      <c r="O183" s="304">
        <v>1465.0</v>
      </c>
      <c r="P183" s="304">
        <v>1465.0</v>
      </c>
      <c r="Q183" s="304">
        <v>1452.0</v>
      </c>
      <c r="R183" s="304">
        <v>1432.0</v>
      </c>
      <c r="S183" s="304">
        <v>1417.0</v>
      </c>
      <c r="T183" s="304">
        <v>1427.0</v>
      </c>
      <c r="U183" s="304"/>
      <c r="V183" s="297"/>
      <c r="W183" s="297"/>
      <c r="X183" s="297"/>
      <c r="Y183" s="297"/>
      <c r="Z183" s="297"/>
      <c r="AA183" s="297"/>
      <c r="AB183" s="297"/>
      <c r="AC183" s="297"/>
      <c r="AD183" s="297"/>
      <c r="AE183" s="297"/>
      <c r="AF183" s="297"/>
      <c r="AG183" s="305"/>
      <c r="AH183" s="300"/>
      <c r="AI183" s="300"/>
      <c r="AJ183" s="300"/>
      <c r="AK183" s="300"/>
      <c r="AL183" s="300"/>
      <c r="AM183" s="300"/>
    </row>
    <row r="184" ht="15.75" customHeight="1">
      <c r="A184" s="303" t="s">
        <v>320</v>
      </c>
      <c r="B184" s="304" t="s">
        <v>239</v>
      </c>
      <c r="C184" s="304">
        <v>7108.0</v>
      </c>
      <c r="D184" s="304">
        <v>7167.0</v>
      </c>
      <c r="E184" s="304">
        <v>7371.0</v>
      </c>
      <c r="F184" s="304">
        <v>7496.0</v>
      </c>
      <c r="G184" s="304">
        <v>7554.0</v>
      </c>
      <c r="H184" s="304">
        <v>7685.0</v>
      </c>
      <c r="I184" s="304">
        <v>7796.0</v>
      </c>
      <c r="J184" s="304">
        <v>8146.0</v>
      </c>
      <c r="K184" s="304">
        <v>8460.0</v>
      </c>
      <c r="L184" s="304">
        <v>8565.0</v>
      </c>
      <c r="M184" s="304">
        <v>8587.0</v>
      </c>
      <c r="N184" s="304">
        <v>8645.0</v>
      </c>
      <c r="O184" s="304">
        <v>8637.0</v>
      </c>
      <c r="P184" s="304">
        <v>8637.0</v>
      </c>
      <c r="Q184" s="304">
        <v>8584.0</v>
      </c>
      <c r="R184" s="304">
        <v>8616.0</v>
      </c>
      <c r="S184" s="304">
        <v>8496.0</v>
      </c>
      <c r="T184" s="304">
        <v>8476.0</v>
      </c>
      <c r="U184" s="304"/>
      <c r="V184" s="297"/>
      <c r="W184" s="297"/>
      <c r="X184" s="297"/>
      <c r="Y184" s="297"/>
      <c r="Z184" s="297"/>
      <c r="AA184" s="297"/>
      <c r="AB184" s="297"/>
      <c r="AC184" s="297"/>
      <c r="AD184" s="297"/>
      <c r="AE184" s="297"/>
      <c r="AF184" s="297"/>
      <c r="AG184" s="305"/>
      <c r="AH184" s="300"/>
      <c r="AI184" s="300"/>
      <c r="AJ184" s="300"/>
      <c r="AK184" s="300"/>
      <c r="AL184" s="300"/>
      <c r="AM184" s="300"/>
    </row>
    <row r="185" ht="15.75" customHeight="1">
      <c r="A185" s="303" t="s">
        <v>247</v>
      </c>
      <c r="B185" s="304" t="s">
        <v>239</v>
      </c>
      <c r="C185" s="304">
        <v>3933.0</v>
      </c>
      <c r="D185" s="304">
        <v>3951.0</v>
      </c>
      <c r="E185" s="304">
        <v>4047.0</v>
      </c>
      <c r="F185" s="304">
        <v>4101.0</v>
      </c>
      <c r="G185" s="304">
        <v>4118.0</v>
      </c>
      <c r="H185" s="304">
        <v>4175.0</v>
      </c>
      <c r="I185" s="304">
        <v>4221.0</v>
      </c>
      <c r="J185" s="304">
        <v>4395.0</v>
      </c>
      <c r="K185" s="304">
        <v>4550.0</v>
      </c>
      <c r="L185" s="304">
        <v>4593.0</v>
      </c>
      <c r="M185" s="304">
        <v>4595.0</v>
      </c>
      <c r="N185" s="304">
        <v>4637.0</v>
      </c>
      <c r="O185" s="304">
        <v>4635.0</v>
      </c>
      <c r="P185" s="304">
        <v>4637.0</v>
      </c>
      <c r="Q185" s="304">
        <v>4616.0</v>
      </c>
      <c r="R185" s="304">
        <v>4642.0</v>
      </c>
      <c r="S185" s="304">
        <v>4587.0</v>
      </c>
      <c r="T185" s="304">
        <v>4584.0</v>
      </c>
      <c r="U185" s="304"/>
      <c r="V185" s="297"/>
      <c r="W185" s="297"/>
      <c r="X185" s="297"/>
      <c r="Y185" s="297"/>
      <c r="Z185" s="297"/>
      <c r="AA185" s="297"/>
      <c r="AB185" s="297"/>
      <c r="AC185" s="297"/>
      <c r="AD185" s="297"/>
      <c r="AE185" s="297"/>
      <c r="AF185" s="297"/>
      <c r="AG185" s="305"/>
      <c r="AH185" s="300"/>
      <c r="AI185" s="300"/>
      <c r="AJ185" s="300"/>
      <c r="AK185" s="300"/>
      <c r="AL185" s="300"/>
      <c r="AM185" s="300"/>
    </row>
    <row r="186" ht="15.75" customHeight="1">
      <c r="A186" s="303" t="s">
        <v>262</v>
      </c>
      <c r="B186" s="304" t="s">
        <v>239</v>
      </c>
      <c r="C186" s="304">
        <v>242.0</v>
      </c>
      <c r="D186" s="304">
        <v>241.0</v>
      </c>
      <c r="E186" s="304">
        <v>245.0</v>
      </c>
      <c r="F186" s="304">
        <v>246.0</v>
      </c>
      <c r="G186" s="304">
        <v>246.0</v>
      </c>
      <c r="H186" s="304">
        <v>247.0</v>
      </c>
      <c r="I186" s="304">
        <v>248.0</v>
      </c>
      <c r="J186" s="304">
        <v>257.0</v>
      </c>
      <c r="K186" s="304">
        <v>264.0</v>
      </c>
      <c r="L186" s="304">
        <v>265.0</v>
      </c>
      <c r="M186" s="304">
        <v>264.0</v>
      </c>
      <c r="N186" s="304">
        <v>265.0</v>
      </c>
      <c r="O186" s="304">
        <v>264.0</v>
      </c>
      <c r="P186" s="304">
        <v>266.0</v>
      </c>
      <c r="Q186" s="304">
        <v>265.0</v>
      </c>
      <c r="R186" s="304">
        <v>268.0</v>
      </c>
      <c r="S186" s="304">
        <v>270.0</v>
      </c>
      <c r="T186" s="304">
        <v>269.0</v>
      </c>
      <c r="U186" s="304"/>
      <c r="V186" s="297"/>
      <c r="W186" s="297"/>
      <c r="X186" s="297"/>
      <c r="Y186" s="297"/>
      <c r="Z186" s="297"/>
      <c r="AA186" s="297"/>
      <c r="AB186" s="297"/>
      <c r="AC186" s="297"/>
      <c r="AD186" s="297"/>
      <c r="AE186" s="297"/>
      <c r="AF186" s="297"/>
      <c r="AG186" s="305"/>
      <c r="AH186" s="300"/>
      <c r="AI186" s="300"/>
      <c r="AJ186" s="300"/>
      <c r="AK186" s="300"/>
      <c r="AL186" s="300"/>
      <c r="AM186" s="300"/>
    </row>
    <row r="187" ht="15.75" customHeight="1">
      <c r="A187" s="303" t="s">
        <v>322</v>
      </c>
      <c r="B187" s="304" t="s">
        <v>239</v>
      </c>
      <c r="C187" s="304">
        <v>2933.0</v>
      </c>
      <c r="D187" s="304">
        <v>2975.0</v>
      </c>
      <c r="E187" s="304">
        <v>3079.0</v>
      </c>
      <c r="F187" s="304">
        <v>3149.0</v>
      </c>
      <c r="G187" s="304">
        <v>3190.0</v>
      </c>
      <c r="H187" s="304">
        <v>3263.0</v>
      </c>
      <c r="I187" s="304">
        <v>3327.0</v>
      </c>
      <c r="J187" s="304">
        <v>3494.0</v>
      </c>
      <c r="K187" s="304">
        <v>3646.0</v>
      </c>
      <c r="L187" s="304">
        <v>3707.0</v>
      </c>
      <c r="M187" s="304">
        <v>3728.0</v>
      </c>
      <c r="N187" s="304">
        <v>3743.0</v>
      </c>
      <c r="O187" s="304">
        <v>3738.0</v>
      </c>
      <c r="P187" s="304">
        <v>3734.0</v>
      </c>
      <c r="Q187" s="304">
        <v>3703.0</v>
      </c>
      <c r="R187" s="304">
        <v>3706.0</v>
      </c>
      <c r="S187" s="304">
        <v>3639.0</v>
      </c>
      <c r="T187" s="304">
        <v>3623.0</v>
      </c>
      <c r="U187" s="304"/>
      <c r="V187" s="297"/>
      <c r="W187" s="297"/>
      <c r="X187" s="297"/>
      <c r="Y187" s="297"/>
      <c r="Z187" s="297"/>
      <c r="AA187" s="297"/>
      <c r="AB187" s="297"/>
      <c r="AC187" s="297"/>
      <c r="AD187" s="297"/>
      <c r="AE187" s="297"/>
      <c r="AF187" s="297"/>
      <c r="AG187" s="305"/>
      <c r="AH187" s="300"/>
      <c r="AI187" s="300"/>
      <c r="AJ187" s="300"/>
      <c r="AK187" s="300"/>
      <c r="AL187" s="300"/>
      <c r="AM187" s="300"/>
    </row>
    <row r="188" ht="15.75" customHeight="1">
      <c r="A188" s="303" t="s">
        <v>323</v>
      </c>
      <c r="B188" s="304" t="s">
        <v>239</v>
      </c>
      <c r="C188" s="304">
        <v>81825.0</v>
      </c>
      <c r="D188" s="304">
        <v>82554.0</v>
      </c>
      <c r="E188" s="304">
        <v>83226.0</v>
      </c>
      <c r="F188" s="304">
        <v>84084.0</v>
      </c>
      <c r="G188" s="304">
        <v>85427.0</v>
      </c>
      <c r="H188" s="304">
        <v>85732.0</v>
      </c>
      <c r="I188" s="304">
        <v>86819.0</v>
      </c>
      <c r="J188" s="304">
        <v>87654.0</v>
      </c>
      <c r="K188" s="304">
        <v>89077.0</v>
      </c>
      <c r="L188" s="304">
        <v>90430.0</v>
      </c>
      <c r="M188" s="304">
        <v>92219.0</v>
      </c>
      <c r="N188" s="304">
        <v>92587.0</v>
      </c>
      <c r="O188" s="304">
        <v>94704.0</v>
      </c>
      <c r="P188" s="304">
        <v>95731.0</v>
      </c>
      <c r="Q188" s="304">
        <v>96123.0</v>
      </c>
      <c r="R188" s="304">
        <v>97005.0</v>
      </c>
      <c r="S188" s="304">
        <v>97968.0</v>
      </c>
      <c r="T188" s="304">
        <v>98327.0</v>
      </c>
      <c r="U188" s="304"/>
      <c r="V188" s="297"/>
      <c r="W188" s="297"/>
      <c r="X188" s="297"/>
      <c r="Y188" s="297"/>
      <c r="Z188" s="297"/>
      <c r="AA188" s="297"/>
      <c r="AB188" s="297"/>
      <c r="AC188" s="297"/>
      <c r="AD188" s="297"/>
      <c r="AE188" s="297"/>
      <c r="AF188" s="297"/>
      <c r="AG188" s="305"/>
      <c r="AH188" s="300"/>
      <c r="AI188" s="300"/>
      <c r="AJ188" s="300"/>
      <c r="AK188" s="300"/>
      <c r="AL188" s="300"/>
      <c r="AM188" s="300"/>
    </row>
    <row r="189" ht="15.75" customHeight="1">
      <c r="A189" s="303" t="s">
        <v>149</v>
      </c>
      <c r="B189" s="304" t="s">
        <v>239</v>
      </c>
      <c r="C189" s="304">
        <v>119.0</v>
      </c>
      <c r="D189" s="304">
        <v>125.0</v>
      </c>
      <c r="E189" s="304">
        <v>131.0</v>
      </c>
      <c r="F189" s="304">
        <v>137.0</v>
      </c>
      <c r="G189" s="304">
        <v>144.0</v>
      </c>
      <c r="H189" s="304">
        <v>149.0</v>
      </c>
      <c r="I189" s="304">
        <v>156.0</v>
      </c>
      <c r="J189" s="304">
        <v>161.0</v>
      </c>
      <c r="K189" s="304">
        <v>168.0</v>
      </c>
      <c r="L189" s="304">
        <v>175.0</v>
      </c>
      <c r="M189" s="304">
        <v>181.0</v>
      </c>
      <c r="N189" s="304">
        <v>181.0</v>
      </c>
      <c r="O189" s="304">
        <v>184.0</v>
      </c>
      <c r="P189" s="304">
        <v>184.0</v>
      </c>
      <c r="Q189" s="304">
        <v>182.0</v>
      </c>
      <c r="R189" s="304">
        <v>187.0</v>
      </c>
      <c r="S189" s="304">
        <v>197.0</v>
      </c>
      <c r="T189" s="304">
        <v>204.0</v>
      </c>
      <c r="U189" s="304"/>
      <c r="V189" s="297"/>
      <c r="W189" s="297"/>
      <c r="X189" s="297"/>
      <c r="Y189" s="297"/>
      <c r="Z189" s="297"/>
      <c r="AA189" s="297"/>
      <c r="AB189" s="297"/>
      <c r="AC189" s="297"/>
      <c r="AD189" s="297"/>
      <c r="AE189" s="297"/>
      <c r="AF189" s="297"/>
      <c r="AG189" s="305"/>
      <c r="AH189" s="300"/>
      <c r="AI189" s="300"/>
      <c r="AJ189" s="300"/>
      <c r="AK189" s="300"/>
      <c r="AL189" s="300"/>
      <c r="AM189" s="300"/>
    </row>
    <row r="190" ht="15.75" customHeight="1">
      <c r="A190" s="303" t="s">
        <v>146</v>
      </c>
      <c r="B190" s="304" t="s">
        <v>239</v>
      </c>
      <c r="C190" s="304">
        <v>274.0</v>
      </c>
      <c r="D190" s="304">
        <v>277.0</v>
      </c>
      <c r="E190" s="304">
        <v>278.0</v>
      </c>
      <c r="F190" s="304">
        <v>281.0</v>
      </c>
      <c r="G190" s="304">
        <v>285.0</v>
      </c>
      <c r="H190" s="304">
        <v>285.0</v>
      </c>
      <c r="I190" s="304">
        <v>288.0</v>
      </c>
      <c r="J190" s="304">
        <v>290.0</v>
      </c>
      <c r="K190" s="304">
        <v>294.0</v>
      </c>
      <c r="L190" s="304">
        <v>297.0</v>
      </c>
      <c r="M190" s="304">
        <v>302.0</v>
      </c>
      <c r="N190" s="304">
        <v>301.0</v>
      </c>
      <c r="O190" s="304">
        <v>305.0</v>
      </c>
      <c r="P190" s="304">
        <v>311.0</v>
      </c>
      <c r="Q190" s="304">
        <v>309.0</v>
      </c>
      <c r="R190" s="304">
        <v>312.0</v>
      </c>
      <c r="S190" s="304">
        <v>314.0</v>
      </c>
      <c r="T190" s="304">
        <v>311.0</v>
      </c>
      <c r="U190" s="304"/>
      <c r="V190" s="297"/>
      <c r="W190" s="297"/>
      <c r="X190" s="297"/>
      <c r="Y190" s="297"/>
      <c r="Z190" s="297"/>
      <c r="AA190" s="297"/>
      <c r="AB190" s="297"/>
      <c r="AC190" s="297"/>
      <c r="AD190" s="297"/>
      <c r="AE190" s="297"/>
      <c r="AF190" s="297"/>
      <c r="AG190" s="305"/>
      <c r="AH190" s="300"/>
      <c r="AI190" s="300"/>
      <c r="AJ190" s="300"/>
      <c r="AK190" s="300"/>
      <c r="AL190" s="300"/>
      <c r="AM190" s="300"/>
    </row>
    <row r="191" ht="15.75" customHeight="1">
      <c r="A191" s="303" t="s">
        <v>81</v>
      </c>
      <c r="B191" s="304" t="s">
        <v>239</v>
      </c>
      <c r="C191" s="304">
        <v>53474.0</v>
      </c>
      <c r="D191" s="304">
        <v>53934.0</v>
      </c>
      <c r="E191" s="304">
        <v>54332.0</v>
      </c>
      <c r="F191" s="304">
        <v>54852.0</v>
      </c>
      <c r="G191" s="304">
        <v>55693.0</v>
      </c>
      <c r="H191" s="304">
        <v>55845.0</v>
      </c>
      <c r="I191" s="304">
        <v>56468.0</v>
      </c>
      <c r="J191" s="304">
        <v>56958.0</v>
      </c>
      <c r="K191" s="304">
        <v>57829.0</v>
      </c>
      <c r="L191" s="304">
        <v>58658.0</v>
      </c>
      <c r="M191" s="304">
        <v>59884.0</v>
      </c>
      <c r="N191" s="304">
        <v>60299.0</v>
      </c>
      <c r="O191" s="304">
        <v>61555.0</v>
      </c>
      <c r="P191" s="304">
        <v>62245.0</v>
      </c>
      <c r="Q191" s="304">
        <v>62440.0</v>
      </c>
      <c r="R191" s="304">
        <v>63026.0</v>
      </c>
      <c r="S191" s="304">
        <v>63601.0</v>
      </c>
      <c r="T191" s="304">
        <v>63624.0</v>
      </c>
      <c r="U191" s="304"/>
      <c r="V191" s="297"/>
      <c r="W191" s="297"/>
      <c r="X191" s="297"/>
      <c r="Y191" s="297"/>
      <c r="Z191" s="297"/>
      <c r="AA191" s="297"/>
      <c r="AB191" s="297"/>
      <c r="AC191" s="297"/>
      <c r="AD191" s="297"/>
      <c r="AE191" s="297"/>
      <c r="AF191" s="297"/>
      <c r="AG191" s="305"/>
      <c r="AH191" s="300"/>
      <c r="AI191" s="300"/>
      <c r="AJ191" s="300"/>
      <c r="AK191" s="300"/>
      <c r="AL191" s="300"/>
      <c r="AM191" s="300"/>
    </row>
    <row r="192" ht="15.75" customHeight="1">
      <c r="A192" s="303" t="s">
        <v>160</v>
      </c>
      <c r="B192" s="304" t="s">
        <v>239</v>
      </c>
      <c r="C192" s="304">
        <v>1112.0</v>
      </c>
      <c r="D192" s="304">
        <v>1111.0</v>
      </c>
      <c r="E192" s="304">
        <v>1109.0</v>
      </c>
      <c r="F192" s="304">
        <v>1109.0</v>
      </c>
      <c r="G192" s="304">
        <v>1115.0</v>
      </c>
      <c r="H192" s="304">
        <v>1108.0</v>
      </c>
      <c r="I192" s="304">
        <v>1109.0</v>
      </c>
      <c r="J192" s="304">
        <v>1108.0</v>
      </c>
      <c r="K192" s="304">
        <v>1115.0</v>
      </c>
      <c r="L192" s="304">
        <v>1121.0</v>
      </c>
      <c r="M192" s="304">
        <v>1133.0</v>
      </c>
      <c r="N192" s="304">
        <v>1131.0</v>
      </c>
      <c r="O192" s="304">
        <v>1148.0</v>
      </c>
      <c r="P192" s="304">
        <v>1153.0</v>
      </c>
      <c r="Q192" s="304">
        <v>1141.0</v>
      </c>
      <c r="R192" s="304">
        <v>1144.0</v>
      </c>
      <c r="S192" s="304">
        <v>1146.0</v>
      </c>
      <c r="T192" s="304">
        <v>1142.0</v>
      </c>
      <c r="U192" s="304"/>
      <c r="V192" s="297"/>
      <c r="W192" s="297"/>
      <c r="X192" s="297"/>
      <c r="Y192" s="297"/>
      <c r="Z192" s="297"/>
      <c r="AA192" s="297"/>
      <c r="AB192" s="297"/>
      <c r="AC192" s="297"/>
      <c r="AD192" s="297"/>
      <c r="AE192" s="297"/>
      <c r="AF192" s="297"/>
      <c r="AG192" s="305"/>
      <c r="AH192" s="300"/>
      <c r="AI192" s="300"/>
      <c r="AJ192" s="300"/>
      <c r="AK192" s="300"/>
      <c r="AL192" s="300"/>
      <c r="AM192" s="300"/>
    </row>
    <row r="193" ht="15.75" customHeight="1">
      <c r="A193" s="303" t="s">
        <v>324</v>
      </c>
      <c r="B193" s="304" t="s">
        <v>239</v>
      </c>
      <c r="C193" s="304">
        <v>26846.0</v>
      </c>
      <c r="D193" s="304">
        <v>27107.0</v>
      </c>
      <c r="E193" s="304">
        <v>27376.0</v>
      </c>
      <c r="F193" s="304">
        <v>27705.0</v>
      </c>
      <c r="G193" s="304">
        <v>28190.0</v>
      </c>
      <c r="H193" s="304">
        <v>28345.0</v>
      </c>
      <c r="I193" s="304">
        <v>28798.0</v>
      </c>
      <c r="J193" s="304">
        <v>29137.0</v>
      </c>
      <c r="K193" s="304">
        <v>29671.0</v>
      </c>
      <c r="L193" s="304">
        <v>30179.0</v>
      </c>
      <c r="M193" s="304">
        <v>30719.0</v>
      </c>
      <c r="N193" s="304">
        <v>30675.0</v>
      </c>
      <c r="O193" s="304">
        <v>31512.0</v>
      </c>
      <c r="P193" s="304">
        <v>31838.0</v>
      </c>
      <c r="Q193" s="304">
        <v>32051.0</v>
      </c>
      <c r="R193" s="304">
        <v>32336.0</v>
      </c>
      <c r="S193" s="304">
        <v>32710.0</v>
      </c>
      <c r="T193" s="304">
        <v>33046.0</v>
      </c>
      <c r="U193" s="304"/>
      <c r="V193" s="297"/>
      <c r="W193" s="297"/>
      <c r="X193" s="297"/>
      <c r="Y193" s="297"/>
      <c r="Z193" s="297"/>
      <c r="AA193" s="297"/>
      <c r="AB193" s="297"/>
      <c r="AC193" s="297"/>
      <c r="AD193" s="297"/>
      <c r="AE193" s="297"/>
      <c r="AF193" s="297"/>
      <c r="AG193" s="305"/>
      <c r="AH193" s="300"/>
      <c r="AI193" s="300"/>
      <c r="AJ193" s="300"/>
      <c r="AK193" s="300"/>
      <c r="AL193" s="300"/>
      <c r="AM193" s="300"/>
    </row>
    <row r="194" ht="15.75" customHeight="1">
      <c r="A194" s="303" t="s">
        <v>325</v>
      </c>
      <c r="B194" s="304" t="s">
        <v>239</v>
      </c>
      <c r="C194" s="304">
        <v>14621.0</v>
      </c>
      <c r="D194" s="304">
        <v>14697.0</v>
      </c>
      <c r="E194" s="304">
        <v>14858.0</v>
      </c>
      <c r="F194" s="304">
        <v>15117.0</v>
      </c>
      <c r="G194" s="304">
        <v>15539.0</v>
      </c>
      <c r="H194" s="304">
        <v>15917.0</v>
      </c>
      <c r="I194" s="304">
        <v>16429.0</v>
      </c>
      <c r="J194" s="304">
        <v>17013.0</v>
      </c>
      <c r="K194" s="304">
        <v>17629.0</v>
      </c>
      <c r="L194" s="304">
        <v>18082.0</v>
      </c>
      <c r="M194" s="304">
        <v>18094.0</v>
      </c>
      <c r="N194" s="304">
        <v>18009.0</v>
      </c>
      <c r="O194" s="304">
        <v>17938.0</v>
      </c>
      <c r="P194" s="304">
        <v>18312.0</v>
      </c>
      <c r="Q194" s="304">
        <v>18567.0</v>
      </c>
      <c r="R194" s="304">
        <v>18736.0</v>
      </c>
      <c r="S194" s="304">
        <v>19076.0</v>
      </c>
      <c r="T194" s="304">
        <v>19265.0</v>
      </c>
      <c r="U194" s="304"/>
      <c r="V194" s="297"/>
      <c r="W194" s="297"/>
      <c r="X194" s="297"/>
      <c r="Y194" s="297"/>
      <c r="Z194" s="297"/>
      <c r="AA194" s="297"/>
      <c r="AB194" s="297"/>
      <c r="AC194" s="297"/>
      <c r="AD194" s="297"/>
      <c r="AE194" s="297"/>
      <c r="AF194" s="297"/>
      <c r="AG194" s="305"/>
      <c r="AH194" s="300"/>
      <c r="AI194" s="300"/>
      <c r="AJ194" s="300"/>
      <c r="AK194" s="300"/>
      <c r="AL194" s="300"/>
      <c r="AM194" s="300"/>
    </row>
    <row r="195" ht="15.75" customHeight="1">
      <c r="A195" s="303" t="s">
        <v>240</v>
      </c>
      <c r="B195" s="304" t="s">
        <v>239</v>
      </c>
      <c r="C195" s="304">
        <v>1855.0</v>
      </c>
      <c r="D195" s="304">
        <v>1826.0</v>
      </c>
      <c r="E195" s="304">
        <v>1809.0</v>
      </c>
      <c r="F195" s="304">
        <v>1803.0</v>
      </c>
      <c r="G195" s="304">
        <v>1818.0</v>
      </c>
      <c r="H195" s="304">
        <v>1827.0</v>
      </c>
      <c r="I195" s="304">
        <v>1852.0</v>
      </c>
      <c r="J195" s="304">
        <v>1884.0</v>
      </c>
      <c r="K195" s="304">
        <v>1917.0</v>
      </c>
      <c r="L195" s="304">
        <v>1933.0</v>
      </c>
      <c r="M195" s="304">
        <v>1918.0</v>
      </c>
      <c r="N195" s="304">
        <v>1910.0</v>
      </c>
      <c r="O195" s="304">
        <v>1906.0</v>
      </c>
      <c r="P195" s="304">
        <v>1941.0</v>
      </c>
      <c r="Q195" s="304">
        <v>1963.0</v>
      </c>
      <c r="R195" s="304">
        <v>1969.0</v>
      </c>
      <c r="S195" s="304">
        <v>1986.0</v>
      </c>
      <c r="T195" s="304">
        <v>2005.0</v>
      </c>
      <c r="U195" s="304"/>
      <c r="V195" s="297"/>
      <c r="W195" s="297"/>
      <c r="X195" s="297"/>
      <c r="Y195" s="297"/>
      <c r="Z195" s="297"/>
      <c r="AA195" s="297"/>
      <c r="AB195" s="297"/>
      <c r="AC195" s="297"/>
      <c r="AD195" s="297"/>
      <c r="AE195" s="297"/>
      <c r="AF195" s="297"/>
      <c r="AG195" s="305"/>
      <c r="AH195" s="300"/>
      <c r="AI195" s="300"/>
      <c r="AJ195" s="300"/>
      <c r="AK195" s="300"/>
      <c r="AL195" s="300"/>
      <c r="AM195" s="300"/>
    </row>
    <row r="196" ht="15.75" customHeight="1">
      <c r="A196" s="303" t="s">
        <v>243</v>
      </c>
      <c r="B196" s="304" t="s">
        <v>239</v>
      </c>
      <c r="C196" s="304">
        <v>562.0</v>
      </c>
      <c r="D196" s="304">
        <v>578.0</v>
      </c>
      <c r="E196" s="304">
        <v>597.0</v>
      </c>
      <c r="F196" s="304">
        <v>620.0</v>
      </c>
      <c r="G196" s="304">
        <v>649.0</v>
      </c>
      <c r="H196" s="304">
        <v>677.0</v>
      </c>
      <c r="I196" s="304">
        <v>711.0</v>
      </c>
      <c r="J196" s="304">
        <v>748.0</v>
      </c>
      <c r="K196" s="304">
        <v>787.0</v>
      </c>
      <c r="L196" s="304">
        <v>818.0</v>
      </c>
      <c r="M196" s="304">
        <v>826.0</v>
      </c>
      <c r="N196" s="304">
        <v>821.0</v>
      </c>
      <c r="O196" s="304">
        <v>814.0</v>
      </c>
      <c r="P196" s="304">
        <v>828.0</v>
      </c>
      <c r="Q196" s="304">
        <v>837.0</v>
      </c>
      <c r="R196" s="304">
        <v>842.0</v>
      </c>
      <c r="S196" s="304">
        <v>855.0</v>
      </c>
      <c r="T196" s="304">
        <v>866.0</v>
      </c>
      <c r="U196" s="304"/>
      <c r="V196" s="297"/>
      <c r="W196" s="297"/>
      <c r="X196" s="297"/>
      <c r="Y196" s="297"/>
      <c r="Z196" s="297"/>
      <c r="AA196" s="297"/>
      <c r="AB196" s="297"/>
      <c r="AC196" s="297"/>
      <c r="AD196" s="297"/>
      <c r="AE196" s="297"/>
      <c r="AF196" s="297"/>
      <c r="AG196" s="305"/>
      <c r="AH196" s="300"/>
      <c r="AI196" s="300"/>
      <c r="AJ196" s="300"/>
      <c r="AK196" s="300"/>
      <c r="AL196" s="300"/>
      <c r="AM196" s="300"/>
    </row>
    <row r="197" ht="15.75" customHeight="1">
      <c r="A197" s="303" t="s">
        <v>40</v>
      </c>
      <c r="B197" s="304" t="s">
        <v>239</v>
      </c>
      <c r="C197" s="304">
        <v>517.0</v>
      </c>
      <c r="D197" s="304">
        <v>510.0</v>
      </c>
      <c r="E197" s="304">
        <v>505.0</v>
      </c>
      <c r="F197" s="304">
        <v>504.0</v>
      </c>
      <c r="G197" s="304">
        <v>508.0</v>
      </c>
      <c r="H197" s="304">
        <v>511.0</v>
      </c>
      <c r="I197" s="304">
        <v>518.0</v>
      </c>
      <c r="J197" s="304">
        <v>527.0</v>
      </c>
      <c r="K197" s="304">
        <v>536.0</v>
      </c>
      <c r="L197" s="304">
        <v>541.0</v>
      </c>
      <c r="M197" s="304">
        <v>534.0</v>
      </c>
      <c r="N197" s="304">
        <v>528.0</v>
      </c>
      <c r="O197" s="304">
        <v>529.0</v>
      </c>
      <c r="P197" s="304">
        <v>538.0</v>
      </c>
      <c r="Q197" s="304">
        <v>546.0</v>
      </c>
      <c r="R197" s="304">
        <v>547.0</v>
      </c>
      <c r="S197" s="304">
        <v>554.0</v>
      </c>
      <c r="T197" s="304">
        <v>551.0</v>
      </c>
      <c r="U197" s="304"/>
      <c r="V197" s="297"/>
      <c r="W197" s="297"/>
      <c r="X197" s="297"/>
      <c r="Y197" s="297"/>
      <c r="Z197" s="297"/>
      <c r="AA197" s="297"/>
      <c r="AB197" s="297"/>
      <c r="AC197" s="297"/>
      <c r="AD197" s="297"/>
      <c r="AE197" s="297"/>
      <c r="AF197" s="297"/>
      <c r="AG197" s="305"/>
      <c r="AH197" s="300"/>
      <c r="AI197" s="300"/>
      <c r="AJ197" s="300"/>
      <c r="AK197" s="300"/>
      <c r="AL197" s="300"/>
      <c r="AM197" s="300"/>
    </row>
    <row r="198" ht="15.75" customHeight="1">
      <c r="A198" s="303" t="s">
        <v>88</v>
      </c>
      <c r="B198" s="304" t="s">
        <v>239</v>
      </c>
      <c r="C198" s="304">
        <v>705.0</v>
      </c>
      <c r="D198" s="304">
        <v>695.0</v>
      </c>
      <c r="E198" s="304">
        <v>690.0</v>
      </c>
      <c r="F198" s="304">
        <v>689.0</v>
      </c>
      <c r="G198" s="304">
        <v>695.0</v>
      </c>
      <c r="H198" s="304">
        <v>700.0</v>
      </c>
      <c r="I198" s="304">
        <v>710.0</v>
      </c>
      <c r="J198" s="304">
        <v>723.0</v>
      </c>
      <c r="K198" s="304">
        <v>738.0</v>
      </c>
      <c r="L198" s="304">
        <v>745.0</v>
      </c>
      <c r="M198" s="304">
        <v>737.0</v>
      </c>
      <c r="N198" s="304">
        <v>734.0</v>
      </c>
      <c r="O198" s="304">
        <v>730.0</v>
      </c>
      <c r="P198" s="304">
        <v>744.0</v>
      </c>
      <c r="Q198" s="304">
        <v>754.0</v>
      </c>
      <c r="R198" s="304">
        <v>755.0</v>
      </c>
      <c r="S198" s="304">
        <v>760.0</v>
      </c>
      <c r="T198" s="304">
        <v>758.0</v>
      </c>
      <c r="U198" s="304"/>
      <c r="V198" s="297"/>
      <c r="W198" s="297"/>
      <c r="X198" s="297"/>
      <c r="Y198" s="297"/>
      <c r="Z198" s="297"/>
      <c r="AA198" s="297"/>
      <c r="AB198" s="297"/>
      <c r="AC198" s="297"/>
      <c r="AD198" s="297"/>
      <c r="AE198" s="297"/>
      <c r="AF198" s="297"/>
      <c r="AG198" s="305"/>
      <c r="AH198" s="300"/>
      <c r="AI198" s="300"/>
      <c r="AJ198" s="300"/>
      <c r="AK198" s="300"/>
      <c r="AL198" s="300"/>
      <c r="AM198" s="300"/>
    </row>
    <row r="199" ht="15.75" customHeight="1">
      <c r="A199" s="303" t="s">
        <v>85</v>
      </c>
      <c r="B199" s="304" t="s">
        <v>239</v>
      </c>
      <c r="C199" s="304">
        <v>2657.0</v>
      </c>
      <c r="D199" s="304">
        <v>2608.0</v>
      </c>
      <c r="E199" s="304">
        <v>2575.0</v>
      </c>
      <c r="F199" s="304">
        <v>2561.0</v>
      </c>
      <c r="G199" s="304">
        <v>2574.0</v>
      </c>
      <c r="H199" s="304">
        <v>2579.0</v>
      </c>
      <c r="I199" s="304">
        <v>2603.0</v>
      </c>
      <c r="J199" s="304">
        <v>2640.0</v>
      </c>
      <c r="K199" s="304">
        <v>2679.0</v>
      </c>
      <c r="L199" s="304">
        <v>2692.0</v>
      </c>
      <c r="M199" s="304">
        <v>2650.0</v>
      </c>
      <c r="N199" s="304">
        <v>2639.0</v>
      </c>
      <c r="O199" s="304">
        <v>2629.0</v>
      </c>
      <c r="P199" s="304">
        <v>2687.0</v>
      </c>
      <c r="Q199" s="304">
        <v>2726.0</v>
      </c>
      <c r="R199" s="304">
        <v>2732.0</v>
      </c>
      <c r="S199" s="304">
        <v>2757.0</v>
      </c>
      <c r="T199" s="304">
        <v>2747.0</v>
      </c>
      <c r="U199" s="304"/>
      <c r="V199" s="297"/>
      <c r="W199" s="297"/>
      <c r="X199" s="297"/>
      <c r="Y199" s="297"/>
      <c r="Z199" s="297"/>
      <c r="AA199" s="297"/>
      <c r="AB199" s="297"/>
      <c r="AC199" s="297"/>
      <c r="AD199" s="297"/>
      <c r="AE199" s="297"/>
      <c r="AF199" s="297"/>
      <c r="AG199" s="305"/>
      <c r="AH199" s="300"/>
      <c r="AI199" s="300"/>
      <c r="AJ199" s="300"/>
      <c r="AK199" s="300"/>
      <c r="AL199" s="300"/>
      <c r="AM199" s="300"/>
    </row>
    <row r="200" ht="15.75" customHeight="1">
      <c r="A200" s="303" t="s">
        <v>90</v>
      </c>
      <c r="B200" s="304" t="s">
        <v>239</v>
      </c>
      <c r="C200" s="304">
        <v>464.0</v>
      </c>
      <c r="D200" s="304">
        <v>464.0</v>
      </c>
      <c r="E200" s="304">
        <v>467.0</v>
      </c>
      <c r="F200" s="304">
        <v>473.0</v>
      </c>
      <c r="G200" s="304">
        <v>484.0</v>
      </c>
      <c r="H200" s="304">
        <v>494.0</v>
      </c>
      <c r="I200" s="304">
        <v>507.0</v>
      </c>
      <c r="J200" s="304">
        <v>523.0</v>
      </c>
      <c r="K200" s="304">
        <v>540.0</v>
      </c>
      <c r="L200" s="304">
        <v>552.0</v>
      </c>
      <c r="M200" s="304">
        <v>552.0</v>
      </c>
      <c r="N200" s="304">
        <v>546.0</v>
      </c>
      <c r="O200" s="304">
        <v>543.0</v>
      </c>
      <c r="P200" s="304">
        <v>553.0</v>
      </c>
      <c r="Q200" s="304">
        <v>560.0</v>
      </c>
      <c r="R200" s="304">
        <v>561.0</v>
      </c>
      <c r="S200" s="304">
        <v>565.0</v>
      </c>
      <c r="T200" s="304">
        <v>562.0</v>
      </c>
      <c r="U200" s="304"/>
      <c r="V200" s="297"/>
      <c r="W200" s="297"/>
      <c r="X200" s="297"/>
      <c r="Y200" s="297"/>
      <c r="Z200" s="297"/>
      <c r="AA200" s="297"/>
      <c r="AB200" s="297"/>
      <c r="AC200" s="297"/>
      <c r="AD200" s="297"/>
      <c r="AE200" s="297"/>
      <c r="AF200" s="297"/>
      <c r="AG200" s="305"/>
      <c r="AH200" s="300"/>
      <c r="AI200" s="300"/>
      <c r="AJ200" s="300"/>
      <c r="AK200" s="300"/>
      <c r="AL200" s="300"/>
      <c r="AM200" s="300"/>
    </row>
    <row r="201" ht="15.75" customHeight="1">
      <c r="A201" s="303" t="s">
        <v>99</v>
      </c>
      <c r="B201" s="304" t="s">
        <v>239</v>
      </c>
      <c r="C201" s="304">
        <v>102.0</v>
      </c>
      <c r="D201" s="304">
        <v>99.0</v>
      </c>
      <c r="E201" s="304">
        <v>97.0</v>
      </c>
      <c r="F201" s="304">
        <v>96.0</v>
      </c>
      <c r="G201" s="304">
        <v>96.0</v>
      </c>
      <c r="H201" s="304">
        <v>96.0</v>
      </c>
      <c r="I201" s="304">
        <v>96.0</v>
      </c>
      <c r="J201" s="304">
        <v>97.0</v>
      </c>
      <c r="K201" s="304">
        <v>98.0</v>
      </c>
      <c r="L201" s="304">
        <v>98.0</v>
      </c>
      <c r="M201" s="304">
        <v>96.0</v>
      </c>
      <c r="N201" s="304">
        <v>95.0</v>
      </c>
      <c r="O201" s="304">
        <v>94.0</v>
      </c>
      <c r="P201" s="304">
        <v>98.0</v>
      </c>
      <c r="Q201" s="304">
        <v>98.0</v>
      </c>
      <c r="R201" s="304">
        <v>101.0</v>
      </c>
      <c r="S201" s="304">
        <v>105.0</v>
      </c>
      <c r="T201" s="304">
        <v>105.0</v>
      </c>
      <c r="U201" s="304"/>
      <c r="V201" s="297"/>
      <c r="W201" s="297"/>
      <c r="X201" s="297"/>
      <c r="Y201" s="297"/>
      <c r="Z201" s="297"/>
      <c r="AA201" s="297"/>
      <c r="AB201" s="297"/>
      <c r="AC201" s="297"/>
      <c r="AD201" s="297"/>
      <c r="AE201" s="297"/>
      <c r="AF201" s="297"/>
      <c r="AG201" s="305"/>
      <c r="AH201" s="300"/>
      <c r="AI201" s="300"/>
      <c r="AJ201" s="300"/>
      <c r="AK201" s="300"/>
      <c r="AL201" s="300"/>
      <c r="AM201" s="300"/>
    </row>
    <row r="202" ht="15.75" customHeight="1">
      <c r="A202" s="303" t="s">
        <v>279</v>
      </c>
      <c r="B202" s="304" t="s">
        <v>239</v>
      </c>
      <c r="C202" s="304">
        <v>690.0</v>
      </c>
      <c r="D202" s="304">
        <v>758.0</v>
      </c>
      <c r="E202" s="304">
        <v>829.0</v>
      </c>
      <c r="F202" s="304">
        <v>905.0</v>
      </c>
      <c r="G202" s="304">
        <v>990.0</v>
      </c>
      <c r="H202" s="304">
        <v>1073.0</v>
      </c>
      <c r="I202" s="304">
        <v>1166.0</v>
      </c>
      <c r="J202" s="304">
        <v>1265.0</v>
      </c>
      <c r="K202" s="304">
        <v>1368.0</v>
      </c>
      <c r="L202" s="304">
        <v>1460.0</v>
      </c>
      <c r="M202" s="304">
        <v>1499.0</v>
      </c>
      <c r="N202" s="304">
        <v>1492.0</v>
      </c>
      <c r="O202" s="304">
        <v>1488.0</v>
      </c>
      <c r="P202" s="304">
        <v>1519.0</v>
      </c>
      <c r="Q202" s="304">
        <v>1538.0</v>
      </c>
      <c r="R202" s="304">
        <v>1546.0</v>
      </c>
      <c r="S202" s="304">
        <v>1564.0</v>
      </c>
      <c r="T202" s="304">
        <v>1581.0</v>
      </c>
      <c r="U202" s="304"/>
      <c r="V202" s="297"/>
      <c r="W202" s="297"/>
      <c r="X202" s="297"/>
      <c r="Y202" s="297"/>
      <c r="Z202" s="297"/>
      <c r="AA202" s="297"/>
      <c r="AB202" s="297"/>
      <c r="AC202" s="297"/>
      <c r="AD202" s="297"/>
      <c r="AE202" s="297"/>
      <c r="AF202" s="297"/>
      <c r="AG202" s="305"/>
      <c r="AH202" s="300"/>
      <c r="AI202" s="300"/>
      <c r="AJ202" s="300"/>
      <c r="AK202" s="300"/>
      <c r="AL202" s="300"/>
      <c r="AM202" s="300"/>
    </row>
    <row r="203" ht="15.75" customHeight="1">
      <c r="A203" s="303" t="s">
        <v>282</v>
      </c>
      <c r="B203" s="304" t="s">
        <v>239</v>
      </c>
      <c r="C203" s="304">
        <v>348.0</v>
      </c>
      <c r="D203" s="304">
        <v>343.0</v>
      </c>
      <c r="E203" s="304">
        <v>340.0</v>
      </c>
      <c r="F203" s="304">
        <v>340.0</v>
      </c>
      <c r="G203" s="304">
        <v>344.0</v>
      </c>
      <c r="H203" s="304">
        <v>346.0</v>
      </c>
      <c r="I203" s="304">
        <v>352.0</v>
      </c>
      <c r="J203" s="304">
        <v>358.0</v>
      </c>
      <c r="K203" s="304">
        <v>366.0</v>
      </c>
      <c r="L203" s="304">
        <v>369.0</v>
      </c>
      <c r="M203" s="304">
        <v>365.0</v>
      </c>
      <c r="N203" s="304">
        <v>363.0</v>
      </c>
      <c r="O203" s="304">
        <v>361.0</v>
      </c>
      <c r="P203" s="304">
        <v>367.0</v>
      </c>
      <c r="Q203" s="304">
        <v>370.0</v>
      </c>
      <c r="R203" s="304">
        <v>371.0</v>
      </c>
      <c r="S203" s="304">
        <v>376.0</v>
      </c>
      <c r="T203" s="304">
        <v>382.0</v>
      </c>
      <c r="U203" s="304"/>
      <c r="V203" s="297"/>
      <c r="W203" s="297"/>
      <c r="X203" s="297"/>
      <c r="Y203" s="297"/>
      <c r="Z203" s="297"/>
      <c r="AA203" s="297"/>
      <c r="AB203" s="297"/>
      <c r="AC203" s="297"/>
      <c r="AD203" s="297"/>
      <c r="AE203" s="297"/>
      <c r="AF203" s="297"/>
      <c r="AG203" s="305"/>
      <c r="AH203" s="300"/>
      <c r="AI203" s="300"/>
      <c r="AJ203" s="300"/>
      <c r="AK203" s="300"/>
      <c r="AL203" s="300"/>
      <c r="AM203" s="300"/>
    </row>
    <row r="204" ht="15.75" customHeight="1">
      <c r="A204" s="303" t="s">
        <v>326</v>
      </c>
      <c r="B204" s="304" t="s">
        <v>239</v>
      </c>
      <c r="C204" s="304">
        <v>6721.0</v>
      </c>
      <c r="D204" s="304">
        <v>6816.0</v>
      </c>
      <c r="E204" s="304">
        <v>6949.0</v>
      </c>
      <c r="F204" s="304">
        <v>7126.0</v>
      </c>
      <c r="G204" s="304">
        <v>7381.0</v>
      </c>
      <c r="H204" s="304">
        <v>7614.0</v>
      </c>
      <c r="I204" s="304">
        <v>7914.0</v>
      </c>
      <c r="J204" s="304">
        <v>8248.0</v>
      </c>
      <c r="K204" s="304">
        <v>8600.0</v>
      </c>
      <c r="L204" s="304">
        <v>8874.0</v>
      </c>
      <c r="M204" s="304">
        <v>8917.0</v>
      </c>
      <c r="N204" s="304">
        <v>8881.0</v>
      </c>
      <c r="O204" s="304">
        <v>8844.0</v>
      </c>
      <c r="P204" s="304">
        <v>9037.0</v>
      </c>
      <c r="Q204" s="304">
        <v>9175.0</v>
      </c>
      <c r="R204" s="304">
        <v>9312.0</v>
      </c>
      <c r="S204" s="304">
        <v>9554.0</v>
      </c>
      <c r="T204" s="304">
        <v>9708.0</v>
      </c>
      <c r="U204" s="304"/>
      <c r="V204" s="297"/>
      <c r="W204" s="297"/>
      <c r="X204" s="297"/>
      <c r="Y204" s="297"/>
      <c r="Z204" s="297"/>
      <c r="AA204" s="297"/>
      <c r="AB204" s="297"/>
      <c r="AC204" s="297"/>
      <c r="AD204" s="297"/>
      <c r="AE204" s="297"/>
      <c r="AF204" s="297"/>
      <c r="AG204" s="305"/>
      <c r="AH204" s="300"/>
      <c r="AI204" s="300"/>
      <c r="AJ204" s="300"/>
      <c r="AK204" s="300"/>
      <c r="AL204" s="300"/>
      <c r="AM204" s="300"/>
    </row>
    <row r="205" ht="15.75" customHeight="1">
      <c r="A205" s="303" t="s">
        <v>327</v>
      </c>
      <c r="B205" s="304" t="s">
        <v>239</v>
      </c>
      <c r="C205" s="304">
        <v>66603.0</v>
      </c>
      <c r="D205" s="304">
        <v>66978.0</v>
      </c>
      <c r="E205" s="304">
        <v>67554.0</v>
      </c>
      <c r="F205" s="304">
        <v>68246.0</v>
      </c>
      <c r="G205" s="304">
        <v>69035.0</v>
      </c>
      <c r="H205" s="304">
        <v>69922.0</v>
      </c>
      <c r="I205" s="304">
        <v>70806.0</v>
      </c>
      <c r="J205" s="304">
        <v>72365.0</v>
      </c>
      <c r="K205" s="304">
        <v>73682.0</v>
      </c>
      <c r="L205" s="304">
        <v>75238.0</v>
      </c>
      <c r="M205" s="304">
        <v>75456.0</v>
      </c>
      <c r="N205" s="304">
        <v>76421.0</v>
      </c>
      <c r="O205" s="304">
        <v>78583.0</v>
      </c>
      <c r="P205" s="304">
        <v>81101.0</v>
      </c>
      <c r="Q205" s="304">
        <v>81439.0</v>
      </c>
      <c r="R205" s="304">
        <v>82134.0</v>
      </c>
      <c r="S205" s="304">
        <v>80892.0</v>
      </c>
      <c r="T205" s="304">
        <v>79547.0</v>
      </c>
      <c r="U205" s="304"/>
      <c r="V205" s="297"/>
      <c r="W205" s="297"/>
      <c r="X205" s="297"/>
      <c r="Y205" s="297"/>
      <c r="Z205" s="297"/>
      <c r="AA205" s="297"/>
      <c r="AB205" s="297"/>
      <c r="AC205" s="297"/>
      <c r="AD205" s="297"/>
      <c r="AE205" s="297"/>
      <c r="AF205" s="297"/>
      <c r="AG205" s="305"/>
      <c r="AH205" s="300"/>
      <c r="AI205" s="300"/>
      <c r="AJ205" s="300"/>
      <c r="AK205" s="300"/>
      <c r="AL205" s="300"/>
      <c r="AM205" s="300"/>
    </row>
    <row r="206" ht="15.75" customHeight="1">
      <c r="A206" s="303" t="s">
        <v>245</v>
      </c>
      <c r="B206" s="304" t="s">
        <v>239</v>
      </c>
      <c r="C206" s="304">
        <v>980.0</v>
      </c>
      <c r="D206" s="304">
        <v>1096.0</v>
      </c>
      <c r="E206" s="304">
        <v>1216.0</v>
      </c>
      <c r="F206" s="304">
        <v>1336.0</v>
      </c>
      <c r="G206" s="304">
        <v>1459.0</v>
      </c>
      <c r="H206" s="304">
        <v>1583.0</v>
      </c>
      <c r="I206" s="304">
        <v>1706.0</v>
      </c>
      <c r="J206" s="304">
        <v>1848.0</v>
      </c>
      <c r="K206" s="304">
        <v>1986.0</v>
      </c>
      <c r="L206" s="304">
        <v>2131.0</v>
      </c>
      <c r="M206" s="304">
        <v>2212.0</v>
      </c>
      <c r="N206" s="304">
        <v>2260.0</v>
      </c>
      <c r="O206" s="304">
        <v>2436.0</v>
      </c>
      <c r="P206" s="304">
        <v>2675.0</v>
      </c>
      <c r="Q206" s="304">
        <v>2758.0</v>
      </c>
      <c r="R206" s="304">
        <v>2849.0</v>
      </c>
      <c r="S206" s="304">
        <v>2815.0</v>
      </c>
      <c r="T206" s="304">
        <v>2781.0</v>
      </c>
      <c r="U206" s="304"/>
      <c r="V206" s="297"/>
      <c r="W206" s="297"/>
      <c r="X206" s="297"/>
      <c r="Y206" s="297"/>
      <c r="Z206" s="297"/>
      <c r="AA206" s="297"/>
      <c r="AB206" s="297"/>
      <c r="AC206" s="297"/>
      <c r="AD206" s="297"/>
      <c r="AE206" s="297"/>
      <c r="AF206" s="297"/>
      <c r="AG206" s="305"/>
      <c r="AH206" s="300"/>
      <c r="AI206" s="300"/>
      <c r="AJ206" s="300"/>
      <c r="AK206" s="300"/>
      <c r="AL206" s="300"/>
      <c r="AM206" s="300"/>
    </row>
    <row r="207" ht="15.75" customHeight="1">
      <c r="A207" s="303" t="s">
        <v>172</v>
      </c>
      <c r="B207" s="304" t="s">
        <v>239</v>
      </c>
      <c r="C207" s="304">
        <v>50042.0</v>
      </c>
      <c r="D207" s="304">
        <v>50187.0</v>
      </c>
      <c r="E207" s="304">
        <v>50480.0</v>
      </c>
      <c r="F207" s="304">
        <v>50863.0</v>
      </c>
      <c r="G207" s="304">
        <v>51315.0</v>
      </c>
      <c r="H207" s="304">
        <v>51844.0</v>
      </c>
      <c r="I207" s="304">
        <v>52370.0</v>
      </c>
      <c r="J207" s="304">
        <v>53392.0</v>
      </c>
      <c r="K207" s="304">
        <v>54235.0</v>
      </c>
      <c r="L207" s="304">
        <v>55255.0</v>
      </c>
      <c r="M207" s="304">
        <v>55249.0</v>
      </c>
      <c r="N207" s="304">
        <v>56104.0</v>
      </c>
      <c r="O207" s="304">
        <v>57692.0</v>
      </c>
      <c r="P207" s="304">
        <v>59480.0</v>
      </c>
      <c r="Q207" s="304">
        <v>59711.0</v>
      </c>
      <c r="R207" s="304">
        <v>59999.0</v>
      </c>
      <c r="S207" s="304">
        <v>58906.0</v>
      </c>
      <c r="T207" s="304">
        <v>57814.0</v>
      </c>
      <c r="U207" s="304"/>
      <c r="V207" s="297"/>
      <c r="W207" s="297"/>
      <c r="X207" s="297"/>
      <c r="Y207" s="297"/>
      <c r="Z207" s="297"/>
      <c r="AA207" s="297"/>
      <c r="AB207" s="297"/>
      <c r="AC207" s="297"/>
      <c r="AD207" s="297"/>
      <c r="AE207" s="297"/>
      <c r="AF207" s="297"/>
      <c r="AG207" s="305"/>
      <c r="AH207" s="300"/>
      <c r="AI207" s="300"/>
      <c r="AJ207" s="300"/>
      <c r="AK207" s="300"/>
      <c r="AL207" s="300"/>
      <c r="AM207" s="300"/>
    </row>
    <row r="208" ht="15.75" customHeight="1">
      <c r="A208" s="303" t="s">
        <v>257</v>
      </c>
      <c r="B208" s="304" t="s">
        <v>239</v>
      </c>
      <c r="C208" s="304">
        <v>168.0</v>
      </c>
      <c r="D208" s="304">
        <v>170.0</v>
      </c>
      <c r="E208" s="304">
        <v>171.0</v>
      </c>
      <c r="F208" s="304">
        <v>173.0</v>
      </c>
      <c r="G208" s="304">
        <v>176.0</v>
      </c>
      <c r="H208" s="304">
        <v>179.0</v>
      </c>
      <c r="I208" s="304">
        <v>181.0</v>
      </c>
      <c r="J208" s="304">
        <v>186.0</v>
      </c>
      <c r="K208" s="304">
        <v>190.0</v>
      </c>
      <c r="L208" s="304">
        <v>194.0</v>
      </c>
      <c r="M208" s="304">
        <v>194.0</v>
      </c>
      <c r="N208" s="304">
        <v>194.0</v>
      </c>
      <c r="O208" s="304">
        <v>199.0</v>
      </c>
      <c r="P208" s="304">
        <v>202.0</v>
      </c>
      <c r="Q208" s="304">
        <v>202.0</v>
      </c>
      <c r="R208" s="304">
        <v>203.0</v>
      </c>
      <c r="S208" s="304">
        <v>201.0</v>
      </c>
      <c r="T208" s="304">
        <v>198.0</v>
      </c>
      <c r="U208" s="304"/>
      <c r="V208" s="297"/>
      <c r="W208" s="297"/>
      <c r="X208" s="297"/>
      <c r="Y208" s="297"/>
      <c r="Z208" s="297"/>
      <c r="AA208" s="297"/>
      <c r="AB208" s="297"/>
      <c r="AC208" s="297"/>
      <c r="AD208" s="297"/>
      <c r="AE208" s="297"/>
      <c r="AF208" s="297"/>
      <c r="AG208" s="305"/>
      <c r="AH208" s="300"/>
      <c r="AI208" s="300"/>
      <c r="AJ208" s="300"/>
      <c r="AK208" s="300"/>
      <c r="AL208" s="300"/>
      <c r="AM208" s="300"/>
    </row>
    <row r="209" ht="15.75" customHeight="1">
      <c r="A209" s="303" t="s">
        <v>167</v>
      </c>
      <c r="B209" s="304" t="s">
        <v>239</v>
      </c>
      <c r="C209" s="304">
        <v>2251.0</v>
      </c>
      <c r="D209" s="304">
        <v>2263.0</v>
      </c>
      <c r="E209" s="304">
        <v>2282.0</v>
      </c>
      <c r="F209" s="304">
        <v>2304.0</v>
      </c>
      <c r="G209" s="304">
        <v>2330.0</v>
      </c>
      <c r="H209" s="304">
        <v>2359.0</v>
      </c>
      <c r="I209" s="304">
        <v>2387.0</v>
      </c>
      <c r="J209" s="304">
        <v>2440.0</v>
      </c>
      <c r="K209" s="304">
        <v>2485.0</v>
      </c>
      <c r="L209" s="304">
        <v>2537.0</v>
      </c>
      <c r="M209" s="304">
        <v>2619.0</v>
      </c>
      <c r="N209" s="304">
        <v>2766.0</v>
      </c>
      <c r="O209" s="304">
        <v>2829.0</v>
      </c>
      <c r="P209" s="304">
        <v>2886.0</v>
      </c>
      <c r="Q209" s="304">
        <v>2864.0</v>
      </c>
      <c r="R209" s="304">
        <v>2969.0</v>
      </c>
      <c r="S209" s="304">
        <v>2997.0</v>
      </c>
      <c r="T209" s="304">
        <v>2950.0</v>
      </c>
      <c r="U209" s="304"/>
      <c r="V209" s="297"/>
      <c r="W209" s="297"/>
      <c r="X209" s="297"/>
      <c r="Y209" s="297"/>
      <c r="Z209" s="297"/>
      <c r="AA209" s="297"/>
      <c r="AB209" s="297"/>
      <c r="AC209" s="297"/>
      <c r="AD209" s="297"/>
      <c r="AE209" s="297"/>
      <c r="AF209" s="297"/>
      <c r="AG209" s="305"/>
      <c r="AH209" s="300"/>
      <c r="AI209" s="300"/>
      <c r="AJ209" s="300"/>
      <c r="AK209" s="300"/>
      <c r="AL209" s="300"/>
      <c r="AM209" s="300"/>
    </row>
    <row r="210" ht="15.75" customHeight="1">
      <c r="A210" s="303" t="s">
        <v>269</v>
      </c>
      <c r="B210" s="304" t="s">
        <v>239</v>
      </c>
      <c r="C210" s="304">
        <v>384.0</v>
      </c>
      <c r="D210" s="304">
        <v>383.0</v>
      </c>
      <c r="E210" s="304">
        <v>383.0</v>
      </c>
      <c r="F210" s="304">
        <v>384.0</v>
      </c>
      <c r="G210" s="304">
        <v>386.0</v>
      </c>
      <c r="H210" s="304">
        <v>387.0</v>
      </c>
      <c r="I210" s="304">
        <v>389.0</v>
      </c>
      <c r="J210" s="304">
        <v>395.0</v>
      </c>
      <c r="K210" s="304">
        <v>399.0</v>
      </c>
      <c r="L210" s="304">
        <v>405.0</v>
      </c>
      <c r="M210" s="304">
        <v>403.0</v>
      </c>
      <c r="N210" s="304">
        <v>400.0</v>
      </c>
      <c r="O210" s="304">
        <v>409.0</v>
      </c>
      <c r="P210" s="304">
        <v>420.0</v>
      </c>
      <c r="Q210" s="304">
        <v>415.0</v>
      </c>
      <c r="R210" s="304">
        <v>415.0</v>
      </c>
      <c r="S210" s="304">
        <v>406.0</v>
      </c>
      <c r="T210" s="304">
        <v>395.0</v>
      </c>
      <c r="U210" s="304"/>
      <c r="V210" s="297"/>
      <c r="W210" s="297"/>
      <c r="X210" s="297"/>
      <c r="Y210" s="297"/>
      <c r="Z210" s="297"/>
      <c r="AA210" s="297"/>
      <c r="AB210" s="297"/>
      <c r="AC210" s="297"/>
      <c r="AD210" s="297"/>
      <c r="AE210" s="297"/>
      <c r="AF210" s="297"/>
      <c r="AG210" s="305"/>
      <c r="AH210" s="300"/>
      <c r="AI210" s="300"/>
      <c r="AJ210" s="300"/>
      <c r="AK210" s="300"/>
      <c r="AL210" s="300"/>
      <c r="AM210" s="300"/>
    </row>
    <row r="211" ht="15.75" customHeight="1">
      <c r="A211" s="303" t="s">
        <v>177</v>
      </c>
      <c r="B211" s="304" t="s">
        <v>239</v>
      </c>
      <c r="C211" s="304">
        <v>3195.0</v>
      </c>
      <c r="D211" s="304">
        <v>3195.0</v>
      </c>
      <c r="E211" s="304">
        <v>3207.0</v>
      </c>
      <c r="F211" s="304">
        <v>3224.0</v>
      </c>
      <c r="G211" s="304">
        <v>3247.0</v>
      </c>
      <c r="H211" s="304">
        <v>3273.0</v>
      </c>
      <c r="I211" s="304">
        <v>3298.0</v>
      </c>
      <c r="J211" s="304">
        <v>3357.0</v>
      </c>
      <c r="K211" s="304">
        <v>3404.0</v>
      </c>
      <c r="L211" s="304">
        <v>3462.0</v>
      </c>
      <c r="M211" s="304">
        <v>3465.0</v>
      </c>
      <c r="N211" s="304">
        <v>3446.0</v>
      </c>
      <c r="O211" s="304">
        <v>3513.0</v>
      </c>
      <c r="P211" s="304">
        <v>3649.0</v>
      </c>
      <c r="Q211" s="304">
        <v>3745.0</v>
      </c>
      <c r="R211" s="304">
        <v>3853.0</v>
      </c>
      <c r="S211" s="304">
        <v>3888.0</v>
      </c>
      <c r="T211" s="304">
        <v>3899.0</v>
      </c>
      <c r="U211" s="304"/>
      <c r="V211" s="297"/>
      <c r="W211" s="297"/>
      <c r="X211" s="297"/>
      <c r="Y211" s="297"/>
      <c r="Z211" s="297"/>
      <c r="AA211" s="297"/>
      <c r="AB211" s="297"/>
      <c r="AC211" s="297"/>
      <c r="AD211" s="297"/>
      <c r="AE211" s="297"/>
      <c r="AF211" s="297"/>
      <c r="AG211" s="305"/>
      <c r="AH211" s="300"/>
      <c r="AI211" s="300"/>
      <c r="AJ211" s="300"/>
      <c r="AK211" s="300"/>
      <c r="AL211" s="300"/>
      <c r="AM211" s="300"/>
    </row>
    <row r="212" ht="15.75" customHeight="1">
      <c r="A212" s="303" t="s">
        <v>328</v>
      </c>
      <c r="B212" s="304" t="s">
        <v>239</v>
      </c>
      <c r="C212" s="304">
        <v>9583.0</v>
      </c>
      <c r="D212" s="304">
        <v>9684.0</v>
      </c>
      <c r="E212" s="304">
        <v>9815.0</v>
      </c>
      <c r="F212" s="304">
        <v>9962.0</v>
      </c>
      <c r="G212" s="304">
        <v>10122.0</v>
      </c>
      <c r="H212" s="304">
        <v>10297.0</v>
      </c>
      <c r="I212" s="304">
        <v>10475.0</v>
      </c>
      <c r="J212" s="304">
        <v>10747.0</v>
      </c>
      <c r="K212" s="304">
        <v>10983.0</v>
      </c>
      <c r="L212" s="304">
        <v>11254.0</v>
      </c>
      <c r="M212" s="304">
        <v>11314.0</v>
      </c>
      <c r="N212" s="304">
        <v>11251.0</v>
      </c>
      <c r="O212" s="304">
        <v>11505.0</v>
      </c>
      <c r="P212" s="304">
        <v>11789.0</v>
      </c>
      <c r="Q212" s="304">
        <v>11744.0</v>
      </c>
      <c r="R212" s="304">
        <v>11846.0</v>
      </c>
      <c r="S212" s="304">
        <v>11679.0</v>
      </c>
      <c r="T212" s="304">
        <v>11510.0</v>
      </c>
      <c r="U212" s="304"/>
      <c r="V212" s="297"/>
      <c r="W212" s="297"/>
      <c r="X212" s="297"/>
      <c r="Y212" s="297"/>
      <c r="Z212" s="297"/>
      <c r="AA212" s="297"/>
      <c r="AB212" s="297"/>
      <c r="AC212" s="297"/>
      <c r="AD212" s="297"/>
      <c r="AE212" s="297"/>
      <c r="AF212" s="297"/>
      <c r="AG212" s="305"/>
      <c r="AH212" s="300"/>
      <c r="AI212" s="300"/>
      <c r="AJ212" s="300"/>
      <c r="AK212" s="300"/>
      <c r="AL212" s="300"/>
      <c r="AM212" s="300"/>
    </row>
    <row r="213" ht="15.75" customHeight="1">
      <c r="A213" s="303" t="s">
        <v>329</v>
      </c>
      <c r="B213" s="304" t="s">
        <v>239</v>
      </c>
      <c r="C213" s="304">
        <v>2396.0</v>
      </c>
      <c r="D213" s="304">
        <v>2357.0</v>
      </c>
      <c r="E213" s="304">
        <v>2293.0</v>
      </c>
      <c r="F213" s="304">
        <v>2280.0</v>
      </c>
      <c r="G213" s="304">
        <v>2319.0</v>
      </c>
      <c r="H213" s="304">
        <v>2315.0</v>
      </c>
      <c r="I213" s="304">
        <v>2321.0</v>
      </c>
      <c r="J213" s="304">
        <v>2407.0</v>
      </c>
      <c r="K213" s="304">
        <v>2467.0</v>
      </c>
      <c r="L213" s="304">
        <v>2475.0</v>
      </c>
      <c r="M213" s="304">
        <v>2491.0</v>
      </c>
      <c r="N213" s="304">
        <v>2483.0</v>
      </c>
      <c r="O213" s="304">
        <v>2476.0</v>
      </c>
      <c r="P213" s="304">
        <v>2544.0</v>
      </c>
      <c r="Q213" s="304">
        <v>2489.0</v>
      </c>
      <c r="R213" s="304">
        <v>2496.0</v>
      </c>
      <c r="S213" s="304">
        <v>2470.0</v>
      </c>
      <c r="T213" s="304">
        <v>2397.0</v>
      </c>
      <c r="U213" s="304"/>
      <c r="V213" s="297"/>
      <c r="W213" s="297"/>
      <c r="X213" s="297"/>
      <c r="Y213" s="297"/>
      <c r="Z213" s="297"/>
      <c r="AA213" s="297"/>
      <c r="AB213" s="297"/>
      <c r="AC213" s="297"/>
      <c r="AD213" s="297"/>
      <c r="AE213" s="297"/>
      <c r="AF213" s="297"/>
      <c r="AG213" s="305"/>
      <c r="AH213" s="300"/>
      <c r="AI213" s="300"/>
      <c r="AJ213" s="300"/>
      <c r="AK213" s="300"/>
      <c r="AL213" s="300"/>
      <c r="AM213" s="300"/>
    </row>
    <row r="214" ht="15.75" customHeight="1">
      <c r="A214" s="303" t="s">
        <v>137</v>
      </c>
      <c r="B214" s="304" t="s">
        <v>239</v>
      </c>
      <c r="C214" s="304">
        <v>1445.0</v>
      </c>
      <c r="D214" s="304">
        <v>1419.0</v>
      </c>
      <c r="E214" s="304">
        <v>1383.0</v>
      </c>
      <c r="F214" s="304">
        <v>1387.0</v>
      </c>
      <c r="G214" s="304">
        <v>1418.0</v>
      </c>
      <c r="H214" s="304">
        <v>1419.0</v>
      </c>
      <c r="I214" s="304">
        <v>1435.0</v>
      </c>
      <c r="J214" s="304">
        <v>1509.0</v>
      </c>
      <c r="K214" s="304">
        <v>1541.0</v>
      </c>
      <c r="L214" s="304">
        <v>1558.0</v>
      </c>
      <c r="M214" s="304">
        <v>1572.0</v>
      </c>
      <c r="N214" s="304">
        <v>1569.0</v>
      </c>
      <c r="O214" s="304">
        <v>1576.0</v>
      </c>
      <c r="P214" s="304">
        <v>1624.0</v>
      </c>
      <c r="Q214" s="304">
        <v>1593.0</v>
      </c>
      <c r="R214" s="304">
        <v>1598.0</v>
      </c>
      <c r="S214" s="304">
        <v>1583.0</v>
      </c>
      <c r="T214" s="304">
        <v>1543.0</v>
      </c>
      <c r="U214" s="304"/>
      <c r="V214" s="297"/>
      <c r="W214" s="297"/>
      <c r="X214" s="297"/>
      <c r="Y214" s="297"/>
      <c r="Z214" s="297"/>
      <c r="AA214" s="297"/>
      <c r="AB214" s="297"/>
      <c r="AC214" s="297"/>
      <c r="AD214" s="297"/>
      <c r="AE214" s="297"/>
      <c r="AF214" s="297"/>
      <c r="AG214" s="305"/>
      <c r="AH214" s="300"/>
      <c r="AI214" s="300"/>
      <c r="AJ214" s="300"/>
      <c r="AK214" s="300"/>
      <c r="AL214" s="300"/>
      <c r="AM214" s="300"/>
    </row>
    <row r="215" ht="15.75" customHeight="1">
      <c r="A215" s="303" t="s">
        <v>138</v>
      </c>
      <c r="B215" s="304" t="s">
        <v>239</v>
      </c>
      <c r="C215" s="304">
        <v>101.0</v>
      </c>
      <c r="D215" s="304">
        <v>100.0</v>
      </c>
      <c r="E215" s="304">
        <v>96.0</v>
      </c>
      <c r="F215" s="304">
        <v>94.0</v>
      </c>
      <c r="G215" s="304">
        <v>95.0</v>
      </c>
      <c r="H215" s="304">
        <v>94.0</v>
      </c>
      <c r="I215" s="304">
        <v>93.0</v>
      </c>
      <c r="J215" s="304">
        <v>94.0</v>
      </c>
      <c r="K215" s="304">
        <v>96.0</v>
      </c>
      <c r="L215" s="304">
        <v>95.0</v>
      </c>
      <c r="M215" s="304">
        <v>95.0</v>
      </c>
      <c r="N215" s="304">
        <v>95.0</v>
      </c>
      <c r="O215" s="304">
        <v>93.0</v>
      </c>
      <c r="P215" s="304">
        <v>95.0</v>
      </c>
      <c r="Q215" s="304">
        <v>93.0</v>
      </c>
      <c r="R215" s="304">
        <v>93.0</v>
      </c>
      <c r="S215" s="304">
        <v>92.0</v>
      </c>
      <c r="T215" s="304">
        <v>88.0</v>
      </c>
      <c r="U215" s="304"/>
      <c r="V215" s="297"/>
      <c r="W215" s="297"/>
      <c r="X215" s="297"/>
      <c r="Y215" s="297"/>
      <c r="Z215" s="297"/>
      <c r="AA215" s="297"/>
      <c r="AB215" s="297"/>
      <c r="AC215" s="297"/>
      <c r="AD215" s="297"/>
      <c r="AE215" s="297"/>
      <c r="AF215" s="297"/>
      <c r="AG215" s="305"/>
      <c r="AH215" s="300"/>
      <c r="AI215" s="300"/>
      <c r="AJ215" s="300"/>
      <c r="AK215" s="300"/>
      <c r="AL215" s="300"/>
      <c r="AM215" s="300"/>
    </row>
    <row r="216" ht="15.75" customHeight="1">
      <c r="A216" s="303" t="s">
        <v>284</v>
      </c>
      <c r="B216" s="304" t="s">
        <v>239</v>
      </c>
      <c r="C216" s="304">
        <v>18.0</v>
      </c>
      <c r="D216" s="304">
        <v>17.0</v>
      </c>
      <c r="E216" s="304">
        <v>17.0</v>
      </c>
      <c r="F216" s="304">
        <v>16.0</v>
      </c>
      <c r="G216" s="304">
        <v>16.0</v>
      </c>
      <c r="H216" s="304">
        <v>16.0</v>
      </c>
      <c r="I216" s="304">
        <v>15.0</v>
      </c>
      <c r="J216" s="304">
        <v>15.0</v>
      </c>
      <c r="K216" s="304">
        <v>16.0</v>
      </c>
      <c r="L216" s="304">
        <v>15.0</v>
      </c>
      <c r="M216" s="304">
        <v>15.0</v>
      </c>
      <c r="N216" s="304">
        <v>15.0</v>
      </c>
      <c r="O216" s="304">
        <v>15.0</v>
      </c>
      <c r="P216" s="304">
        <v>15.0</v>
      </c>
      <c r="Q216" s="304">
        <v>15.0</v>
      </c>
      <c r="R216" s="304">
        <v>15.0</v>
      </c>
      <c r="S216" s="304">
        <v>14.0</v>
      </c>
      <c r="T216" s="304">
        <v>14.0</v>
      </c>
      <c r="U216" s="304"/>
      <c r="V216" s="297"/>
      <c r="W216" s="297"/>
      <c r="X216" s="297"/>
      <c r="Y216" s="297"/>
      <c r="Z216" s="297"/>
      <c r="AA216" s="297"/>
      <c r="AB216" s="297"/>
      <c r="AC216" s="297"/>
      <c r="AD216" s="297"/>
      <c r="AE216" s="297"/>
      <c r="AF216" s="297"/>
      <c r="AG216" s="305"/>
      <c r="AH216" s="300"/>
      <c r="AI216" s="300"/>
      <c r="AJ216" s="300"/>
      <c r="AK216" s="300"/>
      <c r="AL216" s="300"/>
      <c r="AM216" s="300"/>
    </row>
    <row r="217" ht="15.75" customHeight="1">
      <c r="A217" s="303" t="s">
        <v>331</v>
      </c>
      <c r="B217" s="304" t="s">
        <v>239</v>
      </c>
      <c r="C217" s="304">
        <v>832.0</v>
      </c>
      <c r="D217" s="304">
        <v>821.0</v>
      </c>
      <c r="E217" s="304">
        <v>797.0</v>
      </c>
      <c r="F217" s="304">
        <v>783.0</v>
      </c>
      <c r="G217" s="304">
        <v>790.0</v>
      </c>
      <c r="H217" s="304">
        <v>786.0</v>
      </c>
      <c r="I217" s="304">
        <v>778.0</v>
      </c>
      <c r="J217" s="304">
        <v>789.0</v>
      </c>
      <c r="K217" s="304">
        <v>814.0</v>
      </c>
      <c r="L217" s="304">
        <v>807.0</v>
      </c>
      <c r="M217" s="304">
        <v>809.0</v>
      </c>
      <c r="N217" s="304">
        <v>804.0</v>
      </c>
      <c r="O217" s="304">
        <v>792.0</v>
      </c>
      <c r="P217" s="304">
        <v>810.0</v>
      </c>
      <c r="Q217" s="304">
        <v>788.0</v>
      </c>
      <c r="R217" s="304">
        <v>790.0</v>
      </c>
      <c r="S217" s="304">
        <v>781.0</v>
      </c>
      <c r="T217" s="304">
        <v>752.0</v>
      </c>
      <c r="U217" s="304"/>
      <c r="V217" s="297"/>
      <c r="W217" s="297"/>
      <c r="X217" s="297"/>
      <c r="Y217" s="297"/>
      <c r="Z217" s="297"/>
      <c r="AA217" s="297"/>
      <c r="AB217" s="297"/>
      <c r="AC217" s="297"/>
      <c r="AD217" s="297"/>
      <c r="AE217" s="297"/>
      <c r="AF217" s="297"/>
      <c r="AG217" s="305"/>
      <c r="AH217" s="300"/>
      <c r="AI217" s="300"/>
      <c r="AJ217" s="300"/>
      <c r="AK217" s="300"/>
      <c r="AL217" s="300"/>
      <c r="AM217" s="300"/>
    </row>
    <row r="218" ht="15.75" customHeight="1">
      <c r="A218" s="303" t="s">
        <v>332</v>
      </c>
      <c r="B218" s="304" t="s">
        <v>239</v>
      </c>
      <c r="C218" s="304">
        <v>25821.0</v>
      </c>
      <c r="D218" s="304">
        <v>25696.0</v>
      </c>
      <c r="E218" s="304">
        <v>25761.0</v>
      </c>
      <c r="F218" s="304">
        <v>25988.0</v>
      </c>
      <c r="G218" s="304">
        <v>26078.0</v>
      </c>
      <c r="H218" s="304">
        <v>26372.0</v>
      </c>
      <c r="I218" s="304">
        <v>26789.0</v>
      </c>
      <c r="J218" s="304">
        <v>27209.0</v>
      </c>
      <c r="K218" s="304">
        <v>27594.0</v>
      </c>
      <c r="L218" s="304">
        <v>28008.0</v>
      </c>
      <c r="M218" s="304">
        <v>28248.0</v>
      </c>
      <c r="N218" s="304">
        <v>28546.0</v>
      </c>
      <c r="O218" s="304">
        <v>28933.0</v>
      </c>
      <c r="P218" s="304">
        <v>29170.0</v>
      </c>
      <c r="Q218" s="304">
        <v>29119.0</v>
      </c>
      <c r="R218" s="304">
        <v>29110.0</v>
      </c>
      <c r="S218" s="304">
        <v>29412.0</v>
      </c>
      <c r="T218" s="304">
        <v>29568.0</v>
      </c>
      <c r="U218" s="304"/>
      <c r="V218" s="297"/>
      <c r="W218" s="297"/>
      <c r="X218" s="297"/>
      <c r="Y218" s="297"/>
      <c r="Z218" s="297"/>
      <c r="AA218" s="297"/>
      <c r="AB218" s="297"/>
      <c r="AC218" s="297"/>
      <c r="AD218" s="297"/>
      <c r="AE218" s="297"/>
      <c r="AF218" s="297"/>
      <c r="AG218" s="305"/>
      <c r="AH218" s="300"/>
      <c r="AI218" s="300"/>
      <c r="AJ218" s="300"/>
      <c r="AK218" s="300"/>
      <c r="AL218" s="300"/>
      <c r="AM218" s="300"/>
    </row>
    <row r="219" ht="15.75" customHeight="1">
      <c r="A219" s="303" t="s">
        <v>251</v>
      </c>
      <c r="B219" s="304" t="s">
        <v>239</v>
      </c>
      <c r="C219" s="304">
        <v>8957.0</v>
      </c>
      <c r="D219" s="304">
        <v>8892.0</v>
      </c>
      <c r="E219" s="304">
        <v>8893.0</v>
      </c>
      <c r="F219" s="304">
        <v>8946.0</v>
      </c>
      <c r="G219" s="304">
        <v>8949.0</v>
      </c>
      <c r="H219" s="304">
        <v>9024.0</v>
      </c>
      <c r="I219" s="304">
        <v>9140.0</v>
      </c>
      <c r="J219" s="304">
        <v>9257.0</v>
      </c>
      <c r="K219" s="304">
        <v>9366.0</v>
      </c>
      <c r="L219" s="304">
        <v>9469.0</v>
      </c>
      <c r="M219" s="304">
        <v>9541.0</v>
      </c>
      <c r="N219" s="304">
        <v>9632.0</v>
      </c>
      <c r="O219" s="304">
        <v>9745.0</v>
      </c>
      <c r="P219" s="304">
        <v>9827.0</v>
      </c>
      <c r="Q219" s="304">
        <v>9775.0</v>
      </c>
      <c r="R219" s="304">
        <v>9769.0</v>
      </c>
      <c r="S219" s="304">
        <v>9836.0</v>
      </c>
      <c r="T219" s="304">
        <v>9885.0</v>
      </c>
      <c r="U219" s="304"/>
      <c r="V219" s="297"/>
      <c r="W219" s="297"/>
      <c r="X219" s="297"/>
      <c r="Y219" s="297"/>
      <c r="Z219" s="297"/>
      <c r="AA219" s="297"/>
      <c r="AB219" s="297"/>
      <c r="AC219" s="297"/>
      <c r="AD219" s="297"/>
      <c r="AE219" s="297"/>
      <c r="AF219" s="297"/>
      <c r="AG219" s="305"/>
      <c r="AH219" s="300"/>
      <c r="AI219" s="300"/>
      <c r="AJ219" s="300"/>
      <c r="AK219" s="300"/>
      <c r="AL219" s="300"/>
      <c r="AM219" s="300"/>
    </row>
    <row r="220" ht="15.75" customHeight="1">
      <c r="A220" s="303" t="s">
        <v>299</v>
      </c>
      <c r="B220" s="304" t="s">
        <v>239</v>
      </c>
      <c r="C220" s="304">
        <v>26.0</v>
      </c>
      <c r="D220" s="304">
        <v>25.0</v>
      </c>
      <c r="E220" s="304">
        <v>24.0</v>
      </c>
      <c r="F220" s="304">
        <v>23.0</v>
      </c>
      <c r="G220" s="304">
        <v>23.0</v>
      </c>
      <c r="H220" s="304">
        <v>22.0</v>
      </c>
      <c r="I220" s="304">
        <v>21.0</v>
      </c>
      <c r="J220" s="304">
        <v>21.0</v>
      </c>
      <c r="K220" s="304">
        <v>20.0</v>
      </c>
      <c r="L220" s="304">
        <v>20.0</v>
      </c>
      <c r="M220" s="304">
        <v>19.0</v>
      </c>
      <c r="N220" s="304">
        <v>19.0</v>
      </c>
      <c r="O220" s="304">
        <v>19.0</v>
      </c>
      <c r="P220" s="304">
        <v>21.0</v>
      </c>
      <c r="Q220" s="304">
        <v>21.0</v>
      </c>
      <c r="R220" s="304">
        <v>20.0</v>
      </c>
      <c r="S220" s="304">
        <v>20.0</v>
      </c>
      <c r="T220" s="304">
        <v>20.0</v>
      </c>
      <c r="U220" s="304"/>
      <c r="V220" s="297"/>
      <c r="W220" s="297"/>
      <c r="X220" s="297"/>
      <c r="Y220" s="297"/>
      <c r="Z220" s="297"/>
      <c r="AA220" s="297"/>
      <c r="AB220" s="297"/>
      <c r="AC220" s="297"/>
      <c r="AD220" s="297"/>
      <c r="AE220" s="297"/>
      <c r="AF220" s="297"/>
      <c r="AG220" s="305"/>
      <c r="AH220" s="300"/>
      <c r="AI220" s="300"/>
      <c r="AJ220" s="300"/>
      <c r="AK220" s="300"/>
      <c r="AL220" s="300"/>
      <c r="AM220" s="300"/>
    </row>
    <row r="221" ht="15.75" customHeight="1">
      <c r="A221" s="303" t="s">
        <v>268</v>
      </c>
      <c r="B221" s="304" t="s">
        <v>239</v>
      </c>
      <c r="C221" s="304">
        <v>344.0</v>
      </c>
      <c r="D221" s="304">
        <v>338.0</v>
      </c>
      <c r="E221" s="304">
        <v>335.0</v>
      </c>
      <c r="F221" s="304">
        <v>333.0</v>
      </c>
      <c r="G221" s="304">
        <v>329.0</v>
      </c>
      <c r="H221" s="304">
        <v>328.0</v>
      </c>
      <c r="I221" s="304">
        <v>328.0</v>
      </c>
      <c r="J221" s="304">
        <v>328.0</v>
      </c>
      <c r="K221" s="304">
        <v>329.0</v>
      </c>
      <c r="L221" s="304">
        <v>328.0</v>
      </c>
      <c r="M221" s="304">
        <v>327.0</v>
      </c>
      <c r="N221" s="304">
        <v>330.0</v>
      </c>
      <c r="O221" s="304">
        <v>333.0</v>
      </c>
      <c r="P221" s="304">
        <v>334.0</v>
      </c>
      <c r="Q221" s="304">
        <v>332.0</v>
      </c>
      <c r="R221" s="304">
        <v>332.0</v>
      </c>
      <c r="S221" s="304">
        <v>334.0</v>
      </c>
      <c r="T221" s="304">
        <v>335.0</v>
      </c>
      <c r="U221" s="304"/>
      <c r="V221" s="297"/>
      <c r="W221" s="297"/>
      <c r="X221" s="297"/>
      <c r="Y221" s="297"/>
      <c r="Z221" s="297"/>
      <c r="AA221" s="297"/>
      <c r="AB221" s="297"/>
      <c r="AC221" s="297"/>
      <c r="AD221" s="297"/>
      <c r="AE221" s="297"/>
      <c r="AF221" s="297"/>
      <c r="AG221" s="305"/>
      <c r="AH221" s="300"/>
      <c r="AI221" s="300"/>
      <c r="AJ221" s="300"/>
      <c r="AK221" s="300"/>
      <c r="AL221" s="300"/>
      <c r="AM221" s="300"/>
    </row>
    <row r="222" ht="15.75" customHeight="1">
      <c r="A222" s="303" t="s">
        <v>272</v>
      </c>
      <c r="B222" s="304" t="s">
        <v>239</v>
      </c>
      <c r="C222" s="304">
        <v>5611.0</v>
      </c>
      <c r="D222" s="304">
        <v>5571.0</v>
      </c>
      <c r="E222" s="304">
        <v>5584.0</v>
      </c>
      <c r="F222" s="304">
        <v>5658.0</v>
      </c>
      <c r="G222" s="304">
        <v>5705.0</v>
      </c>
      <c r="H222" s="304">
        <v>5794.0</v>
      </c>
      <c r="I222" s="304">
        <v>5907.0</v>
      </c>
      <c r="J222" s="304">
        <v>6023.0</v>
      </c>
      <c r="K222" s="304">
        <v>6119.0</v>
      </c>
      <c r="L222" s="304">
        <v>6264.0</v>
      </c>
      <c r="M222" s="304">
        <v>6317.0</v>
      </c>
      <c r="N222" s="304">
        <v>6311.0</v>
      </c>
      <c r="O222" s="304">
        <v>6404.0</v>
      </c>
      <c r="P222" s="304">
        <v>6411.0</v>
      </c>
      <c r="Q222" s="304">
        <v>6428.0</v>
      </c>
      <c r="R222" s="304">
        <v>6367.0</v>
      </c>
      <c r="S222" s="304">
        <v>6438.0</v>
      </c>
      <c r="T222" s="304">
        <v>6440.0</v>
      </c>
      <c r="U222" s="304"/>
      <c r="V222" s="297"/>
      <c r="W222" s="297"/>
      <c r="X222" s="297"/>
      <c r="Y222" s="297"/>
      <c r="Z222" s="297"/>
      <c r="AA222" s="297"/>
      <c r="AB222" s="297"/>
      <c r="AC222" s="297"/>
      <c r="AD222" s="297"/>
      <c r="AE222" s="297"/>
      <c r="AF222" s="297"/>
      <c r="AG222" s="305"/>
      <c r="AH222" s="300"/>
      <c r="AI222" s="300"/>
      <c r="AJ222" s="300"/>
      <c r="AK222" s="300"/>
      <c r="AL222" s="300"/>
      <c r="AM222" s="300"/>
    </row>
    <row r="223" ht="15.75" customHeight="1">
      <c r="A223" s="303" t="s">
        <v>334</v>
      </c>
      <c r="B223" s="304" t="s">
        <v>239</v>
      </c>
      <c r="C223" s="304">
        <v>10883.0</v>
      </c>
      <c r="D223" s="304">
        <v>10870.0</v>
      </c>
      <c r="E223" s="304">
        <v>10925.0</v>
      </c>
      <c r="F223" s="304">
        <v>11028.0</v>
      </c>
      <c r="G223" s="304">
        <v>11072.0</v>
      </c>
      <c r="H223" s="304">
        <v>11204.0</v>
      </c>
      <c r="I223" s="304">
        <v>11393.0</v>
      </c>
      <c r="J223" s="304">
        <v>11580.0</v>
      </c>
      <c r="K223" s="304">
        <v>11760.0</v>
      </c>
      <c r="L223" s="304">
        <v>11927.0</v>
      </c>
      <c r="M223" s="304">
        <v>12044.0</v>
      </c>
      <c r="N223" s="304">
        <v>12254.0</v>
      </c>
      <c r="O223" s="304">
        <v>12432.0</v>
      </c>
      <c r="P223" s="304">
        <v>12577.0</v>
      </c>
      <c r="Q223" s="304">
        <v>12563.0</v>
      </c>
      <c r="R223" s="304">
        <v>12622.0</v>
      </c>
      <c r="S223" s="304">
        <v>12784.0</v>
      </c>
      <c r="T223" s="304">
        <v>12888.0</v>
      </c>
      <c r="U223" s="304"/>
      <c r="V223" s="297"/>
      <c r="W223" s="297"/>
      <c r="X223" s="297"/>
      <c r="Y223" s="297"/>
      <c r="Z223" s="297"/>
      <c r="AA223" s="297"/>
      <c r="AB223" s="297"/>
      <c r="AC223" s="297"/>
      <c r="AD223" s="297"/>
      <c r="AE223" s="297"/>
      <c r="AF223" s="297"/>
      <c r="AG223" s="305"/>
      <c r="AH223" s="300"/>
      <c r="AI223" s="300"/>
      <c r="AJ223" s="300"/>
      <c r="AK223" s="300"/>
      <c r="AL223" s="300"/>
      <c r="AM223" s="300"/>
    </row>
    <row r="224" ht="15.75" customHeight="1">
      <c r="A224" s="303" t="s">
        <v>335</v>
      </c>
      <c r="B224" s="304" t="s">
        <v>239</v>
      </c>
      <c r="C224" s="304">
        <v>8739.0</v>
      </c>
      <c r="D224" s="304">
        <v>8765.0</v>
      </c>
      <c r="E224" s="304">
        <v>8766.0</v>
      </c>
      <c r="F224" s="304">
        <v>8689.0</v>
      </c>
      <c r="G224" s="304">
        <v>8730.0</v>
      </c>
      <c r="H224" s="304">
        <v>8681.0</v>
      </c>
      <c r="I224" s="304">
        <v>8690.0</v>
      </c>
      <c r="J224" s="304">
        <v>8682.0</v>
      </c>
      <c r="K224" s="304">
        <v>8622.0</v>
      </c>
      <c r="L224" s="304">
        <v>8608.0</v>
      </c>
      <c r="M224" s="304">
        <v>8664.0</v>
      </c>
      <c r="N224" s="304">
        <v>8695.0</v>
      </c>
      <c r="O224" s="304">
        <v>8730.0</v>
      </c>
      <c r="P224" s="304">
        <v>8707.0</v>
      </c>
      <c r="Q224" s="304">
        <v>8776.0</v>
      </c>
      <c r="R224" s="304">
        <v>8797.0</v>
      </c>
      <c r="S224" s="304">
        <v>8675.0</v>
      </c>
      <c r="T224" s="304">
        <v>8562.0</v>
      </c>
      <c r="U224" s="304"/>
      <c r="V224" s="297"/>
      <c r="W224" s="297"/>
      <c r="X224" s="297"/>
      <c r="Y224" s="297"/>
      <c r="Z224" s="297"/>
      <c r="AA224" s="297"/>
      <c r="AB224" s="297"/>
      <c r="AC224" s="297"/>
      <c r="AD224" s="297"/>
      <c r="AE224" s="297"/>
      <c r="AF224" s="297"/>
      <c r="AG224" s="305"/>
      <c r="AH224" s="300"/>
      <c r="AI224" s="300"/>
      <c r="AJ224" s="300"/>
      <c r="AK224" s="300"/>
      <c r="AL224" s="300"/>
      <c r="AM224" s="300"/>
    </row>
    <row r="225" ht="15.75" customHeight="1">
      <c r="A225" s="303" t="s">
        <v>150</v>
      </c>
      <c r="B225" s="304" t="s">
        <v>239</v>
      </c>
      <c r="C225" s="304">
        <v>242.0</v>
      </c>
      <c r="D225" s="304">
        <v>240.0</v>
      </c>
      <c r="E225" s="304">
        <v>237.0</v>
      </c>
      <c r="F225" s="304">
        <v>232.0</v>
      </c>
      <c r="G225" s="304">
        <v>230.0</v>
      </c>
      <c r="H225" s="304">
        <v>227.0</v>
      </c>
      <c r="I225" s="304">
        <v>224.0</v>
      </c>
      <c r="J225" s="304">
        <v>221.0</v>
      </c>
      <c r="K225" s="304">
        <v>216.0</v>
      </c>
      <c r="L225" s="304">
        <v>213.0</v>
      </c>
      <c r="M225" s="304">
        <v>212.0</v>
      </c>
      <c r="N225" s="304">
        <v>213.0</v>
      </c>
      <c r="O225" s="304">
        <v>214.0</v>
      </c>
      <c r="P225" s="304">
        <v>211.0</v>
      </c>
      <c r="Q225" s="304">
        <v>212.0</v>
      </c>
      <c r="R225" s="304">
        <v>211.0</v>
      </c>
      <c r="S225" s="304">
        <v>208.0</v>
      </c>
      <c r="T225" s="304">
        <v>203.0</v>
      </c>
      <c r="U225" s="304"/>
      <c r="V225" s="297"/>
      <c r="W225" s="297"/>
      <c r="X225" s="297"/>
      <c r="Y225" s="297"/>
      <c r="Z225" s="297"/>
      <c r="AA225" s="297"/>
      <c r="AB225" s="297"/>
      <c r="AC225" s="297"/>
      <c r="AD225" s="297"/>
      <c r="AE225" s="297"/>
      <c r="AF225" s="297"/>
      <c r="AG225" s="305"/>
      <c r="AH225" s="300"/>
      <c r="AI225" s="300"/>
      <c r="AJ225" s="300"/>
      <c r="AK225" s="300"/>
      <c r="AL225" s="300"/>
      <c r="AM225" s="300"/>
    </row>
    <row r="226" ht="15.75" customHeight="1">
      <c r="A226" s="303" t="s">
        <v>153</v>
      </c>
      <c r="B226" s="304" t="s">
        <v>239</v>
      </c>
      <c r="C226" s="304">
        <v>230.0</v>
      </c>
      <c r="D226" s="304">
        <v>229.0</v>
      </c>
      <c r="E226" s="304">
        <v>227.0</v>
      </c>
      <c r="F226" s="304">
        <v>222.0</v>
      </c>
      <c r="G226" s="304">
        <v>221.0</v>
      </c>
      <c r="H226" s="304">
        <v>217.0</v>
      </c>
      <c r="I226" s="304">
        <v>215.0</v>
      </c>
      <c r="J226" s="304">
        <v>212.0</v>
      </c>
      <c r="K226" s="304">
        <v>208.0</v>
      </c>
      <c r="L226" s="304">
        <v>205.0</v>
      </c>
      <c r="M226" s="304">
        <v>205.0</v>
      </c>
      <c r="N226" s="304">
        <v>206.0</v>
      </c>
      <c r="O226" s="304">
        <v>207.0</v>
      </c>
      <c r="P226" s="304">
        <v>206.0</v>
      </c>
      <c r="Q226" s="304">
        <v>208.0</v>
      </c>
      <c r="R226" s="304">
        <v>209.0</v>
      </c>
      <c r="S226" s="304">
        <v>206.0</v>
      </c>
      <c r="T226" s="304">
        <v>204.0</v>
      </c>
      <c r="U226" s="304"/>
      <c r="V226" s="297"/>
      <c r="W226" s="297"/>
      <c r="X226" s="297"/>
      <c r="Y226" s="297"/>
      <c r="Z226" s="297"/>
      <c r="AA226" s="297"/>
      <c r="AB226" s="297"/>
      <c r="AC226" s="297"/>
      <c r="AD226" s="297"/>
      <c r="AE226" s="297"/>
      <c r="AF226" s="297"/>
      <c r="AG226" s="305"/>
      <c r="AH226" s="300"/>
      <c r="AI226" s="300"/>
      <c r="AJ226" s="300"/>
      <c r="AK226" s="300"/>
      <c r="AL226" s="300"/>
      <c r="AM226" s="300"/>
    </row>
    <row r="227" ht="15.75" customHeight="1">
      <c r="A227" s="303" t="s">
        <v>155</v>
      </c>
      <c r="B227" s="304" t="s">
        <v>239</v>
      </c>
      <c r="C227" s="304">
        <v>1141.0</v>
      </c>
      <c r="D227" s="304">
        <v>1147.0</v>
      </c>
      <c r="E227" s="304">
        <v>1149.0</v>
      </c>
      <c r="F227" s="304">
        <v>1141.0</v>
      </c>
      <c r="G227" s="304">
        <v>1148.0</v>
      </c>
      <c r="H227" s="304">
        <v>1143.0</v>
      </c>
      <c r="I227" s="304">
        <v>1146.0</v>
      </c>
      <c r="J227" s="304">
        <v>1146.0</v>
      </c>
      <c r="K227" s="304">
        <v>1139.0</v>
      </c>
      <c r="L227" s="304">
        <v>1138.0</v>
      </c>
      <c r="M227" s="304">
        <v>1148.0</v>
      </c>
      <c r="N227" s="304">
        <v>1163.0</v>
      </c>
      <c r="O227" s="304">
        <v>1169.0</v>
      </c>
      <c r="P227" s="304">
        <v>1180.0</v>
      </c>
      <c r="Q227" s="304">
        <v>1192.0</v>
      </c>
      <c r="R227" s="304">
        <v>1197.0</v>
      </c>
      <c r="S227" s="304">
        <v>1174.0</v>
      </c>
      <c r="T227" s="304">
        <v>1151.0</v>
      </c>
      <c r="U227" s="304"/>
      <c r="V227" s="297"/>
      <c r="W227" s="297"/>
      <c r="X227" s="297"/>
      <c r="Y227" s="297"/>
      <c r="Z227" s="297"/>
      <c r="AA227" s="297"/>
      <c r="AB227" s="297"/>
      <c r="AC227" s="297"/>
      <c r="AD227" s="297"/>
      <c r="AE227" s="297"/>
      <c r="AF227" s="297"/>
      <c r="AG227" s="305"/>
      <c r="AH227" s="300"/>
      <c r="AI227" s="300"/>
      <c r="AJ227" s="300"/>
      <c r="AK227" s="300"/>
      <c r="AL227" s="300"/>
      <c r="AM227" s="300"/>
    </row>
    <row r="228" ht="15.75" customHeight="1">
      <c r="A228" s="303" t="s">
        <v>156</v>
      </c>
      <c r="B228" s="304" t="s">
        <v>239</v>
      </c>
      <c r="C228" s="304">
        <v>75.0</v>
      </c>
      <c r="D228" s="304">
        <v>74.0</v>
      </c>
      <c r="E228" s="304">
        <v>73.0</v>
      </c>
      <c r="F228" s="304">
        <v>71.0</v>
      </c>
      <c r="G228" s="304">
        <v>70.0</v>
      </c>
      <c r="H228" s="304">
        <v>68.0</v>
      </c>
      <c r="I228" s="304">
        <v>67.0</v>
      </c>
      <c r="J228" s="304">
        <v>66.0</v>
      </c>
      <c r="K228" s="304">
        <v>64.0</v>
      </c>
      <c r="L228" s="304">
        <v>63.0</v>
      </c>
      <c r="M228" s="304">
        <v>62.0</v>
      </c>
      <c r="N228" s="304">
        <v>62.0</v>
      </c>
      <c r="O228" s="304">
        <v>62.0</v>
      </c>
      <c r="P228" s="304">
        <v>63.0</v>
      </c>
      <c r="Q228" s="304">
        <v>63.0</v>
      </c>
      <c r="R228" s="304">
        <v>63.0</v>
      </c>
      <c r="S228" s="304">
        <v>62.0</v>
      </c>
      <c r="T228" s="304">
        <v>61.0</v>
      </c>
      <c r="U228" s="304"/>
      <c r="V228" s="297"/>
      <c r="W228" s="297"/>
      <c r="X228" s="297"/>
      <c r="Y228" s="297"/>
      <c r="Z228" s="297"/>
      <c r="AA228" s="297"/>
      <c r="AB228" s="297"/>
      <c r="AC228" s="297"/>
      <c r="AD228" s="297"/>
      <c r="AE228" s="297"/>
      <c r="AF228" s="297"/>
      <c r="AG228" s="305"/>
      <c r="AH228" s="300"/>
      <c r="AI228" s="300"/>
      <c r="AJ228" s="300"/>
      <c r="AK228" s="300"/>
      <c r="AL228" s="300"/>
      <c r="AM228" s="300"/>
    </row>
    <row r="229" ht="15.75" customHeight="1">
      <c r="A229" s="303" t="s">
        <v>164</v>
      </c>
      <c r="B229" s="304" t="s">
        <v>239</v>
      </c>
      <c r="C229" s="304">
        <v>3542.0</v>
      </c>
      <c r="D229" s="304">
        <v>3559.0</v>
      </c>
      <c r="E229" s="304">
        <v>3568.0</v>
      </c>
      <c r="F229" s="304">
        <v>3548.0</v>
      </c>
      <c r="G229" s="304">
        <v>3576.0</v>
      </c>
      <c r="H229" s="304">
        <v>3568.0</v>
      </c>
      <c r="I229" s="304">
        <v>3584.0</v>
      </c>
      <c r="J229" s="304">
        <v>3594.0</v>
      </c>
      <c r="K229" s="304">
        <v>3584.0</v>
      </c>
      <c r="L229" s="304">
        <v>3592.0</v>
      </c>
      <c r="M229" s="304">
        <v>3623.0</v>
      </c>
      <c r="N229" s="304">
        <v>3622.0</v>
      </c>
      <c r="O229" s="304">
        <v>3629.0</v>
      </c>
      <c r="P229" s="304">
        <v>3625.0</v>
      </c>
      <c r="Q229" s="304">
        <v>3646.0</v>
      </c>
      <c r="R229" s="304">
        <v>3650.0</v>
      </c>
      <c r="S229" s="304">
        <v>3598.0</v>
      </c>
      <c r="T229" s="304">
        <v>3565.0</v>
      </c>
      <c r="U229" s="304"/>
      <c r="V229" s="297"/>
      <c r="W229" s="297"/>
      <c r="X229" s="297"/>
      <c r="Y229" s="297"/>
      <c r="Z229" s="297"/>
      <c r="AA229" s="297"/>
      <c r="AB229" s="297"/>
      <c r="AC229" s="297"/>
      <c r="AD229" s="297"/>
      <c r="AE229" s="297"/>
      <c r="AF229" s="297"/>
      <c r="AG229" s="305"/>
      <c r="AH229" s="300"/>
      <c r="AI229" s="300"/>
      <c r="AJ229" s="300"/>
      <c r="AK229" s="300"/>
      <c r="AL229" s="300"/>
      <c r="AM229" s="300"/>
    </row>
    <row r="230" ht="15.75" customHeight="1">
      <c r="A230" s="303" t="s">
        <v>336</v>
      </c>
      <c r="B230" s="304" t="s">
        <v>239</v>
      </c>
      <c r="C230" s="304">
        <v>3509.0</v>
      </c>
      <c r="D230" s="304">
        <v>3516.0</v>
      </c>
      <c r="E230" s="304">
        <v>3512.0</v>
      </c>
      <c r="F230" s="304">
        <v>3475.0</v>
      </c>
      <c r="G230" s="304">
        <v>3485.0</v>
      </c>
      <c r="H230" s="304">
        <v>3458.0</v>
      </c>
      <c r="I230" s="304">
        <v>3454.0</v>
      </c>
      <c r="J230" s="304">
        <v>3443.0</v>
      </c>
      <c r="K230" s="304">
        <v>3411.0</v>
      </c>
      <c r="L230" s="304">
        <v>3397.0</v>
      </c>
      <c r="M230" s="304">
        <v>3414.0</v>
      </c>
      <c r="N230" s="304">
        <v>3429.0</v>
      </c>
      <c r="O230" s="304">
        <v>3449.0</v>
      </c>
      <c r="P230" s="304">
        <v>3422.0</v>
      </c>
      <c r="Q230" s="304">
        <v>3455.0</v>
      </c>
      <c r="R230" s="304">
        <v>3467.0</v>
      </c>
      <c r="S230" s="304">
        <v>3427.0</v>
      </c>
      <c r="T230" s="304">
        <v>3378.0</v>
      </c>
      <c r="U230" s="304"/>
      <c r="V230" s="297"/>
      <c r="W230" s="297"/>
      <c r="X230" s="297"/>
      <c r="Y230" s="297"/>
      <c r="Z230" s="297"/>
      <c r="AA230" s="297"/>
      <c r="AB230" s="297"/>
      <c r="AC230" s="297"/>
      <c r="AD230" s="297"/>
      <c r="AE230" s="297"/>
      <c r="AF230" s="297"/>
      <c r="AG230" s="305"/>
      <c r="AH230" s="300"/>
      <c r="AI230" s="300"/>
      <c r="AJ230" s="300"/>
      <c r="AK230" s="300"/>
      <c r="AL230" s="300"/>
      <c r="AM230" s="300"/>
    </row>
    <row r="231" ht="15.75" customHeight="1">
      <c r="A231" s="303" t="s">
        <v>337</v>
      </c>
      <c r="B231" s="304" t="s">
        <v>239</v>
      </c>
      <c r="C231" s="304">
        <v>26584.0</v>
      </c>
      <c r="D231" s="304">
        <v>26623.0</v>
      </c>
      <c r="E231" s="304">
        <v>26839.0</v>
      </c>
      <c r="F231" s="304">
        <v>26938.0</v>
      </c>
      <c r="G231" s="304">
        <v>26942.0</v>
      </c>
      <c r="H231" s="304">
        <v>27075.0</v>
      </c>
      <c r="I231" s="304">
        <v>27422.0</v>
      </c>
      <c r="J231" s="304">
        <v>27845.0</v>
      </c>
      <c r="K231" s="304">
        <v>28465.0</v>
      </c>
      <c r="L231" s="304">
        <v>29017.0</v>
      </c>
      <c r="M231" s="304">
        <v>29123.0</v>
      </c>
      <c r="N231" s="304">
        <v>29254.0</v>
      </c>
      <c r="O231" s="304">
        <v>29528.0</v>
      </c>
      <c r="P231" s="304">
        <v>29735.0</v>
      </c>
      <c r="Q231" s="304">
        <v>29888.0</v>
      </c>
      <c r="R231" s="304">
        <v>29940.0</v>
      </c>
      <c r="S231" s="304">
        <v>30049.0</v>
      </c>
      <c r="T231" s="304">
        <v>30210.0</v>
      </c>
      <c r="U231" s="304"/>
      <c r="V231" s="297"/>
      <c r="W231" s="297"/>
      <c r="X231" s="297"/>
      <c r="Y231" s="297"/>
      <c r="Z231" s="297"/>
      <c r="AA231" s="297"/>
      <c r="AB231" s="297"/>
      <c r="AC231" s="297"/>
      <c r="AD231" s="297"/>
      <c r="AE231" s="297"/>
      <c r="AF231" s="297"/>
      <c r="AG231" s="305"/>
      <c r="AH231" s="300"/>
      <c r="AI231" s="300"/>
      <c r="AJ231" s="300"/>
      <c r="AK231" s="300"/>
      <c r="AL231" s="300"/>
      <c r="AM231" s="300"/>
    </row>
    <row r="232" ht="15.75" customHeight="1">
      <c r="A232" s="303" t="s">
        <v>250</v>
      </c>
      <c r="B232" s="304" t="s">
        <v>239</v>
      </c>
      <c r="C232" s="304">
        <v>118.0</v>
      </c>
      <c r="D232" s="304">
        <v>120.0</v>
      </c>
      <c r="E232" s="304">
        <v>122.0</v>
      </c>
      <c r="F232" s="304">
        <v>124.0</v>
      </c>
      <c r="G232" s="304">
        <v>125.0</v>
      </c>
      <c r="H232" s="304">
        <v>127.0</v>
      </c>
      <c r="I232" s="304">
        <v>130.0</v>
      </c>
      <c r="J232" s="304">
        <v>133.0</v>
      </c>
      <c r="K232" s="304">
        <v>137.0</v>
      </c>
      <c r="L232" s="304">
        <v>141.0</v>
      </c>
      <c r="M232" s="304">
        <v>141.0</v>
      </c>
      <c r="N232" s="304">
        <v>143.0</v>
      </c>
      <c r="O232" s="304">
        <v>142.0</v>
      </c>
      <c r="P232" s="304">
        <v>144.0</v>
      </c>
      <c r="Q232" s="304">
        <v>145.0</v>
      </c>
      <c r="R232" s="304">
        <v>144.0</v>
      </c>
      <c r="S232" s="304">
        <v>146.0</v>
      </c>
      <c r="T232" s="304">
        <v>147.0</v>
      </c>
      <c r="U232" s="304"/>
      <c r="V232" s="297"/>
      <c r="W232" s="297"/>
      <c r="X232" s="297"/>
      <c r="Y232" s="297"/>
      <c r="Z232" s="297"/>
      <c r="AA232" s="297"/>
      <c r="AB232" s="297"/>
      <c r="AC232" s="297"/>
      <c r="AD232" s="297"/>
      <c r="AE232" s="297"/>
      <c r="AF232" s="297"/>
      <c r="AG232" s="305"/>
      <c r="AH232" s="300"/>
      <c r="AI232" s="300"/>
      <c r="AJ232" s="300"/>
      <c r="AK232" s="300"/>
      <c r="AL232" s="300"/>
      <c r="AM232" s="300"/>
    </row>
    <row r="233" ht="15.75" customHeight="1">
      <c r="A233" s="303" t="s">
        <v>253</v>
      </c>
      <c r="B233" s="304" t="s">
        <v>239</v>
      </c>
      <c r="C233" s="304">
        <v>678.0</v>
      </c>
      <c r="D233" s="304">
        <v>680.0</v>
      </c>
      <c r="E233" s="304">
        <v>688.0</v>
      </c>
      <c r="F233" s="304">
        <v>693.0</v>
      </c>
      <c r="G233" s="304">
        <v>694.0</v>
      </c>
      <c r="H233" s="304">
        <v>699.0</v>
      </c>
      <c r="I233" s="304">
        <v>709.0</v>
      </c>
      <c r="J233" s="304">
        <v>721.0</v>
      </c>
      <c r="K233" s="304">
        <v>738.0</v>
      </c>
      <c r="L233" s="304">
        <v>753.0</v>
      </c>
      <c r="M233" s="304">
        <v>760.0</v>
      </c>
      <c r="N233" s="304">
        <v>771.0</v>
      </c>
      <c r="O233" s="304">
        <v>779.0</v>
      </c>
      <c r="P233" s="304">
        <v>783.0</v>
      </c>
      <c r="Q233" s="304">
        <v>793.0</v>
      </c>
      <c r="R233" s="304">
        <v>805.0</v>
      </c>
      <c r="S233" s="304">
        <v>821.0</v>
      </c>
      <c r="T233" s="304">
        <v>824.0</v>
      </c>
      <c r="U233" s="304"/>
      <c r="V233" s="297"/>
      <c r="W233" s="297"/>
      <c r="X233" s="297"/>
      <c r="Y233" s="297"/>
      <c r="Z233" s="297"/>
      <c r="AA233" s="297"/>
      <c r="AB233" s="297"/>
      <c r="AC233" s="297"/>
      <c r="AD233" s="297"/>
      <c r="AE233" s="297"/>
      <c r="AF233" s="297"/>
      <c r="AG233" s="305"/>
      <c r="AH233" s="300"/>
      <c r="AI233" s="300"/>
      <c r="AJ233" s="300"/>
      <c r="AK233" s="300"/>
      <c r="AL233" s="300"/>
      <c r="AM233" s="300"/>
    </row>
    <row r="234" ht="15.75" customHeight="1">
      <c r="A234" s="303" t="s">
        <v>273</v>
      </c>
      <c r="B234" s="304" t="s">
        <v>239</v>
      </c>
      <c r="C234" s="304">
        <v>710.0</v>
      </c>
      <c r="D234" s="304">
        <v>718.0</v>
      </c>
      <c r="E234" s="304">
        <v>733.0</v>
      </c>
      <c r="F234" s="304">
        <v>744.0</v>
      </c>
      <c r="G234" s="304">
        <v>751.0</v>
      </c>
      <c r="H234" s="304">
        <v>763.0</v>
      </c>
      <c r="I234" s="304">
        <v>780.0</v>
      </c>
      <c r="J234" s="304">
        <v>799.0</v>
      </c>
      <c r="K234" s="304">
        <v>823.0</v>
      </c>
      <c r="L234" s="304">
        <v>846.0</v>
      </c>
      <c r="M234" s="304">
        <v>861.0</v>
      </c>
      <c r="N234" s="304">
        <v>876.0</v>
      </c>
      <c r="O234" s="304">
        <v>898.0</v>
      </c>
      <c r="P234" s="304">
        <v>917.0</v>
      </c>
      <c r="Q234" s="304">
        <v>938.0</v>
      </c>
      <c r="R234" s="304">
        <v>940.0</v>
      </c>
      <c r="S234" s="304">
        <v>941.0</v>
      </c>
      <c r="T234" s="304">
        <v>974.0</v>
      </c>
      <c r="U234" s="304"/>
      <c r="V234" s="297"/>
      <c r="W234" s="297"/>
      <c r="X234" s="297"/>
      <c r="Y234" s="297"/>
      <c r="Z234" s="297"/>
      <c r="AA234" s="297"/>
      <c r="AB234" s="297"/>
      <c r="AC234" s="297"/>
      <c r="AD234" s="297"/>
      <c r="AE234" s="297"/>
      <c r="AF234" s="297"/>
      <c r="AG234" s="305"/>
      <c r="AH234" s="300"/>
      <c r="AI234" s="300"/>
      <c r="AJ234" s="300"/>
      <c r="AK234" s="300"/>
      <c r="AL234" s="300"/>
      <c r="AM234" s="300"/>
    </row>
    <row r="235" ht="15.75" customHeight="1">
      <c r="A235" s="303" t="s">
        <v>277</v>
      </c>
      <c r="B235" s="304" t="s">
        <v>239</v>
      </c>
      <c r="C235" s="304">
        <v>16032.0</v>
      </c>
      <c r="D235" s="304">
        <v>16045.0</v>
      </c>
      <c r="E235" s="304">
        <v>16158.0</v>
      </c>
      <c r="F235" s="304">
        <v>16203.0</v>
      </c>
      <c r="G235" s="304">
        <v>16197.0</v>
      </c>
      <c r="H235" s="304">
        <v>16263.0</v>
      </c>
      <c r="I235" s="304">
        <v>16463.0</v>
      </c>
      <c r="J235" s="304">
        <v>16707.0</v>
      </c>
      <c r="K235" s="304">
        <v>17073.0</v>
      </c>
      <c r="L235" s="304">
        <v>17395.0</v>
      </c>
      <c r="M235" s="304">
        <v>17451.0</v>
      </c>
      <c r="N235" s="304">
        <v>17484.0</v>
      </c>
      <c r="O235" s="304">
        <v>17653.0</v>
      </c>
      <c r="P235" s="304">
        <v>17767.0</v>
      </c>
      <c r="Q235" s="304">
        <v>17818.0</v>
      </c>
      <c r="R235" s="304">
        <v>17822.0</v>
      </c>
      <c r="S235" s="304">
        <v>17840.0</v>
      </c>
      <c r="T235" s="304">
        <v>17860.0</v>
      </c>
      <c r="U235" s="304"/>
      <c r="V235" s="297"/>
      <c r="W235" s="297"/>
      <c r="X235" s="297"/>
      <c r="Y235" s="297"/>
      <c r="Z235" s="297"/>
      <c r="AA235" s="297"/>
      <c r="AB235" s="297"/>
      <c r="AC235" s="297"/>
      <c r="AD235" s="297"/>
      <c r="AE235" s="297"/>
      <c r="AF235" s="297"/>
      <c r="AG235" s="305"/>
      <c r="AH235" s="300"/>
      <c r="AI235" s="300"/>
      <c r="AJ235" s="300"/>
      <c r="AK235" s="300"/>
      <c r="AL235" s="300"/>
      <c r="AM235" s="300"/>
    </row>
    <row r="236" ht="15.75" customHeight="1">
      <c r="A236" s="303" t="s">
        <v>338</v>
      </c>
      <c r="B236" s="304" t="s">
        <v>239</v>
      </c>
      <c r="C236" s="304">
        <v>9046.0</v>
      </c>
      <c r="D236" s="304">
        <v>9060.0</v>
      </c>
      <c r="E236" s="304">
        <v>9138.0</v>
      </c>
      <c r="F236" s="304">
        <v>9174.0</v>
      </c>
      <c r="G236" s="304">
        <v>9175.0</v>
      </c>
      <c r="H236" s="304">
        <v>9223.0</v>
      </c>
      <c r="I236" s="304">
        <v>9340.0</v>
      </c>
      <c r="J236" s="304">
        <v>9485.0</v>
      </c>
      <c r="K236" s="304">
        <v>9694.0</v>
      </c>
      <c r="L236" s="304">
        <v>9882.0</v>
      </c>
      <c r="M236" s="304">
        <v>9910.0</v>
      </c>
      <c r="N236" s="304">
        <v>9980.0</v>
      </c>
      <c r="O236" s="304">
        <v>10056.0</v>
      </c>
      <c r="P236" s="304">
        <v>10124.0</v>
      </c>
      <c r="Q236" s="304">
        <v>10194.0</v>
      </c>
      <c r="R236" s="304">
        <v>10229.0</v>
      </c>
      <c r="S236" s="304">
        <v>10301.0</v>
      </c>
      <c r="T236" s="304">
        <v>10405.0</v>
      </c>
      <c r="U236" s="304"/>
      <c r="V236" s="297"/>
      <c r="W236" s="297"/>
      <c r="X236" s="297"/>
      <c r="Y236" s="297"/>
      <c r="Z236" s="297"/>
      <c r="AA236" s="297"/>
      <c r="AB236" s="297"/>
      <c r="AC236" s="297"/>
      <c r="AD236" s="297"/>
      <c r="AE236" s="297"/>
      <c r="AF236" s="297"/>
      <c r="AG236" s="305"/>
      <c r="AH236" s="300"/>
      <c r="AI236" s="300"/>
      <c r="AJ236" s="300"/>
      <c r="AK236" s="300"/>
      <c r="AL236" s="300"/>
      <c r="AM236" s="300"/>
    </row>
    <row r="237" ht="15.75" customHeight="1">
      <c r="A237" s="303" t="s">
        <v>339</v>
      </c>
      <c r="B237" s="304" t="s">
        <v>239</v>
      </c>
      <c r="C237" s="304">
        <v>5963.0</v>
      </c>
      <c r="D237" s="304">
        <v>6026.0</v>
      </c>
      <c r="E237" s="304">
        <v>6389.0</v>
      </c>
      <c r="F237" s="304">
        <v>6687.0</v>
      </c>
      <c r="G237" s="304">
        <v>7072.0</v>
      </c>
      <c r="H237" s="304">
        <v>7515.0</v>
      </c>
      <c r="I237" s="304">
        <v>7957.0</v>
      </c>
      <c r="J237" s="304">
        <v>8800.0</v>
      </c>
      <c r="K237" s="304">
        <v>9474.0</v>
      </c>
      <c r="L237" s="304">
        <v>10134.0</v>
      </c>
      <c r="M237" s="304">
        <v>10254.0</v>
      </c>
      <c r="N237" s="304">
        <v>10189.0</v>
      </c>
      <c r="O237" s="304">
        <v>10481.0</v>
      </c>
      <c r="P237" s="304">
        <v>10172.0</v>
      </c>
      <c r="Q237" s="304">
        <v>10155.0</v>
      </c>
      <c r="R237" s="304">
        <v>10056.0</v>
      </c>
      <c r="S237" s="304">
        <v>10002.0</v>
      </c>
      <c r="T237" s="304">
        <v>9799.0</v>
      </c>
      <c r="U237" s="304"/>
      <c r="V237" s="297"/>
      <c r="W237" s="297"/>
      <c r="X237" s="297"/>
      <c r="Y237" s="297"/>
      <c r="Z237" s="297"/>
      <c r="AA237" s="297"/>
      <c r="AB237" s="297"/>
      <c r="AC237" s="297"/>
      <c r="AD237" s="297"/>
      <c r="AE237" s="297"/>
      <c r="AF237" s="297"/>
      <c r="AG237" s="305"/>
      <c r="AH237" s="300"/>
      <c r="AI237" s="300"/>
      <c r="AJ237" s="300"/>
      <c r="AK237" s="300"/>
      <c r="AL237" s="300"/>
      <c r="AM237" s="300"/>
    </row>
    <row r="238" ht="15.75" customHeight="1">
      <c r="A238" s="303" t="s">
        <v>96</v>
      </c>
      <c r="B238" s="304" t="s">
        <v>239</v>
      </c>
      <c r="C238" s="304">
        <v>407.0</v>
      </c>
      <c r="D238" s="304">
        <v>396.0</v>
      </c>
      <c r="E238" s="304">
        <v>407.0</v>
      </c>
      <c r="F238" s="304">
        <v>414.0</v>
      </c>
      <c r="G238" s="304">
        <v>425.0</v>
      </c>
      <c r="H238" s="304">
        <v>442.0</v>
      </c>
      <c r="I238" s="304">
        <v>457.0</v>
      </c>
      <c r="J238" s="304">
        <v>497.0</v>
      </c>
      <c r="K238" s="304">
        <v>526.0</v>
      </c>
      <c r="L238" s="304">
        <v>553.0</v>
      </c>
      <c r="M238" s="304">
        <v>563.0</v>
      </c>
      <c r="N238" s="304">
        <v>558.0</v>
      </c>
      <c r="O238" s="304">
        <v>574.0</v>
      </c>
      <c r="P238" s="304">
        <v>555.0</v>
      </c>
      <c r="Q238" s="304">
        <v>548.0</v>
      </c>
      <c r="R238" s="304">
        <v>544.0</v>
      </c>
      <c r="S238" s="304">
        <v>540.0</v>
      </c>
      <c r="T238" s="304">
        <v>524.0</v>
      </c>
      <c r="U238" s="304"/>
      <c r="V238" s="297"/>
      <c r="W238" s="297"/>
      <c r="X238" s="297"/>
      <c r="Y238" s="297"/>
      <c r="Z238" s="297"/>
      <c r="AA238" s="297"/>
      <c r="AB238" s="297"/>
      <c r="AC238" s="297"/>
      <c r="AD238" s="297"/>
      <c r="AE238" s="297"/>
      <c r="AF238" s="297"/>
      <c r="AG238" s="305"/>
      <c r="AH238" s="300"/>
      <c r="AI238" s="300"/>
      <c r="AJ238" s="300"/>
      <c r="AK238" s="300"/>
      <c r="AL238" s="300"/>
      <c r="AM238" s="300"/>
    </row>
    <row r="239" ht="15.75" customHeight="1">
      <c r="A239" s="303" t="s">
        <v>97</v>
      </c>
      <c r="B239" s="304" t="s">
        <v>239</v>
      </c>
      <c r="C239" s="304">
        <v>780.0</v>
      </c>
      <c r="D239" s="304">
        <v>764.0</v>
      </c>
      <c r="E239" s="304">
        <v>788.0</v>
      </c>
      <c r="F239" s="304">
        <v>804.0</v>
      </c>
      <c r="G239" s="304">
        <v>832.0</v>
      </c>
      <c r="H239" s="304">
        <v>865.0</v>
      </c>
      <c r="I239" s="304">
        <v>899.0</v>
      </c>
      <c r="J239" s="304">
        <v>978.0</v>
      </c>
      <c r="K239" s="304">
        <v>1037.0</v>
      </c>
      <c r="L239" s="304">
        <v>1093.0</v>
      </c>
      <c r="M239" s="304">
        <v>1112.0</v>
      </c>
      <c r="N239" s="304">
        <v>1103.0</v>
      </c>
      <c r="O239" s="304">
        <v>1158.0</v>
      </c>
      <c r="P239" s="304">
        <v>1125.0</v>
      </c>
      <c r="Q239" s="304">
        <v>1164.0</v>
      </c>
      <c r="R239" s="304">
        <v>1149.0</v>
      </c>
      <c r="S239" s="304">
        <v>1139.0</v>
      </c>
      <c r="T239" s="304">
        <v>1111.0</v>
      </c>
      <c r="U239" s="304"/>
      <c r="V239" s="297"/>
      <c r="W239" s="297"/>
      <c r="X239" s="297"/>
      <c r="Y239" s="297"/>
      <c r="Z239" s="297"/>
      <c r="AA239" s="297"/>
      <c r="AB239" s="297"/>
      <c r="AC239" s="297"/>
      <c r="AD239" s="297"/>
      <c r="AE239" s="297"/>
      <c r="AF239" s="297"/>
      <c r="AG239" s="305"/>
      <c r="AH239" s="300"/>
      <c r="AI239" s="300"/>
      <c r="AJ239" s="300"/>
      <c r="AK239" s="300"/>
      <c r="AL239" s="300"/>
      <c r="AM239" s="300"/>
    </row>
    <row r="240" ht="15.75" customHeight="1">
      <c r="A240" s="303" t="s">
        <v>92</v>
      </c>
      <c r="B240" s="304" t="s">
        <v>239</v>
      </c>
      <c r="C240" s="304">
        <v>1430.0</v>
      </c>
      <c r="D240" s="304">
        <v>1407.0</v>
      </c>
      <c r="E240" s="304">
        <v>1452.0</v>
      </c>
      <c r="F240" s="304">
        <v>1484.0</v>
      </c>
      <c r="G240" s="304">
        <v>1535.0</v>
      </c>
      <c r="H240" s="304">
        <v>1599.0</v>
      </c>
      <c r="I240" s="304">
        <v>1663.0</v>
      </c>
      <c r="J240" s="304">
        <v>1810.0</v>
      </c>
      <c r="K240" s="304">
        <v>1922.0</v>
      </c>
      <c r="L240" s="304">
        <v>2029.0</v>
      </c>
      <c r="M240" s="304">
        <v>2027.0</v>
      </c>
      <c r="N240" s="304">
        <v>2009.0</v>
      </c>
      <c r="O240" s="304">
        <v>2059.0</v>
      </c>
      <c r="P240" s="304">
        <v>1990.0</v>
      </c>
      <c r="Q240" s="304">
        <v>1970.0</v>
      </c>
      <c r="R240" s="304">
        <v>1946.0</v>
      </c>
      <c r="S240" s="304">
        <v>1931.0</v>
      </c>
      <c r="T240" s="304">
        <v>1890.0</v>
      </c>
      <c r="U240" s="304"/>
      <c r="V240" s="297"/>
      <c r="W240" s="297"/>
      <c r="X240" s="297"/>
      <c r="Y240" s="297"/>
      <c r="Z240" s="297"/>
      <c r="AA240" s="297"/>
      <c r="AB240" s="297"/>
      <c r="AC240" s="297"/>
      <c r="AD240" s="297"/>
      <c r="AE240" s="297"/>
      <c r="AF240" s="297"/>
      <c r="AG240" s="305"/>
      <c r="AH240" s="300"/>
      <c r="AI240" s="300"/>
      <c r="AJ240" s="300"/>
      <c r="AK240" s="300"/>
      <c r="AL240" s="300"/>
      <c r="AM240" s="300"/>
    </row>
    <row r="241" ht="15.75" customHeight="1">
      <c r="A241" s="303" t="s">
        <v>340</v>
      </c>
      <c r="B241" s="304" t="s">
        <v>239</v>
      </c>
      <c r="C241" s="304">
        <v>3346.0</v>
      </c>
      <c r="D241" s="304">
        <v>3459.0</v>
      </c>
      <c r="E241" s="304">
        <v>3742.0</v>
      </c>
      <c r="F241" s="304">
        <v>3985.0</v>
      </c>
      <c r="G241" s="304">
        <v>4280.0</v>
      </c>
      <c r="H241" s="304">
        <v>4609.0</v>
      </c>
      <c r="I241" s="304">
        <v>4938.0</v>
      </c>
      <c r="J241" s="304">
        <v>5515.0</v>
      </c>
      <c r="K241" s="304">
        <v>5989.0</v>
      </c>
      <c r="L241" s="304">
        <v>6459.0</v>
      </c>
      <c r="M241" s="304">
        <v>6552.0</v>
      </c>
      <c r="N241" s="304">
        <v>6519.0</v>
      </c>
      <c r="O241" s="304">
        <v>6690.0</v>
      </c>
      <c r="P241" s="304">
        <v>6502.0</v>
      </c>
      <c r="Q241" s="304">
        <v>6473.0</v>
      </c>
      <c r="R241" s="304">
        <v>6417.0</v>
      </c>
      <c r="S241" s="304">
        <v>6392.0</v>
      </c>
      <c r="T241" s="304">
        <v>6274.0</v>
      </c>
      <c r="U241" s="304"/>
      <c r="V241" s="297"/>
      <c r="W241" s="297"/>
      <c r="X241" s="297"/>
      <c r="Y241" s="297"/>
      <c r="Z241" s="297"/>
      <c r="AA241" s="297"/>
      <c r="AB241" s="297"/>
      <c r="AC241" s="297"/>
      <c r="AD241" s="297"/>
      <c r="AE241" s="297"/>
      <c r="AF241" s="297"/>
      <c r="AG241" s="305"/>
      <c r="AH241" s="300"/>
      <c r="AI241" s="300"/>
      <c r="AJ241" s="300"/>
      <c r="AK241" s="300"/>
      <c r="AL241" s="300"/>
      <c r="AM241" s="300"/>
    </row>
    <row r="242" ht="15.75" customHeight="1">
      <c r="A242" s="303" t="s">
        <v>342</v>
      </c>
      <c r="B242" s="304" t="s">
        <v>239</v>
      </c>
      <c r="C242" s="304">
        <v>37552.0</v>
      </c>
      <c r="D242" s="304">
        <v>36899.0</v>
      </c>
      <c r="E242" s="304">
        <v>37428.0</v>
      </c>
      <c r="F242" s="304">
        <v>37450.0</v>
      </c>
      <c r="G242" s="304">
        <v>38026.0</v>
      </c>
      <c r="H242" s="304">
        <v>38739.0</v>
      </c>
      <c r="I242" s="304">
        <v>39749.0</v>
      </c>
      <c r="J242" s="304">
        <v>41470.0</v>
      </c>
      <c r="K242" s="304">
        <v>42358.0</v>
      </c>
      <c r="L242" s="304">
        <v>44133.0</v>
      </c>
      <c r="M242" s="304">
        <v>43569.0</v>
      </c>
      <c r="N242" s="304">
        <v>44013.0</v>
      </c>
      <c r="O242" s="304">
        <v>45042.0</v>
      </c>
      <c r="P242" s="304">
        <v>45145.0</v>
      </c>
      <c r="Q242" s="304">
        <v>44981.0</v>
      </c>
      <c r="R242" s="304">
        <v>44732.0</v>
      </c>
      <c r="S242" s="304">
        <v>44245.0</v>
      </c>
      <c r="T242" s="304">
        <v>43534.0</v>
      </c>
      <c r="U242" s="304"/>
      <c r="V242" s="297"/>
      <c r="W242" s="297"/>
      <c r="X242" s="297"/>
      <c r="Y242" s="297"/>
      <c r="Z242" s="297"/>
      <c r="AA242" s="297"/>
      <c r="AB242" s="297"/>
      <c r="AC242" s="297"/>
      <c r="AD242" s="297"/>
      <c r="AE242" s="297"/>
      <c r="AF242" s="297"/>
      <c r="AG242" s="305"/>
      <c r="AH242" s="300"/>
      <c r="AI242" s="300"/>
      <c r="AJ242" s="300"/>
      <c r="AK242" s="300"/>
      <c r="AL242" s="300"/>
      <c r="AM242" s="300"/>
    </row>
    <row r="243" ht="15.75" customHeight="1">
      <c r="A243" s="303" t="s">
        <v>244</v>
      </c>
      <c r="B243" s="304" t="s">
        <v>239</v>
      </c>
      <c r="C243" s="304">
        <v>97.0</v>
      </c>
      <c r="D243" s="304">
        <v>94.0</v>
      </c>
      <c r="E243" s="304">
        <v>95.0</v>
      </c>
      <c r="F243" s="304">
        <v>94.0</v>
      </c>
      <c r="G243" s="304">
        <v>95.0</v>
      </c>
      <c r="H243" s="304">
        <v>96.0</v>
      </c>
      <c r="I243" s="304">
        <v>98.0</v>
      </c>
      <c r="J243" s="304">
        <v>102.0</v>
      </c>
      <c r="K243" s="304">
        <v>103.0</v>
      </c>
      <c r="L243" s="304">
        <v>107.0</v>
      </c>
      <c r="M243" s="304">
        <v>105.0</v>
      </c>
      <c r="N243" s="304">
        <v>105.0</v>
      </c>
      <c r="O243" s="304">
        <v>107.0</v>
      </c>
      <c r="P243" s="304">
        <v>106.0</v>
      </c>
      <c r="Q243" s="304">
        <v>106.0</v>
      </c>
      <c r="R243" s="304">
        <v>104.0</v>
      </c>
      <c r="S243" s="304">
        <v>102.0</v>
      </c>
      <c r="T243" s="304">
        <v>100.0</v>
      </c>
      <c r="U243" s="304"/>
      <c r="V243" s="297"/>
      <c r="W243" s="297"/>
      <c r="X243" s="297"/>
      <c r="Y243" s="297"/>
      <c r="Z243" s="297"/>
      <c r="AA243" s="297"/>
      <c r="AB243" s="297"/>
      <c r="AC243" s="297"/>
      <c r="AD243" s="297"/>
      <c r="AE243" s="297"/>
      <c r="AF243" s="297"/>
      <c r="AG243" s="305"/>
      <c r="AH243" s="300"/>
      <c r="AI243" s="300"/>
      <c r="AJ243" s="300"/>
      <c r="AK243" s="300"/>
      <c r="AL243" s="300"/>
      <c r="AM243" s="300"/>
    </row>
    <row r="244" ht="15.75" customHeight="1">
      <c r="A244" s="303" t="s">
        <v>84</v>
      </c>
      <c r="B244" s="304" t="s">
        <v>239</v>
      </c>
      <c r="C244" s="304">
        <v>145.0</v>
      </c>
      <c r="D244" s="304">
        <v>139.0</v>
      </c>
      <c r="E244" s="304">
        <v>139.0</v>
      </c>
      <c r="F244" s="304">
        <v>136.0</v>
      </c>
      <c r="G244" s="304">
        <v>135.0</v>
      </c>
      <c r="H244" s="304">
        <v>135.0</v>
      </c>
      <c r="I244" s="304">
        <v>136.0</v>
      </c>
      <c r="J244" s="304">
        <v>139.0</v>
      </c>
      <c r="K244" s="304">
        <v>139.0</v>
      </c>
      <c r="L244" s="304">
        <v>142.0</v>
      </c>
      <c r="M244" s="304">
        <v>138.0</v>
      </c>
      <c r="N244" s="304">
        <v>138.0</v>
      </c>
      <c r="O244" s="304">
        <v>142.0</v>
      </c>
      <c r="P244" s="304">
        <v>142.0</v>
      </c>
      <c r="Q244" s="304">
        <v>140.0</v>
      </c>
      <c r="R244" s="304">
        <v>138.0</v>
      </c>
      <c r="S244" s="304">
        <v>136.0</v>
      </c>
      <c r="T244" s="304">
        <v>133.0</v>
      </c>
      <c r="U244" s="304"/>
      <c r="V244" s="297"/>
      <c r="W244" s="297"/>
      <c r="X244" s="297"/>
      <c r="Y244" s="297"/>
      <c r="Z244" s="297"/>
      <c r="AA244" s="297"/>
      <c r="AB244" s="297"/>
      <c r="AC244" s="297"/>
      <c r="AD244" s="297"/>
      <c r="AE244" s="297"/>
      <c r="AF244" s="297"/>
      <c r="AG244" s="305"/>
      <c r="AH244" s="300"/>
      <c r="AI244" s="300"/>
      <c r="AJ244" s="300"/>
      <c r="AK244" s="300"/>
      <c r="AL244" s="300"/>
      <c r="AM244" s="300"/>
    </row>
    <row r="245" ht="15.75" customHeight="1">
      <c r="A245" s="303" t="s">
        <v>95</v>
      </c>
      <c r="B245" s="304" t="s">
        <v>239</v>
      </c>
      <c r="C245" s="304">
        <v>11745.0</v>
      </c>
      <c r="D245" s="304">
        <v>11423.0</v>
      </c>
      <c r="E245" s="304">
        <v>11470.0</v>
      </c>
      <c r="F245" s="304">
        <v>11366.0</v>
      </c>
      <c r="G245" s="304">
        <v>11428.0</v>
      </c>
      <c r="H245" s="304">
        <v>11532.0</v>
      </c>
      <c r="I245" s="304">
        <v>11728.0</v>
      </c>
      <c r="J245" s="304">
        <v>12130.0</v>
      </c>
      <c r="K245" s="304">
        <v>12282.0</v>
      </c>
      <c r="L245" s="304">
        <v>12691.0</v>
      </c>
      <c r="M245" s="304">
        <v>12396.0</v>
      </c>
      <c r="N245" s="304">
        <v>12442.0</v>
      </c>
      <c r="O245" s="304">
        <v>12709.0</v>
      </c>
      <c r="P245" s="304">
        <v>12652.0</v>
      </c>
      <c r="Q245" s="304">
        <v>12584.0</v>
      </c>
      <c r="R245" s="304">
        <v>12428.0</v>
      </c>
      <c r="S245" s="304">
        <v>12255.0</v>
      </c>
      <c r="T245" s="304">
        <v>12070.0</v>
      </c>
      <c r="U245" s="304"/>
      <c r="V245" s="297"/>
      <c r="W245" s="297"/>
      <c r="X245" s="297"/>
      <c r="Y245" s="297"/>
      <c r="Z245" s="297"/>
      <c r="AA245" s="297"/>
      <c r="AB245" s="297"/>
      <c r="AC245" s="297"/>
      <c r="AD245" s="297"/>
      <c r="AE245" s="297"/>
      <c r="AF245" s="297"/>
      <c r="AG245" s="305"/>
      <c r="AH245" s="300"/>
      <c r="AI245" s="300"/>
      <c r="AJ245" s="300"/>
      <c r="AK245" s="300"/>
      <c r="AL245" s="300"/>
      <c r="AM245" s="300"/>
    </row>
    <row r="246" ht="15.75" customHeight="1">
      <c r="A246" s="303" t="s">
        <v>93</v>
      </c>
      <c r="B246" s="304" t="s">
        <v>239</v>
      </c>
      <c r="C246" s="304">
        <v>18670.0</v>
      </c>
      <c r="D246" s="304">
        <v>18471.0</v>
      </c>
      <c r="E246" s="304">
        <v>18861.0</v>
      </c>
      <c r="F246" s="304">
        <v>18988.0</v>
      </c>
      <c r="G246" s="304">
        <v>19400.0</v>
      </c>
      <c r="H246" s="304">
        <v>19881.0</v>
      </c>
      <c r="I246" s="304">
        <v>20509.0</v>
      </c>
      <c r="J246" s="304">
        <v>21509.0</v>
      </c>
      <c r="K246" s="304">
        <v>22083.0</v>
      </c>
      <c r="L246" s="304">
        <v>23122.0</v>
      </c>
      <c r="M246" s="304">
        <v>22985.0</v>
      </c>
      <c r="N246" s="304">
        <v>23329.0</v>
      </c>
      <c r="O246" s="304">
        <v>23914.0</v>
      </c>
      <c r="P246" s="304">
        <v>24052.0</v>
      </c>
      <c r="Q246" s="304">
        <v>23961.0</v>
      </c>
      <c r="R246" s="304">
        <v>23971.0</v>
      </c>
      <c r="S246" s="304">
        <v>23736.0</v>
      </c>
      <c r="T246" s="304">
        <v>23350.0</v>
      </c>
      <c r="U246" s="304"/>
      <c r="V246" s="297"/>
      <c r="W246" s="297"/>
      <c r="X246" s="297"/>
      <c r="Y246" s="297"/>
      <c r="Z246" s="297"/>
      <c r="AA246" s="297"/>
      <c r="AB246" s="297"/>
      <c r="AC246" s="297"/>
      <c r="AD246" s="297"/>
      <c r="AE246" s="297"/>
      <c r="AF246" s="297"/>
      <c r="AG246" s="305"/>
      <c r="AH246" s="300"/>
      <c r="AI246" s="300"/>
      <c r="AJ246" s="300"/>
      <c r="AK246" s="300"/>
      <c r="AL246" s="300"/>
      <c r="AM246" s="300"/>
    </row>
    <row r="247" ht="15.75" customHeight="1">
      <c r="A247" s="303" t="s">
        <v>100</v>
      </c>
      <c r="B247" s="304" t="s">
        <v>239</v>
      </c>
      <c r="C247" s="304">
        <v>244.0</v>
      </c>
      <c r="D247" s="304">
        <v>245.0</v>
      </c>
      <c r="E247" s="304">
        <v>253.0</v>
      </c>
      <c r="F247" s="304">
        <v>258.0</v>
      </c>
      <c r="G247" s="304">
        <v>267.0</v>
      </c>
      <c r="H247" s="304">
        <v>276.0</v>
      </c>
      <c r="I247" s="304">
        <v>288.0</v>
      </c>
      <c r="J247" s="304">
        <v>306.0</v>
      </c>
      <c r="K247" s="304">
        <v>317.0</v>
      </c>
      <c r="L247" s="304">
        <v>335.0</v>
      </c>
      <c r="M247" s="304">
        <v>331.0</v>
      </c>
      <c r="N247" s="304">
        <v>331.0</v>
      </c>
      <c r="O247" s="304">
        <v>337.0</v>
      </c>
      <c r="P247" s="304">
        <v>335.0</v>
      </c>
      <c r="Q247" s="304">
        <v>333.0</v>
      </c>
      <c r="R247" s="304">
        <v>327.0</v>
      </c>
      <c r="S247" s="304">
        <v>322.0</v>
      </c>
      <c r="T247" s="304">
        <v>316.0</v>
      </c>
      <c r="U247" s="304"/>
      <c r="V247" s="297"/>
      <c r="W247" s="297"/>
      <c r="X247" s="297"/>
      <c r="Y247" s="297"/>
      <c r="Z247" s="297"/>
      <c r="AA247" s="297"/>
      <c r="AB247" s="297"/>
      <c r="AC247" s="297"/>
      <c r="AD247" s="297"/>
      <c r="AE247" s="297"/>
      <c r="AF247" s="297"/>
      <c r="AG247" s="305"/>
      <c r="AH247" s="300"/>
      <c r="AI247" s="300"/>
      <c r="AJ247" s="300"/>
      <c r="AK247" s="300"/>
      <c r="AL247" s="300"/>
      <c r="AM247" s="300"/>
    </row>
    <row r="248" ht="15.75" customHeight="1">
      <c r="A248" s="303" t="s">
        <v>102</v>
      </c>
      <c r="B248" s="304" t="s">
        <v>239</v>
      </c>
      <c r="C248" s="304">
        <v>263.0</v>
      </c>
      <c r="D248" s="304">
        <v>273.0</v>
      </c>
      <c r="E248" s="304">
        <v>290.0</v>
      </c>
      <c r="F248" s="304">
        <v>305.0</v>
      </c>
      <c r="G248" s="304">
        <v>322.0</v>
      </c>
      <c r="H248" s="304">
        <v>341.0</v>
      </c>
      <c r="I248" s="304">
        <v>364.0</v>
      </c>
      <c r="J248" s="304">
        <v>392.0</v>
      </c>
      <c r="K248" s="304">
        <v>414.0</v>
      </c>
      <c r="L248" s="304">
        <v>444.0</v>
      </c>
      <c r="M248" s="304">
        <v>450.0</v>
      </c>
      <c r="N248" s="304">
        <v>454.0</v>
      </c>
      <c r="O248" s="304">
        <v>463.0</v>
      </c>
      <c r="P248" s="304">
        <v>487.0</v>
      </c>
      <c r="Q248" s="304">
        <v>510.0</v>
      </c>
      <c r="R248" s="304">
        <v>501.0</v>
      </c>
      <c r="S248" s="304">
        <v>494.0</v>
      </c>
      <c r="T248" s="304">
        <v>484.0</v>
      </c>
      <c r="U248" s="304"/>
      <c r="V248" s="297"/>
      <c r="W248" s="297"/>
      <c r="X248" s="297"/>
      <c r="Y248" s="297"/>
      <c r="Z248" s="297"/>
      <c r="AA248" s="297"/>
      <c r="AB248" s="297"/>
      <c r="AC248" s="297"/>
      <c r="AD248" s="297"/>
      <c r="AE248" s="297"/>
      <c r="AF248" s="297"/>
      <c r="AG248" s="305"/>
      <c r="AH248" s="300"/>
      <c r="AI248" s="300"/>
      <c r="AJ248" s="300"/>
      <c r="AK248" s="300"/>
      <c r="AL248" s="300"/>
      <c r="AM248" s="300"/>
    </row>
    <row r="249" ht="15.75" customHeight="1">
      <c r="A249" s="303" t="s">
        <v>343</v>
      </c>
      <c r="B249" s="304" t="s">
        <v>239</v>
      </c>
      <c r="C249" s="304">
        <v>6388.0</v>
      </c>
      <c r="D249" s="304">
        <v>6254.0</v>
      </c>
      <c r="E249" s="304">
        <v>6320.0</v>
      </c>
      <c r="F249" s="304">
        <v>6303.0</v>
      </c>
      <c r="G249" s="304">
        <v>6379.0</v>
      </c>
      <c r="H249" s="304">
        <v>6478.0</v>
      </c>
      <c r="I249" s="304">
        <v>6626.0</v>
      </c>
      <c r="J249" s="304">
        <v>6892.0</v>
      </c>
      <c r="K249" s="304">
        <v>7020.0</v>
      </c>
      <c r="L249" s="304">
        <v>7292.0</v>
      </c>
      <c r="M249" s="304">
        <v>7164.0</v>
      </c>
      <c r="N249" s="304">
        <v>7214.0</v>
      </c>
      <c r="O249" s="304">
        <v>7370.0</v>
      </c>
      <c r="P249" s="304">
        <v>7371.0</v>
      </c>
      <c r="Q249" s="304">
        <v>7347.0</v>
      </c>
      <c r="R249" s="304">
        <v>7263.0</v>
      </c>
      <c r="S249" s="304">
        <v>7200.0</v>
      </c>
      <c r="T249" s="304">
        <v>7081.0</v>
      </c>
      <c r="U249" s="304"/>
      <c r="V249" s="297"/>
      <c r="W249" s="297"/>
      <c r="X249" s="297"/>
      <c r="Y249" s="297"/>
      <c r="Z249" s="297"/>
      <c r="AA249" s="297"/>
      <c r="AB249" s="297"/>
      <c r="AC249" s="297"/>
      <c r="AD249" s="297"/>
      <c r="AE249" s="297"/>
      <c r="AF249" s="297"/>
      <c r="AG249" s="305"/>
      <c r="AH249" s="300"/>
      <c r="AI249" s="300"/>
      <c r="AJ249" s="300"/>
      <c r="AK249" s="300"/>
      <c r="AL249" s="300"/>
      <c r="AM249" s="300"/>
    </row>
    <row r="250" ht="15.75" customHeight="1">
      <c r="A250" s="303" t="s">
        <v>344</v>
      </c>
      <c r="B250" s="304" t="s">
        <v>239</v>
      </c>
      <c r="C250" s="304">
        <v>18381.0</v>
      </c>
      <c r="D250" s="304">
        <v>18653.0</v>
      </c>
      <c r="E250" s="304">
        <v>18837.0</v>
      </c>
      <c r="F250" s="304">
        <v>19066.0</v>
      </c>
      <c r="G250" s="304">
        <v>19467.0</v>
      </c>
      <c r="H250" s="304">
        <v>19632.0</v>
      </c>
      <c r="I250" s="304">
        <v>20014.0</v>
      </c>
      <c r="J250" s="304">
        <v>20472.0</v>
      </c>
      <c r="K250" s="304">
        <v>20988.0</v>
      </c>
      <c r="L250" s="304">
        <v>21232.0</v>
      </c>
      <c r="M250" s="304">
        <v>21295.0</v>
      </c>
      <c r="N250" s="304">
        <v>21476.0</v>
      </c>
      <c r="O250" s="304">
        <v>21709.0</v>
      </c>
      <c r="P250" s="304">
        <v>22326.0</v>
      </c>
      <c r="Q250" s="304">
        <v>22817.0</v>
      </c>
      <c r="R250" s="304">
        <v>23029.0</v>
      </c>
      <c r="S250" s="304">
        <v>23180.0</v>
      </c>
      <c r="T250" s="304">
        <v>23265.0</v>
      </c>
      <c r="U250" s="304"/>
      <c r="V250" s="297"/>
      <c r="W250" s="297"/>
      <c r="X250" s="297"/>
      <c r="Y250" s="297"/>
      <c r="Z250" s="297"/>
      <c r="AA250" s="297"/>
      <c r="AB250" s="297"/>
      <c r="AC250" s="297"/>
      <c r="AD250" s="297"/>
      <c r="AE250" s="297"/>
      <c r="AF250" s="297"/>
      <c r="AG250" s="305"/>
      <c r="AH250" s="300"/>
      <c r="AI250" s="300"/>
      <c r="AJ250" s="300"/>
      <c r="AK250" s="300"/>
      <c r="AL250" s="300"/>
      <c r="AM250" s="300"/>
    </row>
    <row r="251" ht="15.75" customHeight="1">
      <c r="A251" s="303" t="s">
        <v>261</v>
      </c>
      <c r="B251" s="304" t="s">
        <v>239</v>
      </c>
      <c r="C251" s="304">
        <v>8737.0</v>
      </c>
      <c r="D251" s="304">
        <v>8810.0</v>
      </c>
      <c r="E251" s="304">
        <v>8842.0</v>
      </c>
      <c r="F251" s="304">
        <v>8897.0</v>
      </c>
      <c r="G251" s="304">
        <v>9030.0</v>
      </c>
      <c r="H251" s="304">
        <v>9055.0</v>
      </c>
      <c r="I251" s="304">
        <v>9181.0</v>
      </c>
      <c r="J251" s="304">
        <v>9340.0</v>
      </c>
      <c r="K251" s="304">
        <v>9524.0</v>
      </c>
      <c r="L251" s="304">
        <v>9585.0</v>
      </c>
      <c r="M251" s="304">
        <v>9609.0</v>
      </c>
      <c r="N251" s="304">
        <v>9707.0</v>
      </c>
      <c r="O251" s="304">
        <v>9857.0</v>
      </c>
      <c r="P251" s="304">
        <v>10154.0</v>
      </c>
      <c r="Q251" s="304">
        <v>10388.0</v>
      </c>
      <c r="R251" s="304">
        <v>10473.0</v>
      </c>
      <c r="S251" s="304">
        <v>10539.0</v>
      </c>
      <c r="T251" s="304">
        <v>10532.0</v>
      </c>
      <c r="U251" s="304"/>
      <c r="V251" s="297"/>
      <c r="W251" s="297"/>
      <c r="X251" s="297"/>
      <c r="Y251" s="297"/>
      <c r="Z251" s="297"/>
      <c r="AA251" s="297"/>
      <c r="AB251" s="297"/>
      <c r="AC251" s="297"/>
      <c r="AD251" s="297"/>
      <c r="AE251" s="297"/>
      <c r="AF251" s="297"/>
      <c r="AG251" s="305"/>
      <c r="AH251" s="300"/>
      <c r="AI251" s="300"/>
      <c r="AJ251" s="300"/>
      <c r="AK251" s="300"/>
      <c r="AL251" s="300"/>
      <c r="AM251" s="300"/>
    </row>
    <row r="252" ht="15.75" customHeight="1">
      <c r="A252" s="303" t="s">
        <v>345</v>
      </c>
      <c r="B252" s="304" t="s">
        <v>239</v>
      </c>
      <c r="C252" s="304">
        <v>9644.0</v>
      </c>
      <c r="D252" s="304">
        <v>9843.0</v>
      </c>
      <c r="E252" s="304">
        <v>9995.0</v>
      </c>
      <c r="F252" s="304">
        <v>10169.0</v>
      </c>
      <c r="G252" s="304">
        <v>10437.0</v>
      </c>
      <c r="H252" s="304">
        <v>10577.0</v>
      </c>
      <c r="I252" s="304">
        <v>10833.0</v>
      </c>
      <c r="J252" s="304">
        <v>11132.0</v>
      </c>
      <c r="K252" s="304">
        <v>11464.0</v>
      </c>
      <c r="L252" s="304">
        <v>11647.0</v>
      </c>
      <c r="M252" s="304">
        <v>11686.0</v>
      </c>
      <c r="N252" s="304">
        <v>11769.0</v>
      </c>
      <c r="O252" s="304">
        <v>11852.0</v>
      </c>
      <c r="P252" s="304">
        <v>12172.0</v>
      </c>
      <c r="Q252" s="304">
        <v>12429.0</v>
      </c>
      <c r="R252" s="304">
        <v>12556.0</v>
      </c>
      <c r="S252" s="304">
        <v>12641.0</v>
      </c>
      <c r="T252" s="304">
        <v>12733.0</v>
      </c>
      <c r="U252" s="304"/>
      <c r="V252" s="297"/>
      <c r="W252" s="297"/>
      <c r="X252" s="297"/>
      <c r="Y252" s="297"/>
      <c r="Z252" s="297"/>
      <c r="AA252" s="297"/>
      <c r="AB252" s="297"/>
      <c r="AC252" s="297"/>
      <c r="AD252" s="297"/>
      <c r="AE252" s="297"/>
      <c r="AF252" s="297"/>
      <c r="AG252" s="305"/>
      <c r="AH252" s="300"/>
      <c r="AI252" s="300"/>
      <c r="AJ252" s="300"/>
      <c r="AK252" s="300"/>
      <c r="AL252" s="300"/>
      <c r="AM252" s="300"/>
    </row>
    <row r="253" ht="15.75" customHeight="1">
      <c r="A253" s="303" t="s">
        <v>346</v>
      </c>
      <c r="B253" s="304" t="s">
        <v>239</v>
      </c>
      <c r="C253" s="304">
        <v>19666.0</v>
      </c>
      <c r="D253" s="304">
        <v>19413.0</v>
      </c>
      <c r="E253" s="304">
        <v>19587.0</v>
      </c>
      <c r="F253" s="304">
        <v>19480.0</v>
      </c>
      <c r="G253" s="304">
        <v>19470.0</v>
      </c>
      <c r="H253" s="304">
        <v>19494.0</v>
      </c>
      <c r="I253" s="304">
        <v>19709.0</v>
      </c>
      <c r="J253" s="304">
        <v>20171.0</v>
      </c>
      <c r="K253" s="304">
        <v>20613.0</v>
      </c>
      <c r="L253" s="304">
        <v>21054.0</v>
      </c>
      <c r="M253" s="304">
        <v>21093.0</v>
      </c>
      <c r="N253" s="304">
        <v>20899.0</v>
      </c>
      <c r="O253" s="304">
        <v>20999.0</v>
      </c>
      <c r="P253" s="304">
        <v>20960.0</v>
      </c>
      <c r="Q253" s="304">
        <v>20845.0</v>
      </c>
      <c r="R253" s="304">
        <v>20780.0</v>
      </c>
      <c r="S253" s="304">
        <v>20711.0</v>
      </c>
      <c r="T253" s="304">
        <v>20495.0</v>
      </c>
      <c r="U253" s="304"/>
      <c r="V253" s="297"/>
      <c r="W253" s="297"/>
      <c r="X253" s="297"/>
      <c r="Y253" s="297"/>
      <c r="Z253" s="297"/>
      <c r="AA253" s="297"/>
      <c r="AB253" s="297"/>
      <c r="AC253" s="297"/>
      <c r="AD253" s="297"/>
      <c r="AE253" s="297"/>
      <c r="AF253" s="297"/>
      <c r="AG253" s="305"/>
      <c r="AH253" s="300"/>
      <c r="AI253" s="300"/>
      <c r="AJ253" s="300"/>
      <c r="AK253" s="300"/>
      <c r="AL253" s="300"/>
      <c r="AM253" s="300"/>
    </row>
    <row r="254" ht="15.75" customHeight="1">
      <c r="A254" s="303" t="s">
        <v>54</v>
      </c>
      <c r="B254" s="304" t="s">
        <v>239</v>
      </c>
      <c r="C254" s="304">
        <v>474.0</v>
      </c>
      <c r="D254" s="304">
        <v>469.0</v>
      </c>
      <c r="E254" s="304">
        <v>474.0</v>
      </c>
      <c r="F254" s="304">
        <v>472.0</v>
      </c>
      <c r="G254" s="304">
        <v>473.0</v>
      </c>
      <c r="H254" s="304">
        <v>475.0</v>
      </c>
      <c r="I254" s="304">
        <v>480.0</v>
      </c>
      <c r="J254" s="304">
        <v>493.0</v>
      </c>
      <c r="K254" s="304">
        <v>504.0</v>
      </c>
      <c r="L254" s="304">
        <v>515.0</v>
      </c>
      <c r="M254" s="304">
        <v>517.0</v>
      </c>
      <c r="N254" s="304">
        <v>521.0</v>
      </c>
      <c r="O254" s="304">
        <v>524.0</v>
      </c>
      <c r="P254" s="304">
        <v>521.0</v>
      </c>
      <c r="Q254" s="304">
        <v>528.0</v>
      </c>
      <c r="R254" s="304">
        <v>527.0</v>
      </c>
      <c r="S254" s="304">
        <v>526.0</v>
      </c>
      <c r="T254" s="304">
        <v>518.0</v>
      </c>
      <c r="U254" s="304"/>
      <c r="V254" s="297"/>
      <c r="W254" s="297"/>
      <c r="X254" s="297"/>
      <c r="Y254" s="297"/>
      <c r="Z254" s="297"/>
      <c r="AA254" s="297"/>
      <c r="AB254" s="297"/>
      <c r="AC254" s="297"/>
      <c r="AD254" s="297"/>
      <c r="AE254" s="297"/>
      <c r="AF254" s="297"/>
      <c r="AG254" s="305"/>
      <c r="AH254" s="300"/>
      <c r="AI254" s="300"/>
      <c r="AJ254" s="300"/>
      <c r="AK254" s="300"/>
      <c r="AL254" s="300"/>
      <c r="AM254" s="300"/>
    </row>
    <row r="255" ht="15.75" customHeight="1">
      <c r="A255" s="303" t="s">
        <v>41</v>
      </c>
      <c r="B255" s="304" t="s">
        <v>239</v>
      </c>
      <c r="C255" s="304">
        <v>11474.0</v>
      </c>
      <c r="D255" s="304">
        <v>11330.0</v>
      </c>
      <c r="E255" s="304">
        <v>11435.0</v>
      </c>
      <c r="F255" s="304">
        <v>11376.0</v>
      </c>
      <c r="G255" s="304">
        <v>11374.0</v>
      </c>
      <c r="H255" s="304">
        <v>11392.0</v>
      </c>
      <c r="I255" s="304">
        <v>11521.0</v>
      </c>
      <c r="J255" s="304">
        <v>11793.0</v>
      </c>
      <c r="K255" s="304">
        <v>12056.0</v>
      </c>
      <c r="L255" s="304">
        <v>12318.0</v>
      </c>
      <c r="M255" s="304">
        <v>12360.0</v>
      </c>
      <c r="N255" s="304">
        <v>12197.0</v>
      </c>
      <c r="O255" s="304">
        <v>12232.0</v>
      </c>
      <c r="P255" s="304">
        <v>12198.0</v>
      </c>
      <c r="Q255" s="304">
        <v>12117.0</v>
      </c>
      <c r="R255" s="304">
        <v>12062.0</v>
      </c>
      <c r="S255" s="304">
        <v>11994.0</v>
      </c>
      <c r="T255" s="304">
        <v>11866.0</v>
      </c>
      <c r="U255" s="304"/>
      <c r="V255" s="297"/>
      <c r="W255" s="297"/>
      <c r="X255" s="297"/>
      <c r="Y255" s="297"/>
      <c r="Z255" s="297"/>
      <c r="AA255" s="297"/>
      <c r="AB255" s="297"/>
      <c r="AC255" s="297"/>
      <c r="AD255" s="297"/>
      <c r="AE255" s="297"/>
      <c r="AF255" s="297"/>
      <c r="AG255" s="305"/>
      <c r="AH255" s="300"/>
      <c r="AI255" s="300"/>
      <c r="AJ255" s="300"/>
      <c r="AK255" s="300"/>
      <c r="AL255" s="300"/>
      <c r="AM255" s="300"/>
    </row>
    <row r="256" ht="15.75" customHeight="1">
      <c r="A256" s="303" t="s">
        <v>110</v>
      </c>
      <c r="B256" s="304" t="s">
        <v>239</v>
      </c>
      <c r="C256" s="304">
        <v>1965.0</v>
      </c>
      <c r="D256" s="304">
        <v>1940.0</v>
      </c>
      <c r="E256" s="304">
        <v>1958.0</v>
      </c>
      <c r="F256" s="304">
        <v>1948.0</v>
      </c>
      <c r="G256" s="304">
        <v>1947.0</v>
      </c>
      <c r="H256" s="304">
        <v>1950.0</v>
      </c>
      <c r="I256" s="304">
        <v>1973.0</v>
      </c>
      <c r="J256" s="304">
        <v>2020.0</v>
      </c>
      <c r="K256" s="304">
        <v>2064.0</v>
      </c>
      <c r="L256" s="304">
        <v>2109.0</v>
      </c>
      <c r="M256" s="304">
        <v>2101.0</v>
      </c>
      <c r="N256" s="304">
        <v>2086.0</v>
      </c>
      <c r="O256" s="304">
        <v>2095.0</v>
      </c>
      <c r="P256" s="304">
        <v>2092.0</v>
      </c>
      <c r="Q256" s="304">
        <v>2081.0</v>
      </c>
      <c r="R256" s="304">
        <v>2081.0</v>
      </c>
      <c r="S256" s="304">
        <v>2080.0</v>
      </c>
      <c r="T256" s="304">
        <v>2067.0</v>
      </c>
      <c r="U256" s="304"/>
      <c r="V256" s="297"/>
      <c r="W256" s="297"/>
      <c r="X256" s="297"/>
      <c r="Y256" s="297"/>
      <c r="Z256" s="297"/>
      <c r="AA256" s="297"/>
      <c r="AB256" s="297"/>
      <c r="AC256" s="297"/>
      <c r="AD256" s="297"/>
      <c r="AE256" s="297"/>
      <c r="AF256" s="297"/>
      <c r="AG256" s="305"/>
      <c r="AH256" s="300"/>
      <c r="AI256" s="300"/>
      <c r="AJ256" s="300"/>
      <c r="AK256" s="300"/>
      <c r="AL256" s="300"/>
      <c r="AM256" s="300"/>
    </row>
    <row r="257" ht="15.75" customHeight="1">
      <c r="A257" s="303" t="s">
        <v>112</v>
      </c>
      <c r="B257" s="304" t="s">
        <v>239</v>
      </c>
      <c r="C257" s="304">
        <v>1192.0</v>
      </c>
      <c r="D257" s="304">
        <v>1177.0</v>
      </c>
      <c r="E257" s="304">
        <v>1189.0</v>
      </c>
      <c r="F257" s="304">
        <v>1183.0</v>
      </c>
      <c r="G257" s="304">
        <v>1183.0</v>
      </c>
      <c r="H257" s="304">
        <v>1184.0</v>
      </c>
      <c r="I257" s="304">
        <v>1198.0</v>
      </c>
      <c r="J257" s="304">
        <v>1227.0</v>
      </c>
      <c r="K257" s="304">
        <v>1255.0</v>
      </c>
      <c r="L257" s="304">
        <v>1282.0</v>
      </c>
      <c r="M257" s="304">
        <v>1294.0</v>
      </c>
      <c r="N257" s="304">
        <v>1294.0</v>
      </c>
      <c r="O257" s="304">
        <v>1312.0</v>
      </c>
      <c r="P257" s="304">
        <v>1310.0</v>
      </c>
      <c r="Q257" s="304">
        <v>1300.0</v>
      </c>
      <c r="R257" s="304">
        <v>1290.0</v>
      </c>
      <c r="S257" s="304">
        <v>1282.0</v>
      </c>
      <c r="T257" s="304">
        <v>1261.0</v>
      </c>
      <c r="U257" s="304"/>
      <c r="V257" s="297"/>
      <c r="W257" s="297"/>
      <c r="X257" s="297"/>
      <c r="Y257" s="297"/>
      <c r="Z257" s="297"/>
      <c r="AA257" s="297"/>
      <c r="AB257" s="297"/>
      <c r="AC257" s="297"/>
      <c r="AD257" s="297"/>
      <c r="AE257" s="297"/>
      <c r="AF257" s="297"/>
      <c r="AG257" s="305"/>
      <c r="AH257" s="300"/>
      <c r="AI257" s="300"/>
      <c r="AJ257" s="300"/>
      <c r="AK257" s="300"/>
      <c r="AL257" s="300"/>
      <c r="AM257" s="300"/>
    </row>
    <row r="258" ht="15.75" customHeight="1">
      <c r="A258" s="303" t="s">
        <v>347</v>
      </c>
      <c r="B258" s="304" t="s">
        <v>239</v>
      </c>
      <c r="C258" s="304">
        <v>4561.0</v>
      </c>
      <c r="D258" s="304">
        <v>4497.0</v>
      </c>
      <c r="E258" s="304">
        <v>4531.0</v>
      </c>
      <c r="F258" s="304">
        <v>4501.0</v>
      </c>
      <c r="G258" s="304">
        <v>4493.0</v>
      </c>
      <c r="H258" s="304">
        <v>4493.0</v>
      </c>
      <c r="I258" s="304">
        <v>4537.0</v>
      </c>
      <c r="J258" s="304">
        <v>4638.0</v>
      </c>
      <c r="K258" s="304">
        <v>4734.0</v>
      </c>
      <c r="L258" s="304">
        <v>4830.0</v>
      </c>
      <c r="M258" s="304">
        <v>4821.0</v>
      </c>
      <c r="N258" s="304">
        <v>4801.0</v>
      </c>
      <c r="O258" s="304">
        <v>4836.0</v>
      </c>
      <c r="P258" s="304">
        <v>4839.0</v>
      </c>
      <c r="Q258" s="304">
        <v>4819.0</v>
      </c>
      <c r="R258" s="304">
        <v>4820.0</v>
      </c>
      <c r="S258" s="304">
        <v>4829.0</v>
      </c>
      <c r="T258" s="304">
        <v>4783.0</v>
      </c>
      <c r="U258" s="304"/>
      <c r="V258" s="297"/>
      <c r="W258" s="297"/>
      <c r="X258" s="297"/>
      <c r="Y258" s="297"/>
      <c r="Z258" s="297"/>
      <c r="AA258" s="297"/>
      <c r="AB258" s="297"/>
      <c r="AC258" s="297"/>
      <c r="AD258" s="297"/>
      <c r="AE258" s="297"/>
      <c r="AF258" s="297"/>
      <c r="AG258" s="305"/>
      <c r="AH258" s="300"/>
      <c r="AI258" s="300"/>
      <c r="AJ258" s="300"/>
      <c r="AK258" s="300"/>
      <c r="AL258" s="300"/>
      <c r="AM258" s="300"/>
    </row>
    <row r="259" ht="15.75" customHeight="1">
      <c r="A259" s="303" t="s">
        <v>348</v>
      </c>
      <c r="B259" s="304" t="s">
        <v>239</v>
      </c>
      <c r="C259" s="304">
        <v>8252.0</v>
      </c>
      <c r="D259" s="304">
        <v>8068.0</v>
      </c>
      <c r="E259" s="304">
        <v>7988.0</v>
      </c>
      <c r="F259" s="304">
        <v>7976.0</v>
      </c>
      <c r="G259" s="304">
        <v>7960.0</v>
      </c>
      <c r="H259" s="304">
        <v>8022.0</v>
      </c>
      <c r="I259" s="304">
        <v>7979.0</v>
      </c>
      <c r="J259" s="304">
        <v>8169.0</v>
      </c>
      <c r="K259" s="304">
        <v>8229.0</v>
      </c>
      <c r="L259" s="304">
        <v>8423.0</v>
      </c>
      <c r="M259" s="304">
        <v>8537.0</v>
      </c>
      <c r="N259" s="304">
        <v>8460.0</v>
      </c>
      <c r="O259" s="304">
        <v>8421.0</v>
      </c>
      <c r="P259" s="304">
        <v>8427.0</v>
      </c>
      <c r="Q259" s="304">
        <v>8288.0</v>
      </c>
      <c r="R259" s="304">
        <v>8296.0</v>
      </c>
      <c r="S259" s="304">
        <v>8188.0</v>
      </c>
      <c r="T259" s="304">
        <v>8064.0</v>
      </c>
      <c r="U259" s="304"/>
      <c r="V259" s="297"/>
      <c r="W259" s="297"/>
      <c r="X259" s="297"/>
      <c r="Y259" s="297"/>
      <c r="Z259" s="297"/>
      <c r="AA259" s="297"/>
      <c r="AB259" s="297"/>
      <c r="AC259" s="297"/>
      <c r="AD259" s="297"/>
      <c r="AE259" s="297"/>
      <c r="AF259" s="297"/>
      <c r="AG259" s="305"/>
      <c r="AH259" s="300"/>
      <c r="AI259" s="300"/>
      <c r="AJ259" s="300"/>
      <c r="AK259" s="300"/>
      <c r="AL259" s="300"/>
      <c r="AM259" s="300"/>
    </row>
    <row r="260" ht="15.75" customHeight="1">
      <c r="A260" s="303" t="s">
        <v>281</v>
      </c>
      <c r="B260" s="304" t="s">
        <v>239</v>
      </c>
      <c r="C260" s="304">
        <v>350.0</v>
      </c>
      <c r="D260" s="304">
        <v>331.0</v>
      </c>
      <c r="E260" s="304">
        <v>318.0</v>
      </c>
      <c r="F260" s="304">
        <v>308.0</v>
      </c>
      <c r="G260" s="304">
        <v>297.0</v>
      </c>
      <c r="H260" s="304">
        <v>290.0</v>
      </c>
      <c r="I260" s="304">
        <v>279.0</v>
      </c>
      <c r="J260" s="304">
        <v>275.0</v>
      </c>
      <c r="K260" s="304">
        <v>268.0</v>
      </c>
      <c r="L260" s="304">
        <v>264.0</v>
      </c>
      <c r="M260" s="304">
        <v>262.0</v>
      </c>
      <c r="N260" s="304">
        <v>259.0</v>
      </c>
      <c r="O260" s="304">
        <v>257.0</v>
      </c>
      <c r="P260" s="304">
        <v>259.0</v>
      </c>
      <c r="Q260" s="304">
        <v>257.0</v>
      </c>
      <c r="R260" s="304">
        <v>257.0</v>
      </c>
      <c r="S260" s="304">
        <v>255.0</v>
      </c>
      <c r="T260" s="304">
        <v>257.0</v>
      </c>
      <c r="U260" s="304"/>
      <c r="V260" s="297"/>
      <c r="W260" s="297"/>
      <c r="X260" s="297"/>
      <c r="Y260" s="297"/>
      <c r="Z260" s="297"/>
      <c r="AA260" s="297"/>
      <c r="AB260" s="297"/>
      <c r="AC260" s="297"/>
      <c r="AD260" s="297"/>
      <c r="AE260" s="297"/>
      <c r="AF260" s="297"/>
      <c r="AG260" s="305"/>
      <c r="AH260" s="300"/>
      <c r="AI260" s="300"/>
      <c r="AJ260" s="300"/>
      <c r="AK260" s="300"/>
      <c r="AL260" s="300"/>
      <c r="AM260" s="300"/>
    </row>
    <row r="261" ht="15.75" customHeight="1">
      <c r="A261" s="303" t="s">
        <v>285</v>
      </c>
      <c r="B261" s="304" t="s">
        <v>239</v>
      </c>
      <c r="C261" s="304">
        <v>5363.0</v>
      </c>
      <c r="D261" s="304">
        <v>5237.0</v>
      </c>
      <c r="E261" s="304">
        <v>5180.0</v>
      </c>
      <c r="F261" s="304">
        <v>5166.0</v>
      </c>
      <c r="G261" s="304">
        <v>5149.0</v>
      </c>
      <c r="H261" s="304">
        <v>5184.0</v>
      </c>
      <c r="I261" s="304">
        <v>5150.0</v>
      </c>
      <c r="J261" s="304">
        <v>5268.0</v>
      </c>
      <c r="K261" s="304">
        <v>5301.0</v>
      </c>
      <c r="L261" s="304">
        <v>5420.0</v>
      </c>
      <c r="M261" s="304">
        <v>5488.0</v>
      </c>
      <c r="N261" s="304">
        <v>5440.0</v>
      </c>
      <c r="O261" s="304">
        <v>5424.0</v>
      </c>
      <c r="P261" s="304">
        <v>5425.0</v>
      </c>
      <c r="Q261" s="304">
        <v>5335.0</v>
      </c>
      <c r="R261" s="304">
        <v>5341.0</v>
      </c>
      <c r="S261" s="304">
        <v>5273.0</v>
      </c>
      <c r="T261" s="304">
        <v>5189.0</v>
      </c>
      <c r="U261" s="304"/>
      <c r="V261" s="297"/>
      <c r="W261" s="297"/>
      <c r="X261" s="297"/>
      <c r="Y261" s="297"/>
      <c r="Z261" s="297"/>
      <c r="AA261" s="297"/>
      <c r="AB261" s="297"/>
      <c r="AC261" s="297"/>
      <c r="AD261" s="297"/>
      <c r="AE261" s="297"/>
      <c r="AF261" s="297"/>
      <c r="AG261" s="305"/>
      <c r="AH261" s="300"/>
      <c r="AI261" s="300"/>
      <c r="AJ261" s="300"/>
      <c r="AK261" s="300"/>
      <c r="AL261" s="300"/>
      <c r="AM261" s="300"/>
    </row>
    <row r="262" ht="15.75" customHeight="1">
      <c r="A262" s="303" t="s">
        <v>350</v>
      </c>
      <c r="B262" s="304" t="s">
        <v>239</v>
      </c>
      <c r="C262" s="304">
        <v>2539.0</v>
      </c>
      <c r="D262" s="304">
        <v>2500.0</v>
      </c>
      <c r="E262" s="304">
        <v>2490.0</v>
      </c>
      <c r="F262" s="304">
        <v>2502.0</v>
      </c>
      <c r="G262" s="304">
        <v>2514.0</v>
      </c>
      <c r="H262" s="304">
        <v>2548.0</v>
      </c>
      <c r="I262" s="304">
        <v>2550.0</v>
      </c>
      <c r="J262" s="304">
        <v>2626.0</v>
      </c>
      <c r="K262" s="304">
        <v>2660.0</v>
      </c>
      <c r="L262" s="304">
        <v>2739.0</v>
      </c>
      <c r="M262" s="304">
        <v>2787.0</v>
      </c>
      <c r="N262" s="304">
        <v>2761.0</v>
      </c>
      <c r="O262" s="304">
        <v>2740.0</v>
      </c>
      <c r="P262" s="304">
        <v>2743.0</v>
      </c>
      <c r="Q262" s="304">
        <v>2696.0</v>
      </c>
      <c r="R262" s="304">
        <v>2698.0</v>
      </c>
      <c r="S262" s="304">
        <v>2660.0</v>
      </c>
      <c r="T262" s="304">
        <v>2618.0</v>
      </c>
      <c r="U262" s="304"/>
      <c r="V262" s="297"/>
      <c r="W262" s="297"/>
      <c r="X262" s="297"/>
      <c r="Y262" s="297"/>
      <c r="Z262" s="297"/>
      <c r="AA262" s="297"/>
      <c r="AB262" s="297"/>
      <c r="AC262" s="297"/>
      <c r="AD262" s="297"/>
      <c r="AE262" s="297"/>
      <c r="AF262" s="297"/>
      <c r="AG262" s="305"/>
      <c r="AH262" s="300"/>
      <c r="AI262" s="300"/>
      <c r="AJ262" s="300"/>
      <c r="AK262" s="300"/>
      <c r="AL262" s="300"/>
      <c r="AM262" s="300"/>
    </row>
    <row r="263" ht="15.75" customHeight="1">
      <c r="A263" s="303" t="s">
        <v>351</v>
      </c>
      <c r="B263" s="304" t="s">
        <v>239</v>
      </c>
      <c r="C263" s="304">
        <v>6627.0</v>
      </c>
      <c r="D263" s="304">
        <v>6487.0</v>
      </c>
      <c r="E263" s="304">
        <v>6578.0</v>
      </c>
      <c r="F263" s="304">
        <v>6610.0</v>
      </c>
      <c r="G263" s="304">
        <v>6646.0</v>
      </c>
      <c r="H263" s="304">
        <v>6594.0</v>
      </c>
      <c r="I263" s="304">
        <v>6717.0</v>
      </c>
      <c r="J263" s="304">
        <v>7033.0</v>
      </c>
      <c r="K263" s="304">
        <v>7133.0</v>
      </c>
      <c r="L263" s="304">
        <v>7266.0</v>
      </c>
      <c r="M263" s="304">
        <v>7198.0</v>
      </c>
      <c r="N263" s="304">
        <v>7141.0</v>
      </c>
      <c r="O263" s="304">
        <v>7074.0</v>
      </c>
      <c r="P263" s="304">
        <v>7136.0</v>
      </c>
      <c r="Q263" s="304">
        <v>7142.0</v>
      </c>
      <c r="R263" s="304">
        <v>7181.0</v>
      </c>
      <c r="S263" s="304">
        <v>7198.0</v>
      </c>
      <c r="T263" s="304">
        <v>6927.0</v>
      </c>
      <c r="U263" s="304"/>
      <c r="V263" s="297"/>
      <c r="W263" s="297"/>
      <c r="X263" s="297"/>
      <c r="Y263" s="297"/>
      <c r="Z263" s="297"/>
      <c r="AA263" s="297"/>
      <c r="AB263" s="297"/>
      <c r="AC263" s="297"/>
      <c r="AD263" s="297"/>
      <c r="AE263" s="297"/>
      <c r="AF263" s="297"/>
      <c r="AG263" s="305"/>
      <c r="AH263" s="300"/>
      <c r="AI263" s="300"/>
      <c r="AJ263" s="300"/>
      <c r="AK263" s="300"/>
      <c r="AL263" s="300"/>
      <c r="AM263" s="300"/>
    </row>
    <row r="264" ht="15.75" customHeight="1">
      <c r="A264" s="303" t="s">
        <v>270</v>
      </c>
      <c r="B264" s="304" t="s">
        <v>239</v>
      </c>
      <c r="C264" s="304">
        <v>3298.0</v>
      </c>
      <c r="D264" s="304">
        <v>3224.0</v>
      </c>
      <c r="E264" s="304">
        <v>3259.0</v>
      </c>
      <c r="F264" s="304">
        <v>3268.0</v>
      </c>
      <c r="G264" s="304">
        <v>3283.0</v>
      </c>
      <c r="H264" s="304">
        <v>3246.0</v>
      </c>
      <c r="I264" s="304">
        <v>3297.0</v>
      </c>
      <c r="J264" s="304">
        <v>3471.0</v>
      </c>
      <c r="K264" s="304">
        <v>3506.0</v>
      </c>
      <c r="L264" s="304">
        <v>3565.0</v>
      </c>
      <c r="M264" s="304">
        <v>3530.0</v>
      </c>
      <c r="N264" s="304">
        <v>3505.0</v>
      </c>
      <c r="O264" s="304">
        <v>3472.0</v>
      </c>
      <c r="P264" s="304">
        <v>3480.0</v>
      </c>
      <c r="Q264" s="304">
        <v>3482.0</v>
      </c>
      <c r="R264" s="304">
        <v>3495.0</v>
      </c>
      <c r="S264" s="304">
        <v>3514.0</v>
      </c>
      <c r="T264" s="304">
        <v>3389.0</v>
      </c>
      <c r="U264" s="304"/>
      <c r="V264" s="297"/>
      <c r="W264" s="297"/>
      <c r="X264" s="297"/>
      <c r="Y264" s="297"/>
      <c r="Z264" s="297"/>
      <c r="AA264" s="297"/>
      <c r="AB264" s="297"/>
      <c r="AC264" s="297"/>
      <c r="AD264" s="297"/>
      <c r="AE264" s="297"/>
      <c r="AF264" s="297"/>
      <c r="AG264" s="305"/>
      <c r="AH264" s="300"/>
      <c r="AI264" s="300"/>
      <c r="AJ264" s="300"/>
      <c r="AK264" s="300"/>
      <c r="AL264" s="300"/>
      <c r="AM264" s="300"/>
    </row>
    <row r="265" ht="15.75" customHeight="1">
      <c r="A265" s="303" t="s">
        <v>143</v>
      </c>
      <c r="B265" s="304" t="s">
        <v>239</v>
      </c>
      <c r="C265" s="304">
        <v>884.0</v>
      </c>
      <c r="D265" s="304">
        <v>878.0</v>
      </c>
      <c r="E265" s="304">
        <v>906.0</v>
      </c>
      <c r="F265" s="304">
        <v>924.0</v>
      </c>
      <c r="G265" s="304">
        <v>942.0</v>
      </c>
      <c r="H265" s="304">
        <v>949.0</v>
      </c>
      <c r="I265" s="304">
        <v>982.0</v>
      </c>
      <c r="J265" s="304">
        <v>1034.0</v>
      </c>
      <c r="K265" s="304">
        <v>1065.0</v>
      </c>
      <c r="L265" s="304">
        <v>1098.0</v>
      </c>
      <c r="M265" s="304">
        <v>1098.0</v>
      </c>
      <c r="N265" s="304">
        <v>1089.0</v>
      </c>
      <c r="O265" s="304">
        <v>1083.0</v>
      </c>
      <c r="P265" s="304">
        <v>1090.0</v>
      </c>
      <c r="Q265" s="304">
        <v>1098.0</v>
      </c>
      <c r="R265" s="304">
        <v>1102.0</v>
      </c>
      <c r="S265" s="304">
        <v>1104.0</v>
      </c>
      <c r="T265" s="304">
        <v>1060.0</v>
      </c>
      <c r="U265" s="304"/>
      <c r="V265" s="297"/>
      <c r="W265" s="297"/>
      <c r="X265" s="297"/>
      <c r="Y265" s="297"/>
      <c r="Z265" s="297"/>
      <c r="AA265" s="297"/>
      <c r="AB265" s="297"/>
      <c r="AC265" s="297"/>
      <c r="AD265" s="297"/>
      <c r="AE265" s="297"/>
      <c r="AF265" s="297"/>
      <c r="AG265" s="305"/>
      <c r="AH265" s="300"/>
      <c r="AI265" s="300"/>
      <c r="AJ265" s="300"/>
      <c r="AK265" s="300"/>
      <c r="AL265" s="300"/>
      <c r="AM265" s="300"/>
    </row>
    <row r="266" ht="15.75" customHeight="1">
      <c r="A266" s="320" t="s">
        <v>352</v>
      </c>
      <c r="B266" s="322" t="s">
        <v>239</v>
      </c>
      <c r="C266" s="322">
        <v>2445.0</v>
      </c>
      <c r="D266" s="322">
        <v>2385.0</v>
      </c>
      <c r="E266" s="322">
        <v>2413.0</v>
      </c>
      <c r="F266" s="322">
        <v>2418.0</v>
      </c>
      <c r="G266" s="322">
        <v>2421.0</v>
      </c>
      <c r="H266" s="322">
        <v>2399.0</v>
      </c>
      <c r="I266" s="322">
        <v>2438.0</v>
      </c>
      <c r="J266" s="322">
        <v>2528.0</v>
      </c>
      <c r="K266" s="322">
        <v>2562.0</v>
      </c>
      <c r="L266" s="322">
        <v>2603.0</v>
      </c>
      <c r="M266" s="322">
        <v>2570.0</v>
      </c>
      <c r="N266" s="322">
        <v>2547.0</v>
      </c>
      <c r="O266" s="322">
        <v>2519.0</v>
      </c>
      <c r="P266" s="322">
        <v>2566.0</v>
      </c>
      <c r="Q266" s="322">
        <v>2562.0</v>
      </c>
      <c r="R266" s="322">
        <v>2584.0</v>
      </c>
      <c r="S266" s="322">
        <v>2580.0</v>
      </c>
      <c r="T266" s="322">
        <v>2478.0</v>
      </c>
      <c r="U266" s="322"/>
      <c r="V266" s="323"/>
      <c r="W266" s="323"/>
      <c r="X266" s="323"/>
      <c r="Y266" s="323"/>
      <c r="Z266" s="323"/>
      <c r="AA266" s="323"/>
      <c r="AB266" s="323"/>
      <c r="AC266" s="323"/>
      <c r="AD266" s="323"/>
      <c r="AE266" s="323"/>
      <c r="AF266" s="323"/>
      <c r="AG266" s="324"/>
      <c r="AH266" s="300"/>
      <c r="AI266" s="300"/>
      <c r="AJ266" s="300"/>
      <c r="AK266" s="300"/>
      <c r="AL266" s="300"/>
      <c r="AM266" s="300"/>
    </row>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workbookViewId="0"/>
  </sheetViews>
  <sheetFormatPr customHeight="1" defaultColWidth="14.43" defaultRowHeight="15.0"/>
  <cols>
    <col customWidth="1" min="1" max="1" width="41.29"/>
    <col customWidth="1" min="2" max="2" width="5.71"/>
    <col customWidth="1" min="3" max="12" width="14.71"/>
    <col customWidth="1" min="13" max="14" width="16.0"/>
    <col customWidth="1" min="15" max="15" width="14.71"/>
    <col customWidth="1" min="16" max="17" width="16.0"/>
    <col customWidth="1" min="18" max="21" width="14.71"/>
    <col customWidth="1" min="22" max="30" width="7.29"/>
    <col customWidth="1" min="31" max="31" width="5.71"/>
    <col customWidth="1" min="32" max="33" width="7.29"/>
    <col customWidth="1" min="34" max="34" width="5.71"/>
    <col customWidth="1" min="35" max="35" width="40.0"/>
    <col customWidth="1" min="36" max="53" width="7.0"/>
  </cols>
  <sheetData>
    <row r="1" ht="12.75" customHeight="1">
      <c r="A1" s="23" t="s">
        <v>289</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row>
    <row r="2" ht="12.75" customHeight="1">
      <c r="A2" s="23"/>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row>
    <row r="3" ht="12.75" customHeight="1">
      <c r="A3" s="24" t="s">
        <v>291</v>
      </c>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row>
    <row r="4" ht="12.75" customHeight="1">
      <c r="A4" s="23"/>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row>
    <row r="5" ht="12.75" customHeight="1">
      <c r="A5" s="24" t="s">
        <v>293</v>
      </c>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row>
    <row r="6" ht="12.75" customHeight="1">
      <c r="A6" s="24" t="s">
        <v>294</v>
      </c>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row>
    <row r="7" ht="12.75" customHeight="1">
      <c r="A7" s="24" t="s">
        <v>295</v>
      </c>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row>
    <row r="8" ht="12.75" customHeight="1">
      <c r="A8" s="24" t="s">
        <v>296</v>
      </c>
      <c r="B8" s="24"/>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row>
    <row r="9" ht="12.75" customHeight="1">
      <c r="A9" s="24" t="s">
        <v>297</v>
      </c>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row>
    <row r="10" ht="12.75" customHeight="1">
      <c r="A10" s="306" t="s">
        <v>298</v>
      </c>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4"/>
      <c r="AI10" s="24"/>
      <c r="AJ10" s="24"/>
      <c r="AK10" s="24"/>
      <c r="AL10" s="24"/>
      <c r="AM10" s="24"/>
      <c r="AN10" s="24"/>
      <c r="AO10" s="24"/>
      <c r="AP10" s="24"/>
      <c r="AQ10" s="24"/>
      <c r="AR10" s="24"/>
      <c r="AS10" s="24"/>
      <c r="AT10" s="24"/>
      <c r="AU10" s="24"/>
      <c r="AV10" s="24"/>
      <c r="AW10" s="24"/>
      <c r="AX10" s="24"/>
      <c r="AY10" s="24"/>
      <c r="AZ10" s="24"/>
      <c r="BA10" s="24"/>
    </row>
    <row r="11" ht="12.75" customHeight="1">
      <c r="A11" s="28"/>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4"/>
      <c r="AI11" s="24"/>
      <c r="AJ11" s="24"/>
      <c r="AK11" s="24"/>
      <c r="AL11" s="24"/>
      <c r="AM11" s="24"/>
      <c r="AN11" s="24"/>
      <c r="AO11" s="24"/>
      <c r="AP11" s="24"/>
      <c r="AQ11" s="24"/>
      <c r="AR11" s="24"/>
      <c r="AS11" s="24"/>
      <c r="AT11" s="24"/>
      <c r="AU11" s="24"/>
      <c r="AV11" s="24"/>
      <c r="AW11" s="24"/>
      <c r="AX11" s="24"/>
      <c r="AY11" s="24"/>
      <c r="AZ11" s="24"/>
      <c r="BA11" s="24"/>
    </row>
    <row r="12" ht="19.5" customHeight="1">
      <c r="A12" s="30" t="s">
        <v>36</v>
      </c>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2"/>
      <c r="AH12" s="24"/>
      <c r="AI12" s="24"/>
      <c r="AJ12" s="24"/>
      <c r="AK12" s="24"/>
      <c r="AL12" s="24"/>
      <c r="AM12" s="24"/>
      <c r="AN12" s="24"/>
      <c r="AO12" s="24"/>
      <c r="AP12" s="24"/>
      <c r="AQ12" s="24"/>
      <c r="AR12" s="24"/>
      <c r="AS12" s="24"/>
      <c r="AT12" s="24"/>
      <c r="AU12" s="24"/>
      <c r="AV12" s="24"/>
      <c r="AW12" s="24"/>
      <c r="AX12" s="24"/>
      <c r="AY12" s="24"/>
      <c r="AZ12" s="24"/>
      <c r="BA12" s="24"/>
    </row>
    <row r="13" ht="12.75" customHeight="1">
      <c r="A13" s="33" t="s">
        <v>37</v>
      </c>
      <c r="B13" s="34"/>
      <c r="C13" s="35">
        <v>2000.0</v>
      </c>
      <c r="D13" s="35">
        <v>2001.0</v>
      </c>
      <c r="E13" s="35">
        <v>2002.0</v>
      </c>
      <c r="F13" s="35">
        <v>2003.0</v>
      </c>
      <c r="G13" s="35">
        <v>2004.0</v>
      </c>
      <c r="H13" s="35">
        <v>2005.0</v>
      </c>
      <c r="I13" s="35">
        <v>2006.0</v>
      </c>
      <c r="J13" s="35">
        <v>2007.0</v>
      </c>
      <c r="K13" s="35">
        <v>2008.0</v>
      </c>
      <c r="L13" s="35">
        <v>2009.0</v>
      </c>
      <c r="M13" s="35">
        <v>2010.0</v>
      </c>
      <c r="N13" s="35">
        <v>2011.0</v>
      </c>
      <c r="O13" s="35">
        <v>2012.0</v>
      </c>
      <c r="P13" s="35">
        <v>2013.0</v>
      </c>
      <c r="Q13" s="35">
        <v>2014.0</v>
      </c>
      <c r="R13" s="35">
        <v>2015.0</v>
      </c>
      <c r="S13" s="35">
        <v>2016.0</v>
      </c>
      <c r="T13" s="35">
        <v>2017.0</v>
      </c>
      <c r="U13" s="35">
        <v>2018.0</v>
      </c>
      <c r="V13" s="35">
        <v>2019.0</v>
      </c>
      <c r="W13" s="35">
        <v>2020.0</v>
      </c>
      <c r="X13" s="35">
        <v>2021.0</v>
      </c>
      <c r="Y13" s="35">
        <v>2022.0</v>
      </c>
      <c r="Z13" s="35">
        <v>2023.0</v>
      </c>
      <c r="AA13" s="35">
        <v>2024.0</v>
      </c>
      <c r="AB13" s="35">
        <v>2025.0</v>
      </c>
      <c r="AC13" s="35">
        <v>2026.0</v>
      </c>
      <c r="AD13" s="35">
        <v>2027.0</v>
      </c>
      <c r="AE13" s="35">
        <v>2028.0</v>
      </c>
      <c r="AF13" s="35">
        <v>2029.0</v>
      </c>
      <c r="AG13" s="36">
        <v>2030.0</v>
      </c>
      <c r="AH13" s="24"/>
      <c r="AI13" s="24"/>
      <c r="AJ13" s="24"/>
      <c r="AK13" s="24"/>
      <c r="AL13" s="24"/>
      <c r="AM13" s="24"/>
      <c r="AN13" s="24"/>
      <c r="AO13" s="24"/>
      <c r="AP13" s="24"/>
      <c r="AQ13" s="24"/>
      <c r="AR13" s="24"/>
      <c r="AS13" s="24"/>
      <c r="AT13" s="24"/>
      <c r="AU13" s="24"/>
      <c r="AV13" s="24"/>
      <c r="AW13" s="24"/>
      <c r="AX13" s="24"/>
      <c r="AY13" s="24"/>
      <c r="AZ13" s="24"/>
      <c r="BA13" s="24"/>
    </row>
    <row r="14" ht="12.75" customHeight="1">
      <c r="A14" s="307" t="s">
        <v>300</v>
      </c>
      <c r="B14" s="308"/>
      <c r="C14" s="309"/>
      <c r="D14" s="309"/>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202"/>
      <c r="AH14" s="24"/>
      <c r="AI14" s="24"/>
      <c r="AJ14" s="24"/>
      <c r="AK14" s="24"/>
      <c r="AL14" s="24"/>
      <c r="AM14" s="24"/>
      <c r="AN14" s="24"/>
      <c r="AO14" s="24"/>
      <c r="AP14" s="24"/>
      <c r="AQ14" s="24"/>
      <c r="AR14" s="24"/>
      <c r="AS14" s="24"/>
      <c r="AT14" s="24"/>
      <c r="AU14" s="24"/>
      <c r="AV14" s="24"/>
      <c r="AW14" s="24"/>
      <c r="AX14" s="24"/>
      <c r="AY14" s="24"/>
      <c r="AZ14" s="24"/>
      <c r="BA14" s="24"/>
    </row>
    <row r="15" ht="12.75" customHeight="1">
      <c r="A15" s="46" t="s">
        <v>48</v>
      </c>
      <c r="B15" s="47"/>
      <c r="C15" s="49" t="s">
        <v>7</v>
      </c>
      <c r="D15" s="23">
        <v>90.0</v>
      </c>
      <c r="E15" s="49" t="s">
        <v>7</v>
      </c>
      <c r="F15" s="49" t="s">
        <v>7</v>
      </c>
      <c r="G15" s="49" t="s">
        <v>7</v>
      </c>
      <c r="H15" s="49" t="s">
        <v>7</v>
      </c>
      <c r="I15" s="49" t="s">
        <v>7</v>
      </c>
      <c r="J15" s="49" t="s">
        <v>7</v>
      </c>
      <c r="K15" s="49" t="s">
        <v>7</v>
      </c>
      <c r="L15" s="49" t="s">
        <v>7</v>
      </c>
      <c r="M15" s="49" t="s">
        <v>7</v>
      </c>
      <c r="N15" s="301" t="s">
        <v>304</v>
      </c>
      <c r="O15" s="49"/>
      <c r="P15" s="49"/>
      <c r="Q15" s="49"/>
      <c r="R15" s="49"/>
      <c r="S15" s="49"/>
      <c r="T15" s="49"/>
      <c r="U15" s="49"/>
      <c r="V15" s="49"/>
      <c r="W15" s="49"/>
      <c r="X15" s="49"/>
      <c r="Y15" s="49"/>
      <c r="Z15" s="49"/>
      <c r="AA15" s="49"/>
      <c r="AB15" s="49"/>
      <c r="AC15" s="49"/>
      <c r="AD15" s="49"/>
      <c r="AE15" s="49"/>
      <c r="AF15" s="49"/>
      <c r="AG15" s="51"/>
      <c r="AH15" s="24"/>
      <c r="AI15" s="24"/>
      <c r="AJ15" s="24"/>
      <c r="AK15" s="24"/>
      <c r="AL15" s="24"/>
      <c r="AM15" s="24"/>
      <c r="AN15" s="24"/>
      <c r="AO15" s="24"/>
      <c r="AP15" s="24"/>
      <c r="AQ15" s="24"/>
      <c r="AR15" s="24"/>
      <c r="AS15" s="24"/>
      <c r="AT15" s="24"/>
      <c r="AU15" s="24"/>
      <c r="AV15" s="24"/>
      <c r="AW15" s="24"/>
      <c r="AX15" s="24"/>
      <c r="AY15" s="24"/>
      <c r="AZ15" s="24"/>
      <c r="BA15" s="24"/>
    </row>
    <row r="16" ht="12.75" customHeight="1">
      <c r="A16" s="52" t="s">
        <v>49</v>
      </c>
      <c r="B16" s="53"/>
      <c r="C16" s="55" t="s">
        <v>7</v>
      </c>
      <c r="D16" s="311">
        <v>310.0</v>
      </c>
      <c r="E16" s="55" t="s">
        <v>7</v>
      </c>
      <c r="F16" s="55" t="s">
        <v>7</v>
      </c>
      <c r="G16" s="55" t="s">
        <v>7</v>
      </c>
      <c r="H16" s="55" t="s">
        <v>7</v>
      </c>
      <c r="I16" s="55" t="s">
        <v>7</v>
      </c>
      <c r="J16" s="55" t="s">
        <v>7</v>
      </c>
      <c r="K16" s="55" t="s">
        <v>7</v>
      </c>
      <c r="L16" s="55" t="s">
        <v>7</v>
      </c>
      <c r="M16" s="55" t="s">
        <v>7</v>
      </c>
      <c r="N16" s="302">
        <v>5.0</v>
      </c>
      <c r="O16" s="55"/>
      <c r="P16" s="55"/>
      <c r="Q16" s="55"/>
      <c r="R16" s="55"/>
      <c r="S16" s="55"/>
      <c r="T16" s="55"/>
      <c r="U16" s="55"/>
      <c r="V16" s="55"/>
      <c r="W16" s="55"/>
      <c r="X16" s="55"/>
      <c r="Y16" s="55"/>
      <c r="Z16" s="55"/>
      <c r="AA16" s="55"/>
      <c r="AB16" s="55"/>
      <c r="AC16" s="55"/>
      <c r="AD16" s="55"/>
      <c r="AE16" s="55"/>
      <c r="AF16" s="55"/>
      <c r="AG16" s="58"/>
      <c r="AH16" s="24"/>
      <c r="AI16" s="24"/>
      <c r="AJ16" s="24"/>
      <c r="AK16" s="24"/>
      <c r="AL16" s="24"/>
      <c r="AM16" s="24"/>
      <c r="AN16" s="24"/>
      <c r="AO16" s="24"/>
      <c r="AP16" s="24"/>
      <c r="AQ16" s="24"/>
      <c r="AR16" s="24"/>
      <c r="AS16" s="24"/>
      <c r="AT16" s="24"/>
      <c r="AU16" s="24"/>
      <c r="AV16" s="24"/>
      <c r="AW16" s="24"/>
      <c r="AX16" s="24"/>
      <c r="AY16" s="24"/>
      <c r="AZ16" s="24"/>
      <c r="BA16" s="24"/>
    </row>
    <row r="17" ht="12.75" customHeight="1">
      <c r="A17" s="307" t="s">
        <v>306</v>
      </c>
      <c r="B17" s="308"/>
      <c r="C17" s="309"/>
      <c r="D17" s="309"/>
      <c r="E17" s="309"/>
      <c r="F17" s="309"/>
      <c r="G17" s="309"/>
      <c r="H17" s="30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c r="AG17" s="312"/>
      <c r="AH17" s="24"/>
      <c r="AI17" s="24"/>
      <c r="AJ17" s="24"/>
      <c r="AK17" s="24"/>
      <c r="AL17" s="24"/>
      <c r="AM17" s="24"/>
      <c r="AN17" s="24"/>
      <c r="AO17" s="24"/>
      <c r="AP17" s="24"/>
      <c r="AQ17" s="24"/>
      <c r="AR17" s="24"/>
      <c r="AS17" s="24"/>
      <c r="AT17" s="24"/>
      <c r="AU17" s="24"/>
      <c r="AV17" s="24"/>
      <c r="AW17" s="24"/>
      <c r="AX17" s="24"/>
      <c r="AY17" s="24"/>
      <c r="AZ17" s="24"/>
      <c r="BA17" s="24"/>
    </row>
    <row r="18" ht="12.75" customHeight="1">
      <c r="A18" s="46" t="s">
        <v>307</v>
      </c>
      <c r="B18" s="51" t="s">
        <v>51</v>
      </c>
      <c r="C18" s="84">
        <f>VLOOKUP(C13,'Natrual Gas Processing'!$A$13:$E$44,3,FALSE)</f>
        <v>89098534</v>
      </c>
      <c r="D18" s="84">
        <f>VLOOKUP(D13,'Natrual Gas Processing'!$A$13:$E$44,3,FALSE)</f>
        <v>90120374</v>
      </c>
      <c r="E18" s="84">
        <f>VLOOKUP(E13,'Natrual Gas Processing'!$A$13:$E$44,3,FALSE)</f>
        <v>90405735</v>
      </c>
      <c r="F18" s="84">
        <f>VLOOKUP(F13,'Natrual Gas Processing'!$A$13:$E$44,3,FALSE)</f>
        <v>87774595</v>
      </c>
      <c r="G18" s="84">
        <f>VLOOKUP(G13,'Natrual Gas Processing'!$A$13:$E$44,3,FALSE)</f>
        <v>88183069</v>
      </c>
      <c r="H18" s="84">
        <f>VLOOKUP(H13,'Natrual Gas Processing'!$A$13:$E$44,3,FALSE)</f>
        <v>82648384</v>
      </c>
      <c r="I18" s="84">
        <f>VLOOKUP(I13,'Natrual Gas Processing'!$A$13:$E$44,3,FALSE)</f>
        <v>81449519</v>
      </c>
      <c r="J18" s="84">
        <f>VLOOKUP(J13,'Natrual Gas Processing'!$A$13:$E$44,3,FALSE)</f>
        <v>77639328</v>
      </c>
      <c r="K18" s="84">
        <f>VLOOKUP(K13,'Natrual Gas Processing'!$A$13:$E$44,3,FALSE)</f>
        <v>78801798</v>
      </c>
      <c r="L18" s="84">
        <f>VLOOKUP(L13,'Natrual Gas Processing'!$A$13:$E$44,3,FALSE)</f>
        <v>73830054</v>
      </c>
      <c r="M18" s="84">
        <f>VLOOKUP(M13,'Natrual Gas Processing'!$A$13:$E$44,3,FALSE)</f>
        <v>78959858</v>
      </c>
      <c r="N18" s="84">
        <f>VLOOKUP(N13,'Natrual Gas Processing'!$A$13:$E$44,3,FALSE)</f>
        <v>77213080</v>
      </c>
      <c r="O18" s="84">
        <f>VLOOKUP(O13,'Natrual Gas Processing'!$A$13:$E$44,3,FALSE)</f>
        <v>84665375</v>
      </c>
      <c r="P18" s="84">
        <f>VLOOKUP(P13,'Natrual Gas Processing'!$A$13:$E$44,3,FALSE)</f>
        <v>78048999</v>
      </c>
      <c r="Q18" s="84">
        <f>VLOOKUP(Q13,'Natrual Gas Processing'!$A$13:$E$44,3,FALSE)</f>
        <v>81127015</v>
      </c>
      <c r="R18" s="84">
        <f>VLOOKUP(R13,'Natrual Gas Processing'!$A$13:$E$44,3,FALSE)</f>
        <v>68650389</v>
      </c>
      <c r="S18" s="84">
        <f>VLOOKUP(S13,'Natrual Gas Processing'!$A$13:$E$44,3,FALSE)</f>
        <v>67411124</v>
      </c>
      <c r="T18" s="84">
        <f>VLOOKUP(T13,'Natrual Gas Processing'!$A$13:$E$44,3,FALSE)</f>
        <v>66241958</v>
      </c>
      <c r="U18" s="84">
        <f>VLOOKUP(U13,'Natrual Gas Processing'!$A$13:$E$44,3,FALSE)</f>
        <v>64850212</v>
      </c>
      <c r="V18" s="84">
        <f>VLOOKUP(V13,'Natrual Gas Processing'!$A$13:$E$44,3,FALSE)</f>
        <v>0</v>
      </c>
      <c r="W18" s="84">
        <f>VLOOKUP(W13,'Natrual Gas Processing'!$A$13:$E$44,3,FALSE)</f>
        <v>0</v>
      </c>
      <c r="X18" s="84">
        <f>VLOOKUP(X13,'Natrual Gas Processing'!$A$13:$E$44,3,FALSE)</f>
        <v>0</v>
      </c>
      <c r="Y18" s="84">
        <f>VLOOKUP(Y13,'Natrual Gas Processing'!$A$13:$E$44,3,FALSE)</f>
        <v>0</v>
      </c>
      <c r="Z18" s="84">
        <f>VLOOKUP(Z13,'Natrual Gas Processing'!$A$13:$E$44,3,FALSE)</f>
        <v>0</v>
      </c>
      <c r="AA18" s="84">
        <f>VLOOKUP(AA13,'Natrual Gas Processing'!$A$13:$E$44,3,FALSE)</f>
        <v>0</v>
      </c>
      <c r="AB18" s="84">
        <f>VLOOKUP(AB13,'Natrual Gas Processing'!$A$13:$E$44,3,FALSE)</f>
        <v>0</v>
      </c>
      <c r="AC18" s="84">
        <f>VLOOKUP(AC13,'Natrual Gas Processing'!$A$13:$E$44,3,FALSE)</f>
        <v>0</v>
      </c>
      <c r="AD18" s="84">
        <f>VLOOKUP(AD13,'Natrual Gas Processing'!$A$13:$E$44,3,FALSE)</f>
        <v>0</v>
      </c>
      <c r="AE18" s="84">
        <f>VLOOKUP(AE13,'Natrual Gas Processing'!$A$13:$E$44,3,FALSE)</f>
        <v>0</v>
      </c>
      <c r="AF18" s="84">
        <f>VLOOKUP(AF13,'Natrual Gas Processing'!$A$13:$E$44,3,FALSE)</f>
        <v>0</v>
      </c>
      <c r="AG18" s="88">
        <f>VLOOKUP(AG13,'Natrual Gas Processing'!$A$13:$E$44,3,FALSE)</f>
        <v>0</v>
      </c>
      <c r="AH18" s="24"/>
      <c r="AI18" s="24"/>
      <c r="AJ18" s="24"/>
      <c r="AK18" s="24"/>
      <c r="AL18" s="24"/>
      <c r="AM18" s="24"/>
      <c r="AN18" s="24"/>
      <c r="AO18" s="24"/>
      <c r="AP18" s="24"/>
      <c r="AQ18" s="24"/>
      <c r="AR18" s="24"/>
      <c r="AS18" s="24"/>
      <c r="AT18" s="24"/>
      <c r="AU18" s="24"/>
      <c r="AV18" s="24"/>
      <c r="AW18" s="24"/>
      <c r="AX18" s="24"/>
      <c r="AY18" s="24"/>
      <c r="AZ18" s="24"/>
      <c r="BA18" s="24"/>
    </row>
    <row r="19" ht="12.75" customHeight="1">
      <c r="A19" s="52" t="s">
        <v>314</v>
      </c>
      <c r="B19" s="58" t="s">
        <v>52</v>
      </c>
      <c r="C19" s="98">
        <f>VLOOKUP(C13,'Natrual Gas Processing'!$A$13:$E$44,5,FALSE)</f>
        <v>54474898</v>
      </c>
      <c r="D19" s="98">
        <f>VLOOKUP(D13,'Natrual Gas Processing'!$A$13:$E$44,5,FALSE)</f>
        <v>55734585</v>
      </c>
      <c r="E19" s="98">
        <f>VLOOKUP(E13,'Natrual Gas Processing'!$A$13:$E$44,5,FALSE)</f>
        <v>55359521</v>
      </c>
      <c r="F19" s="98">
        <f>VLOOKUP(F13,'Natrual Gas Processing'!$A$13:$E$44,5,FALSE)</f>
        <v>44433975</v>
      </c>
      <c r="G19" s="98">
        <f>VLOOKUP(G13,'Natrual Gas Processing'!$A$13:$E$44,5,FALSE)</f>
        <v>35956057</v>
      </c>
      <c r="H19" s="98">
        <f>VLOOKUP(H13,'Natrual Gas Processing'!$A$13:$E$44,5,FALSE)</f>
        <v>28148875</v>
      </c>
      <c r="I19" s="98">
        <f>VLOOKUP(I13,'Natrual Gas Processing'!$A$13:$E$44,5,FALSE)</f>
        <v>22500172</v>
      </c>
      <c r="J19" s="98">
        <f>VLOOKUP(J13,'Natrual Gas Processing'!$A$13:$E$44,5,FALSE)</f>
        <v>13772593</v>
      </c>
      <c r="K19" s="98">
        <f>VLOOKUP(K13,'Natrual Gas Processing'!$A$13:$E$44,5,FALSE)</f>
        <v>0</v>
      </c>
      <c r="L19" s="98">
        <f>VLOOKUP(L13,'Natrual Gas Processing'!$A$13:$E$44,5,FALSE)</f>
        <v>0</v>
      </c>
      <c r="M19" s="98">
        <f>VLOOKUP(M13,'Natrual Gas Processing'!$A$13:$E$44,5,FALSE)</f>
        <v>0</v>
      </c>
      <c r="N19" s="98">
        <f>VLOOKUP(N13,'Natrual Gas Processing'!$A$13:$E$44,5,FALSE)</f>
        <v>0</v>
      </c>
      <c r="O19" s="98">
        <f>VLOOKUP(O13,'Natrual Gas Processing'!$A$13:$E$44,5,FALSE)</f>
        <v>0</v>
      </c>
      <c r="P19" s="98">
        <f>VLOOKUP(P13,'Natrual Gas Processing'!$A$13:$E$44,5,FALSE)</f>
        <v>0</v>
      </c>
      <c r="Q19" s="98">
        <f>VLOOKUP(Q13,'Natrual Gas Processing'!$A$13:$E$44,5,FALSE)</f>
        <v>0</v>
      </c>
      <c r="R19" s="98">
        <f>VLOOKUP(R13,'Natrual Gas Processing'!$A$13:$E$44,5,FALSE)</f>
        <v>0</v>
      </c>
      <c r="S19" s="98">
        <f>VLOOKUP(S13,'Natrual Gas Processing'!$A$13:$E$44,5,FALSE)</f>
        <v>0</v>
      </c>
      <c r="T19" s="98">
        <f>VLOOKUP(T13,'Natrual Gas Processing'!$A$13:$E$44,5,FALSE)</f>
        <v>0</v>
      </c>
      <c r="U19" s="98">
        <f>VLOOKUP(U13,'Natrual Gas Processing'!$A$13:$E$44,5,FALSE)</f>
        <v>0</v>
      </c>
      <c r="V19" s="98">
        <f>VLOOKUP(V13,'Natrual Gas Processing'!$A$13:$E$44,5,FALSE)</f>
        <v>0</v>
      </c>
      <c r="W19" s="98">
        <f>VLOOKUP(W13,'Natrual Gas Processing'!$A$13:$E$44,5,FALSE)</f>
        <v>0</v>
      </c>
      <c r="X19" s="98">
        <f>VLOOKUP(X13,'Natrual Gas Processing'!$A$13:$E$44,5,FALSE)</f>
        <v>0</v>
      </c>
      <c r="Y19" s="98">
        <f>VLOOKUP(Y13,'Natrual Gas Processing'!$A$13:$E$44,5,FALSE)</f>
        <v>0</v>
      </c>
      <c r="Z19" s="98">
        <f>VLOOKUP(Z13,'Natrual Gas Processing'!$A$13:$E$44,5,FALSE)</f>
        <v>0</v>
      </c>
      <c r="AA19" s="98">
        <f>VLOOKUP(AA13,'Natrual Gas Processing'!$A$13:$E$44,5,FALSE)</f>
        <v>0</v>
      </c>
      <c r="AB19" s="98">
        <f>VLOOKUP(AB13,'Natrual Gas Processing'!$A$13:$E$44,5,FALSE)</f>
        <v>0</v>
      </c>
      <c r="AC19" s="98">
        <f>VLOOKUP(AC13,'Natrual Gas Processing'!$A$13:$E$44,5,FALSE)</f>
        <v>0</v>
      </c>
      <c r="AD19" s="98">
        <f>VLOOKUP(AD13,'Natrual Gas Processing'!$A$13:$E$44,5,FALSE)</f>
        <v>0</v>
      </c>
      <c r="AE19" s="98">
        <f>VLOOKUP(AE13,'Natrual Gas Processing'!$A$13:$E$44,5,FALSE)</f>
        <v>0</v>
      </c>
      <c r="AF19" s="98">
        <f>VLOOKUP(AF13,'Natrual Gas Processing'!$A$13:$E$44,5,FALSE)</f>
        <v>0</v>
      </c>
      <c r="AG19" s="113">
        <f>VLOOKUP(AG13,'Natrual Gas Processing'!$A$13:$E$44,5,FALSE)</f>
        <v>0</v>
      </c>
      <c r="AH19" s="24"/>
      <c r="AI19" s="24"/>
      <c r="AJ19" s="24"/>
      <c r="AK19" s="24"/>
      <c r="AL19" s="24"/>
      <c r="AM19" s="24"/>
      <c r="AN19" s="24"/>
      <c r="AO19" s="24"/>
      <c r="AP19" s="24"/>
      <c r="AQ19" s="24"/>
      <c r="AR19" s="24"/>
      <c r="AS19" s="24"/>
      <c r="AT19" s="24"/>
      <c r="AU19" s="24"/>
      <c r="AV19" s="24"/>
      <c r="AW19" s="24"/>
      <c r="AX19" s="24"/>
      <c r="AY19" s="24"/>
      <c r="AZ19" s="24"/>
      <c r="BA19" s="24"/>
    </row>
    <row r="20" ht="12.75" customHeight="1">
      <c r="A20" s="307" t="s">
        <v>321</v>
      </c>
      <c r="B20" s="308"/>
      <c r="C20" s="309"/>
      <c r="D20" s="309"/>
      <c r="E20" s="309"/>
      <c r="F20" s="309"/>
      <c r="G20" s="309"/>
      <c r="H20" s="309"/>
      <c r="I20" s="309"/>
      <c r="J20" s="309"/>
      <c r="K20" s="309"/>
      <c r="L20" s="309"/>
      <c r="M20" s="309"/>
      <c r="N20" s="309"/>
      <c r="O20" s="309"/>
      <c r="P20" s="309"/>
      <c r="Q20" s="309"/>
      <c r="R20" s="309"/>
      <c r="S20" s="309"/>
      <c r="T20" s="309"/>
      <c r="U20" s="309"/>
      <c r="V20" s="309"/>
      <c r="W20" s="309"/>
      <c r="X20" s="309"/>
      <c r="Y20" s="309"/>
      <c r="Z20" s="309"/>
      <c r="AA20" s="309"/>
      <c r="AB20" s="309"/>
      <c r="AC20" s="309"/>
      <c r="AD20" s="309"/>
      <c r="AE20" s="309"/>
      <c r="AF20" s="309"/>
      <c r="AG20" s="312"/>
      <c r="AH20" s="24"/>
      <c r="AI20" s="24"/>
      <c r="AJ20" s="24"/>
      <c r="AK20" s="24"/>
      <c r="AL20" s="24"/>
      <c r="AM20" s="24"/>
      <c r="AN20" s="24"/>
      <c r="AO20" s="24"/>
      <c r="AP20" s="24"/>
      <c r="AQ20" s="24"/>
      <c r="AR20" s="24"/>
      <c r="AS20" s="24"/>
      <c r="AT20" s="24"/>
      <c r="AU20" s="24"/>
      <c r="AV20" s="24"/>
      <c r="AW20" s="24"/>
      <c r="AX20" s="24"/>
      <c r="AY20" s="24"/>
      <c r="AZ20" s="24"/>
      <c r="BA20" s="24"/>
    </row>
    <row r="21" ht="12.75" customHeight="1">
      <c r="A21" s="46" t="s">
        <v>48</v>
      </c>
      <c r="B21" s="47"/>
      <c r="C21" s="49" t="s">
        <v>7</v>
      </c>
      <c r="D21" s="23">
        <f t="shared" ref="D21:D22" si="3">D15</f>
        <v>90</v>
      </c>
      <c r="E21" s="148">
        <f t="shared" ref="E21:M21" si="1">$D$21*E18/$D$18</f>
        <v>90.28497984</v>
      </c>
      <c r="F21" s="148">
        <f t="shared" si="1"/>
        <v>87.65735426</v>
      </c>
      <c r="G21" s="148">
        <f t="shared" si="1"/>
        <v>88.06528266</v>
      </c>
      <c r="H21" s="148">
        <f t="shared" si="1"/>
        <v>82.53799035</v>
      </c>
      <c r="I21" s="148">
        <f t="shared" si="1"/>
        <v>81.34072668</v>
      </c>
      <c r="J21" s="148">
        <f t="shared" si="1"/>
        <v>77.53562496</v>
      </c>
      <c r="K21" s="148">
        <f t="shared" si="1"/>
        <v>78.69654225</v>
      </c>
      <c r="L21" s="148">
        <f t="shared" si="1"/>
        <v>73.73143902</v>
      </c>
      <c r="M21" s="148">
        <f t="shared" si="1"/>
        <v>78.85439113</v>
      </c>
      <c r="N21" s="147">
        <f>AVERAGE(22,37)</f>
        <v>29.5</v>
      </c>
      <c r="O21" s="148">
        <f t="shared" ref="O21:AG21" si="2">$N$21*O18/$N$18</f>
        <v>32.347221</v>
      </c>
      <c r="P21" s="148">
        <f t="shared" si="2"/>
        <v>29.8193709</v>
      </c>
      <c r="Q21" s="148">
        <f t="shared" si="2"/>
        <v>30.99535652</v>
      </c>
      <c r="R21" s="148">
        <f t="shared" si="2"/>
        <v>26.22854153</v>
      </c>
      <c r="S21" s="148">
        <f t="shared" si="2"/>
        <v>25.75506842</v>
      </c>
      <c r="T21" s="148">
        <f t="shared" si="2"/>
        <v>25.3083773</v>
      </c>
      <c r="U21" s="148">
        <f t="shared" si="2"/>
        <v>24.77664735</v>
      </c>
      <c r="V21" s="148">
        <f t="shared" si="2"/>
        <v>0</v>
      </c>
      <c r="W21" s="148">
        <f t="shared" si="2"/>
        <v>0</v>
      </c>
      <c r="X21" s="148">
        <f t="shared" si="2"/>
        <v>0</v>
      </c>
      <c r="Y21" s="148">
        <f t="shared" si="2"/>
        <v>0</v>
      </c>
      <c r="Z21" s="148">
        <f t="shared" si="2"/>
        <v>0</v>
      </c>
      <c r="AA21" s="148">
        <f t="shared" si="2"/>
        <v>0</v>
      </c>
      <c r="AB21" s="148">
        <f t="shared" si="2"/>
        <v>0</v>
      </c>
      <c r="AC21" s="148">
        <f t="shared" si="2"/>
        <v>0</v>
      </c>
      <c r="AD21" s="148">
        <f t="shared" si="2"/>
        <v>0</v>
      </c>
      <c r="AE21" s="148">
        <f t="shared" si="2"/>
        <v>0</v>
      </c>
      <c r="AF21" s="148">
        <f t="shared" si="2"/>
        <v>0</v>
      </c>
      <c r="AG21" s="313">
        <f t="shared" si="2"/>
        <v>0</v>
      </c>
      <c r="AH21" s="24"/>
      <c r="AI21" s="24"/>
      <c r="AJ21" s="24"/>
      <c r="AK21" s="24"/>
      <c r="AL21" s="24"/>
      <c r="AM21" s="24"/>
      <c r="AN21" s="24"/>
      <c r="AO21" s="24"/>
      <c r="AP21" s="24"/>
      <c r="AQ21" s="24"/>
      <c r="AR21" s="24"/>
      <c r="AS21" s="24"/>
      <c r="AT21" s="24"/>
      <c r="AU21" s="24"/>
      <c r="AV21" s="24"/>
      <c r="AW21" s="24"/>
      <c r="AX21" s="24"/>
      <c r="AY21" s="24"/>
      <c r="AZ21" s="24"/>
      <c r="BA21" s="24"/>
    </row>
    <row r="22" ht="12.75" customHeight="1">
      <c r="A22" s="153" t="s">
        <v>49</v>
      </c>
      <c r="B22" s="314"/>
      <c r="C22" s="315" t="s">
        <v>7</v>
      </c>
      <c r="D22" s="316">
        <f t="shared" si="3"/>
        <v>310</v>
      </c>
      <c r="E22" s="156">
        <f t="shared" ref="E22:M22" si="4">$D$22*E19/$D$19</f>
        <v>307.9138655</v>
      </c>
      <c r="F22" s="156">
        <f t="shared" si="4"/>
        <v>247.1451478</v>
      </c>
      <c r="G22" s="156">
        <f t="shared" si="4"/>
        <v>199.9903232</v>
      </c>
      <c r="H22" s="156">
        <f t="shared" si="4"/>
        <v>156.5661833</v>
      </c>
      <c r="I22" s="156">
        <f t="shared" si="4"/>
        <v>125.1476676</v>
      </c>
      <c r="J22" s="156">
        <f t="shared" si="4"/>
        <v>76.60420958</v>
      </c>
      <c r="K22" s="156">
        <f t="shared" si="4"/>
        <v>0</v>
      </c>
      <c r="L22" s="156">
        <f t="shared" si="4"/>
        <v>0</v>
      </c>
      <c r="M22" s="156">
        <f t="shared" si="4"/>
        <v>0</v>
      </c>
      <c r="N22" s="155">
        <f>N16</f>
        <v>5</v>
      </c>
      <c r="O22" s="156">
        <f t="shared" ref="O22:AG22" si="5">$N$22*O18/$N$18</f>
        <v>5.48257983</v>
      </c>
      <c r="P22" s="156">
        <f t="shared" si="5"/>
        <v>5.05413066</v>
      </c>
      <c r="Q22" s="156">
        <f t="shared" si="5"/>
        <v>5.253450257</v>
      </c>
      <c r="R22" s="156">
        <f t="shared" si="5"/>
        <v>4.445515514</v>
      </c>
      <c r="S22" s="156">
        <f t="shared" si="5"/>
        <v>4.365265833</v>
      </c>
      <c r="T22" s="156">
        <f t="shared" si="5"/>
        <v>4.289555474</v>
      </c>
      <c r="U22" s="156">
        <f t="shared" si="5"/>
        <v>4.199431754</v>
      </c>
      <c r="V22" s="156">
        <f t="shared" si="5"/>
        <v>0</v>
      </c>
      <c r="W22" s="156">
        <f t="shared" si="5"/>
        <v>0</v>
      </c>
      <c r="X22" s="156">
        <f t="shared" si="5"/>
        <v>0</v>
      </c>
      <c r="Y22" s="156">
        <f t="shared" si="5"/>
        <v>0</v>
      </c>
      <c r="Z22" s="156">
        <f t="shared" si="5"/>
        <v>0</v>
      </c>
      <c r="AA22" s="156">
        <f t="shared" si="5"/>
        <v>0</v>
      </c>
      <c r="AB22" s="156">
        <f t="shared" si="5"/>
        <v>0</v>
      </c>
      <c r="AC22" s="156">
        <f t="shared" si="5"/>
        <v>0</v>
      </c>
      <c r="AD22" s="156">
        <f t="shared" si="5"/>
        <v>0</v>
      </c>
      <c r="AE22" s="156">
        <f t="shared" si="5"/>
        <v>0</v>
      </c>
      <c r="AF22" s="156">
        <f t="shared" si="5"/>
        <v>0</v>
      </c>
      <c r="AG22" s="317">
        <f t="shared" si="5"/>
        <v>0</v>
      </c>
      <c r="AH22" s="24"/>
      <c r="AI22" s="24"/>
      <c r="AJ22" s="24"/>
      <c r="AK22" s="24"/>
      <c r="AL22" s="24"/>
      <c r="AM22" s="24"/>
      <c r="AN22" s="24"/>
      <c r="AO22" s="24"/>
      <c r="AP22" s="24"/>
      <c r="AQ22" s="24"/>
      <c r="AR22" s="24"/>
      <c r="AS22" s="24"/>
      <c r="AT22" s="24"/>
      <c r="AU22" s="24"/>
      <c r="AV22" s="24"/>
      <c r="AW22" s="24"/>
      <c r="AX22" s="24"/>
      <c r="AY22" s="24"/>
      <c r="AZ22" s="24"/>
      <c r="BA22" s="24"/>
    </row>
    <row r="23" ht="12.75" customHeight="1">
      <c r="A23" s="160"/>
      <c r="B23" s="160"/>
      <c r="C23" s="49"/>
      <c r="D23" s="24"/>
      <c r="E23" s="148"/>
      <c r="F23" s="148"/>
      <c r="G23" s="148"/>
      <c r="H23" s="148"/>
      <c r="I23" s="148"/>
      <c r="J23" s="148"/>
      <c r="K23" s="148"/>
      <c r="L23" s="148"/>
      <c r="M23" s="148"/>
      <c r="N23" s="148"/>
      <c r="O23" s="148"/>
      <c r="P23" s="148"/>
      <c r="Q23" s="148"/>
      <c r="R23" s="148"/>
      <c r="S23" s="148"/>
      <c r="T23" s="148"/>
      <c r="U23" s="148"/>
      <c r="V23" s="148"/>
      <c r="W23" s="148"/>
      <c r="X23" s="148"/>
      <c r="Y23" s="148"/>
      <c r="Z23" s="148"/>
      <c r="AA23" s="148"/>
      <c r="AB23" s="148"/>
      <c r="AC23" s="148"/>
      <c r="AD23" s="148"/>
      <c r="AE23" s="148"/>
      <c r="AF23" s="148"/>
      <c r="AG23" s="148"/>
      <c r="AH23" s="24"/>
      <c r="AI23" s="24"/>
      <c r="AJ23" s="24"/>
      <c r="AK23" s="24"/>
      <c r="AL23" s="24"/>
      <c r="AM23" s="24"/>
      <c r="AN23" s="24"/>
      <c r="AO23" s="24"/>
      <c r="AP23" s="24"/>
      <c r="AQ23" s="24"/>
      <c r="AR23" s="24"/>
      <c r="AS23" s="24"/>
      <c r="AT23" s="24"/>
      <c r="AU23" s="24"/>
      <c r="AV23" s="24"/>
      <c r="AW23" s="24"/>
      <c r="AX23" s="24"/>
      <c r="AY23" s="24"/>
      <c r="AZ23" s="24"/>
      <c r="BA23" s="24"/>
    </row>
    <row r="24" ht="12.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row>
    <row r="25" ht="12.75" customHeight="1">
      <c r="A25" s="30" t="s">
        <v>73</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2"/>
      <c r="AH25" s="24"/>
      <c r="AI25" s="24"/>
      <c r="AJ25" s="24"/>
      <c r="AK25" s="24"/>
      <c r="AL25" s="24"/>
      <c r="AM25" s="24"/>
      <c r="AN25" s="24"/>
      <c r="AO25" s="24"/>
      <c r="AP25" s="24"/>
      <c r="AQ25" s="24"/>
      <c r="AR25" s="24"/>
      <c r="AS25" s="24"/>
      <c r="AT25" s="24"/>
      <c r="AU25" s="24"/>
      <c r="AV25" s="24"/>
      <c r="AW25" s="24"/>
      <c r="AX25" s="24"/>
      <c r="AY25" s="24"/>
      <c r="AZ25" s="24"/>
      <c r="BA25" s="24"/>
    </row>
    <row r="26" ht="12.75" customHeight="1">
      <c r="A26" s="33" t="s">
        <v>37</v>
      </c>
      <c r="B26" s="34"/>
      <c r="C26" s="35">
        <v>2000.0</v>
      </c>
      <c r="D26" s="35">
        <v>2001.0</v>
      </c>
      <c r="E26" s="35">
        <v>2002.0</v>
      </c>
      <c r="F26" s="35">
        <v>2003.0</v>
      </c>
      <c r="G26" s="35">
        <v>2004.0</v>
      </c>
      <c r="H26" s="35">
        <v>2005.0</v>
      </c>
      <c r="I26" s="35">
        <v>2006.0</v>
      </c>
      <c r="J26" s="35">
        <v>2007.0</v>
      </c>
      <c r="K26" s="35">
        <v>2008.0</v>
      </c>
      <c r="L26" s="35">
        <v>2009.0</v>
      </c>
      <c r="M26" s="35">
        <v>2010.0</v>
      </c>
      <c r="N26" s="35">
        <v>2011.0</v>
      </c>
      <c r="O26" s="35">
        <v>2012.0</v>
      </c>
      <c r="P26" s="35">
        <v>2013.0</v>
      </c>
      <c r="Q26" s="35">
        <v>2014.0</v>
      </c>
      <c r="R26" s="35">
        <v>2015.0</v>
      </c>
      <c r="S26" s="35">
        <v>2016.0</v>
      </c>
      <c r="T26" s="35">
        <v>2017.0</v>
      </c>
      <c r="U26" s="35">
        <v>2018.0</v>
      </c>
      <c r="V26" s="35">
        <v>2019.0</v>
      </c>
      <c r="W26" s="35">
        <v>2020.0</v>
      </c>
      <c r="X26" s="35">
        <v>2021.0</v>
      </c>
      <c r="Y26" s="35">
        <v>2022.0</v>
      </c>
      <c r="Z26" s="35">
        <v>2023.0</v>
      </c>
      <c r="AA26" s="35">
        <v>2024.0</v>
      </c>
      <c r="AB26" s="35">
        <v>2025.0</v>
      </c>
      <c r="AC26" s="35">
        <v>2026.0</v>
      </c>
      <c r="AD26" s="35">
        <v>2027.0</v>
      </c>
      <c r="AE26" s="35">
        <v>2028.0</v>
      </c>
      <c r="AF26" s="35">
        <v>2029.0</v>
      </c>
      <c r="AG26" s="36">
        <v>2030.0</v>
      </c>
      <c r="AH26" s="24"/>
      <c r="AI26" s="24"/>
      <c r="AJ26" s="24"/>
      <c r="AK26" s="24"/>
      <c r="AL26" s="24"/>
      <c r="AM26" s="24"/>
      <c r="AN26" s="24"/>
      <c r="AO26" s="24"/>
      <c r="AP26" s="24"/>
      <c r="AQ26" s="24"/>
      <c r="AR26" s="24"/>
      <c r="AS26" s="24"/>
      <c r="AT26" s="24"/>
      <c r="AU26" s="24"/>
      <c r="AV26" s="24"/>
      <c r="AW26" s="24"/>
      <c r="AX26" s="24"/>
      <c r="AY26" s="24"/>
      <c r="AZ26" s="24"/>
      <c r="BA26" s="24"/>
    </row>
    <row r="27" ht="12.75" customHeight="1">
      <c r="A27" s="318" t="s">
        <v>300</v>
      </c>
      <c r="B27" s="319"/>
      <c r="C27" s="309"/>
      <c r="D27" s="309"/>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202"/>
      <c r="AH27" s="24"/>
      <c r="AI27" s="24"/>
      <c r="AJ27" s="24"/>
      <c r="AK27" s="24"/>
      <c r="AL27" s="24"/>
      <c r="AM27" s="24"/>
      <c r="AN27" s="24"/>
      <c r="AO27" s="24"/>
      <c r="AP27" s="24"/>
      <c r="AQ27" s="24"/>
      <c r="AR27" s="24"/>
      <c r="AS27" s="24"/>
      <c r="AT27" s="24"/>
      <c r="AU27" s="24"/>
      <c r="AV27" s="24"/>
      <c r="AW27" s="24"/>
      <c r="AX27" s="24"/>
      <c r="AY27" s="24"/>
      <c r="AZ27" s="24"/>
      <c r="BA27" s="24"/>
    </row>
    <row r="28" ht="12.75" customHeight="1">
      <c r="A28" s="46" t="s">
        <v>48</v>
      </c>
      <c r="B28" s="51" t="s">
        <v>51</v>
      </c>
      <c r="C28" s="48">
        <v>1575.0</v>
      </c>
      <c r="D28" s="24"/>
      <c r="E28" s="49"/>
      <c r="F28" s="49"/>
      <c r="G28" s="49"/>
      <c r="H28" s="48">
        <v>1954.0</v>
      </c>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51"/>
      <c r="AH28" s="24"/>
      <c r="AI28" s="24"/>
      <c r="AJ28" s="24"/>
      <c r="AK28" s="24"/>
      <c r="AL28" s="24"/>
      <c r="AM28" s="24"/>
      <c r="AN28" s="24"/>
      <c r="AO28" s="24"/>
      <c r="AP28" s="24"/>
      <c r="AQ28" s="24"/>
      <c r="AR28" s="24"/>
      <c r="AS28" s="24"/>
      <c r="AT28" s="24"/>
      <c r="AU28" s="24"/>
      <c r="AV28" s="24"/>
      <c r="AW28" s="24"/>
      <c r="AX28" s="24"/>
      <c r="AY28" s="24"/>
      <c r="AZ28" s="24"/>
      <c r="BA28" s="24"/>
    </row>
    <row r="29" ht="12.75" customHeight="1">
      <c r="A29" s="46" t="s">
        <v>294</v>
      </c>
      <c r="B29" s="51" t="s">
        <v>52</v>
      </c>
      <c r="C29" s="48">
        <f>47800</f>
        <v>47800</v>
      </c>
      <c r="D29" s="24"/>
      <c r="E29" s="49"/>
      <c r="F29" s="49"/>
      <c r="G29" s="49"/>
      <c r="H29" s="48">
        <f>39700</f>
        <v>39700</v>
      </c>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51"/>
      <c r="AH29" s="24"/>
      <c r="AI29" s="24"/>
      <c r="AJ29" s="24"/>
      <c r="AK29" s="24"/>
      <c r="AL29" s="24"/>
      <c r="AM29" s="24"/>
      <c r="AN29" s="24"/>
      <c r="AO29" s="24"/>
      <c r="AP29" s="24"/>
      <c r="AQ29" s="24"/>
      <c r="AR29" s="24"/>
      <c r="AS29" s="24"/>
      <c r="AT29" s="24"/>
      <c r="AU29" s="24"/>
      <c r="AV29" s="24"/>
      <c r="AW29" s="24"/>
      <c r="AX29" s="24"/>
      <c r="AY29" s="24"/>
      <c r="AZ29" s="24"/>
      <c r="BA29" s="24"/>
    </row>
    <row r="30" ht="12.75" customHeight="1">
      <c r="A30" s="52" t="s">
        <v>330</v>
      </c>
      <c r="B30" s="58" t="s">
        <v>52</v>
      </c>
      <c r="C30" s="54">
        <f>17900+215+560</f>
        <v>18675</v>
      </c>
      <c r="D30" s="249"/>
      <c r="E30" s="55"/>
      <c r="F30" s="55"/>
      <c r="G30" s="55"/>
      <c r="H30" s="54">
        <f>16400+160+605</f>
        <v>17165</v>
      </c>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8"/>
      <c r="AH30" s="24"/>
      <c r="AI30" s="24"/>
      <c r="AJ30" s="24"/>
      <c r="AK30" s="24"/>
      <c r="AL30" s="24"/>
      <c r="AM30" s="24"/>
      <c r="AN30" s="24"/>
      <c r="AO30" s="24"/>
      <c r="AP30" s="24"/>
      <c r="AQ30" s="24"/>
      <c r="AR30" s="24"/>
      <c r="AS30" s="24"/>
      <c r="AT30" s="24"/>
      <c r="AU30" s="24"/>
      <c r="AV30" s="24"/>
      <c r="AW30" s="24"/>
      <c r="AX30" s="24"/>
      <c r="AY30" s="24"/>
      <c r="AZ30" s="24"/>
      <c r="BA30" s="24"/>
    </row>
    <row r="31" ht="12.75" customHeight="1">
      <c r="A31" s="307" t="s">
        <v>306</v>
      </c>
      <c r="B31" s="308"/>
      <c r="C31" s="309"/>
      <c r="D31" s="309"/>
      <c r="E31" s="309"/>
      <c r="F31" s="309"/>
      <c r="G31" s="309"/>
      <c r="H31" s="309"/>
      <c r="I31" s="309"/>
      <c r="J31" s="309"/>
      <c r="K31" s="309"/>
      <c r="L31" s="309"/>
      <c r="M31" s="309"/>
      <c r="N31" s="309"/>
      <c r="O31" s="309"/>
      <c r="P31" s="309"/>
      <c r="Q31" s="309"/>
      <c r="R31" s="309"/>
      <c r="S31" s="309"/>
      <c r="T31" s="309"/>
      <c r="U31" s="309"/>
      <c r="V31" s="309"/>
      <c r="W31" s="309"/>
      <c r="X31" s="309"/>
      <c r="Y31" s="309"/>
      <c r="Z31" s="309"/>
      <c r="AA31" s="309"/>
      <c r="AB31" s="309"/>
      <c r="AC31" s="309"/>
      <c r="AD31" s="309"/>
      <c r="AE31" s="309"/>
      <c r="AF31" s="309"/>
      <c r="AG31" s="312"/>
      <c r="AH31" s="24"/>
      <c r="AI31" s="24"/>
      <c r="AJ31" s="24"/>
      <c r="AK31" s="24"/>
      <c r="AL31" s="24"/>
      <c r="AM31" s="24"/>
      <c r="AN31" s="24"/>
      <c r="AO31" s="24"/>
      <c r="AP31" s="24"/>
      <c r="AQ31" s="24"/>
      <c r="AR31" s="24"/>
      <c r="AS31" s="24"/>
      <c r="AT31" s="24"/>
      <c r="AU31" s="24"/>
      <c r="AV31" s="24"/>
      <c r="AW31" s="24"/>
      <c r="AX31" s="24"/>
      <c r="AY31" s="24"/>
      <c r="AZ31" s="24"/>
      <c r="BA31" s="24"/>
    </row>
    <row r="32" ht="12.75" customHeight="1">
      <c r="A32" s="46" t="s">
        <v>333</v>
      </c>
      <c r="B32" s="51" t="s">
        <v>52</v>
      </c>
      <c r="C32" s="84" t="str">
        <f>VLOOKUP(C26,'Electrical Generation'!$A$6:$O$42,'Electrical Generation'!$H$11,FALSE)</f>
        <v/>
      </c>
      <c r="D32" s="84">
        <f>VLOOKUP(D26,'Electrical Generation'!$A$6:$O$42,'Electrical Generation'!$H$11,FALSE)</f>
        <v>15266415</v>
      </c>
      <c r="E32" s="84">
        <f>VLOOKUP(E26,'Electrical Generation'!$A$6:$O$42,'Electrical Generation'!$H$11,FALSE)</f>
        <v>14593054</v>
      </c>
      <c r="F32" s="84">
        <f>VLOOKUP(F26,'Electrical Generation'!$A$6:$O$42,'Electrical Generation'!$H$11,FALSE)</f>
        <v>14494677</v>
      </c>
      <c r="G32" s="84">
        <f>VLOOKUP(G26,'Electrical Generation'!$A$6:$O$42,'Electrical Generation'!$H$11,FALSE)</f>
        <v>14771166</v>
      </c>
      <c r="H32" s="84">
        <f>VLOOKUP(H26,'Electrical Generation'!$A$6:$O$42,'Electrical Generation'!$H$11,FALSE)</f>
        <v>14789516</v>
      </c>
      <c r="I32" s="84">
        <f>VLOOKUP(I26,'Electrical Generation'!$A$6:$O$42,'Electrical Generation'!$H$11,FALSE)</f>
        <v>15053852</v>
      </c>
      <c r="J32" s="84">
        <f>VLOOKUP(J26,'Electrical Generation'!$A$6:$O$42,'Electrical Generation'!$H$11,FALSE)</f>
        <v>15119379</v>
      </c>
      <c r="K32" s="84">
        <f>VLOOKUP(K26,'Electrical Generation'!$A$6:$O$42,'Electrical Generation'!$H$11,FALSE)</f>
        <v>15303400</v>
      </c>
      <c r="L32" s="84">
        <f>VLOOKUP(L26,'Electrical Generation'!$A$6:$O$42,'Electrical Generation'!$H$11,FALSE)</f>
        <v>15188184</v>
      </c>
      <c r="M32" s="84">
        <f>VLOOKUP(M26,'Electrical Generation'!$A$6:$O$42,'Electrical Generation'!$H$11,FALSE)</f>
        <v>14828906</v>
      </c>
      <c r="N32" s="84">
        <f>VLOOKUP(N26,'Electrical Generation'!$A$6:$O$42,'Electrical Generation'!$H$11,FALSE)</f>
        <v>12771611</v>
      </c>
      <c r="O32" s="84">
        <f>VLOOKUP(O26,'Electrical Generation'!$A$6:$O$42,'Electrical Generation'!$H$11,FALSE)</f>
        <v>13625135</v>
      </c>
      <c r="P32" s="84">
        <f>VLOOKUP(P26,'Electrical Generation'!$A$6:$O$42,'Electrical Generation'!$H$11,FALSE)</f>
        <v>14817041</v>
      </c>
      <c r="Q32" s="84">
        <f>VLOOKUP(Q26,'Electrical Generation'!$A$6:$O$42,'Electrical Generation'!$H$11,FALSE)</f>
        <v>14015875</v>
      </c>
      <c r="R32" s="84">
        <f>VLOOKUP(R26,'Electrical Generation'!$A$6:$O$42,'Electrical Generation'!$H$11,FALSE)</f>
        <v>13439341</v>
      </c>
      <c r="S32" s="84">
        <f>VLOOKUP(S26,'Electrical Generation'!$A$6:$O$42,'Electrical Generation'!$H$11,FALSE)</f>
        <v>11685771</v>
      </c>
      <c r="T32" s="84">
        <f>VLOOKUP(T26,'Electrical Generation'!$A$6:$O$42,'Electrical Generation'!$H$11,FALSE)</f>
        <v>11642810</v>
      </c>
      <c r="U32" s="84">
        <f>VLOOKUP(U26,'Electrical Generation'!$A$6:$O$42,'Electrical Generation'!$H$11,FALSE)</f>
        <v>9702052</v>
      </c>
      <c r="V32" s="84" t="str">
        <f>VLOOKUP(V26,'Electrical Generation'!$A$6:$O$42,'Electrical Generation'!$H$11,FALSE)</f>
        <v/>
      </c>
      <c r="W32" s="84" t="str">
        <f>VLOOKUP(W26,'Electrical Generation'!$A$6:$O$42,'Electrical Generation'!$H$11,FALSE)</f>
        <v/>
      </c>
      <c r="X32" s="84" t="str">
        <f>VLOOKUP(X26,'Electrical Generation'!$A$6:$O$42,'Electrical Generation'!$H$11,FALSE)</f>
        <v/>
      </c>
      <c r="Y32" s="84" t="str">
        <f>VLOOKUP(Y26,'Electrical Generation'!$A$6:$O$42,'Electrical Generation'!$H$11,FALSE)</f>
        <v/>
      </c>
      <c r="Z32" s="84" t="str">
        <f>VLOOKUP(Z26,'Electrical Generation'!$A$6:$O$42,'Electrical Generation'!$H$11,FALSE)</f>
        <v/>
      </c>
      <c r="AA32" s="84" t="str">
        <f>VLOOKUP(AA26,'Electrical Generation'!$A$6:$O$42,'Electrical Generation'!$H$11,FALSE)</f>
        <v/>
      </c>
      <c r="AB32" s="84" t="str">
        <f>VLOOKUP(AB26,'Electrical Generation'!$A$6:$O$42,'Electrical Generation'!$H$11,FALSE)</f>
        <v/>
      </c>
      <c r="AC32" s="84" t="str">
        <f>VLOOKUP(AC26,'Electrical Generation'!$A$6:$O$42,'Electrical Generation'!$H$11,FALSE)</f>
        <v/>
      </c>
      <c r="AD32" s="84" t="str">
        <f>VLOOKUP(AD26,'Electrical Generation'!$A$6:$O$42,'Electrical Generation'!$H$11,FALSE)</f>
        <v/>
      </c>
      <c r="AE32" s="84" t="str">
        <f>VLOOKUP(AE26,'Electrical Generation'!$A$6:$O$42,'Electrical Generation'!$H$11,FALSE)</f>
        <v/>
      </c>
      <c r="AF32" s="84" t="str">
        <f>VLOOKUP(AF26,'Electrical Generation'!$A$6:$O$42,'Electrical Generation'!$H$11,FALSE)</f>
        <v/>
      </c>
      <c r="AG32" s="88" t="str">
        <f>VLOOKUP(AG26,'Electrical Generation'!$A$6:$O$42,'Electrical Generation'!$H$11,FALSE)</f>
        <v/>
      </c>
      <c r="AH32" s="24"/>
      <c r="AI32" s="24"/>
      <c r="AJ32" s="24"/>
      <c r="AK32" s="24"/>
      <c r="AL32" s="24"/>
      <c r="AM32" s="24"/>
      <c r="AN32" s="24"/>
      <c r="AO32" s="24"/>
      <c r="AP32" s="24"/>
      <c r="AQ32" s="24"/>
      <c r="AR32" s="24"/>
      <c r="AS32" s="24"/>
      <c r="AT32" s="24"/>
      <c r="AU32" s="24"/>
      <c r="AV32" s="24"/>
      <c r="AW32" s="24"/>
      <c r="AX32" s="24"/>
      <c r="AY32" s="24"/>
      <c r="AZ32" s="24"/>
      <c r="BA32" s="24"/>
    </row>
    <row r="33" ht="12.75" customHeight="1">
      <c r="A33" s="46" t="s">
        <v>341</v>
      </c>
      <c r="B33" s="51" t="s">
        <v>52</v>
      </c>
      <c r="C33" s="84" t="str">
        <f>VLOOKUP(C26,'Electrical Generation'!$A$6:$O$42,'Electrical Generation'!$J$11,FALSE)</f>
        <v/>
      </c>
      <c r="D33" s="84">
        <f>VLOOKUP(D26,'Electrical Generation'!$A$6:$O$42,'Electrical Generation'!$J$11,FALSE)</f>
        <v>5349697</v>
      </c>
      <c r="E33" s="84">
        <f>VLOOKUP(E26,'Electrical Generation'!$A$6:$O$42,'Electrical Generation'!$J$11,FALSE)</f>
        <v>5019304</v>
      </c>
      <c r="F33" s="84">
        <f>VLOOKUP(F26,'Electrical Generation'!$A$6:$O$42,'Electrical Generation'!$J$11,FALSE)</f>
        <v>4807385</v>
      </c>
      <c r="G33" s="84">
        <f>VLOOKUP(G26,'Electrical Generation'!$A$6:$O$42,'Electrical Generation'!$J$11,FALSE)</f>
        <v>5245831</v>
      </c>
      <c r="H33" s="84">
        <f>VLOOKUP(H26,'Electrical Generation'!$A$6:$O$42,'Electrical Generation'!$J$11,FALSE)</f>
        <v>5238417</v>
      </c>
      <c r="I33" s="84">
        <f>VLOOKUP(I26,'Electrical Generation'!$A$6:$O$42,'Electrical Generation'!$J$11,FALSE)</f>
        <v>4929916</v>
      </c>
      <c r="J33" s="84">
        <f>VLOOKUP(J26,'Electrical Generation'!$A$6:$O$42,'Electrical Generation'!$J$11,FALSE)</f>
        <v>5210618.001</v>
      </c>
      <c r="K33" s="84">
        <f>VLOOKUP(K26,'Electrical Generation'!$A$6:$O$42,'Electrical Generation'!$J$11,FALSE)</f>
        <v>5113629</v>
      </c>
      <c r="L33" s="84">
        <f>VLOOKUP(L26,'Electrical Generation'!$A$6:$O$42,'Electrical Generation'!$J$11,FALSE)</f>
        <v>4753363</v>
      </c>
      <c r="M33" s="84">
        <f>VLOOKUP(M26,'Electrical Generation'!$A$6:$O$42,'Electrical Generation'!$J$11,FALSE)</f>
        <v>5339385</v>
      </c>
      <c r="N33" s="84">
        <f>VLOOKUP(N26,'Electrical Generation'!$A$6:$O$42,'Electrical Generation'!$J$11,FALSE)</f>
        <v>5102235</v>
      </c>
      <c r="O33" s="84">
        <f>VLOOKUP(O26,'Electrical Generation'!$A$6:$O$42,'Electrical Generation'!$J$11,FALSE)</f>
        <v>5064299</v>
      </c>
      <c r="P33" s="84">
        <f>VLOOKUP(P26,'Electrical Generation'!$A$6:$O$42,'Electrical Generation'!$J$11,FALSE)</f>
        <v>5533895</v>
      </c>
      <c r="Q33" s="84">
        <f>VLOOKUP(Q26,'Electrical Generation'!$A$6:$O$42,'Electrical Generation'!$J$11,FALSE)</f>
        <v>4958589</v>
      </c>
      <c r="R33" s="84">
        <f>VLOOKUP(R26,'Electrical Generation'!$A$6:$O$42,'Electrical Generation'!$J$11,FALSE)</f>
        <v>4899321</v>
      </c>
      <c r="S33" s="84">
        <f>VLOOKUP(S26,'Electrical Generation'!$A$6:$O$42,'Electrical Generation'!$J$11,FALSE)</f>
        <v>4871839</v>
      </c>
      <c r="T33" s="84">
        <f>VLOOKUP(T26,'Electrical Generation'!$A$6:$O$42,'Electrical Generation'!$J$11,FALSE)</f>
        <v>4740720</v>
      </c>
      <c r="U33" s="84">
        <f>VLOOKUP(U26,'Electrical Generation'!$A$6:$O$42,'Electrical Generation'!$J$11,FALSE)</f>
        <v>4279152</v>
      </c>
      <c r="V33" s="84" t="str">
        <f>VLOOKUP(V26,'Electrical Generation'!$A$6:$O$42,'Electrical Generation'!$J$11,FALSE)</f>
        <v/>
      </c>
      <c r="W33" s="84" t="str">
        <f>VLOOKUP(W26,'Electrical Generation'!$A$6:$O$42,'Electrical Generation'!$J$11,FALSE)</f>
        <v/>
      </c>
      <c r="X33" s="84" t="str">
        <f>VLOOKUP(X26,'Electrical Generation'!$A$6:$O$42,'Electrical Generation'!$J$11,FALSE)</f>
        <v/>
      </c>
      <c r="Y33" s="84" t="str">
        <f>VLOOKUP(Y26,'Electrical Generation'!$A$6:$O$42,'Electrical Generation'!$J$11,FALSE)</f>
        <v/>
      </c>
      <c r="Z33" s="84" t="str">
        <f>VLOOKUP(Z26,'Electrical Generation'!$A$6:$O$42,'Electrical Generation'!$J$11,FALSE)</f>
        <v/>
      </c>
      <c r="AA33" s="84" t="str">
        <f>VLOOKUP(AA26,'Electrical Generation'!$A$6:$O$42,'Electrical Generation'!$J$11,FALSE)</f>
        <v/>
      </c>
      <c r="AB33" s="84" t="str">
        <f>VLOOKUP(AB26,'Electrical Generation'!$A$6:$O$42,'Electrical Generation'!$J$11,FALSE)</f>
        <v/>
      </c>
      <c r="AC33" s="84" t="str">
        <f>VLOOKUP(AC26,'Electrical Generation'!$A$6:$O$42,'Electrical Generation'!$J$11,FALSE)</f>
        <v/>
      </c>
      <c r="AD33" s="84" t="str">
        <f>VLOOKUP(AD26,'Electrical Generation'!$A$6:$O$42,'Electrical Generation'!$J$11,FALSE)</f>
        <v/>
      </c>
      <c r="AE33" s="84" t="str">
        <f>VLOOKUP(AE26,'Electrical Generation'!$A$6:$O$42,'Electrical Generation'!$J$11,FALSE)</f>
        <v/>
      </c>
      <c r="AF33" s="84" t="str">
        <f>VLOOKUP(AF26,'Electrical Generation'!$A$6:$O$42,'Electrical Generation'!$J$11,FALSE)</f>
        <v/>
      </c>
      <c r="AG33" s="88" t="str">
        <f>VLOOKUP(AG26,'Electrical Generation'!$A$6:$O$42,'Electrical Generation'!$J$11,FALSE)</f>
        <v/>
      </c>
      <c r="AH33" s="24"/>
      <c r="AI33" s="24"/>
      <c r="AJ33" s="24"/>
      <c r="AK33" s="24"/>
      <c r="AL33" s="24"/>
      <c r="AM33" s="24"/>
      <c r="AN33" s="24"/>
      <c r="AO33" s="24"/>
      <c r="AP33" s="24"/>
      <c r="AQ33" s="24"/>
      <c r="AR33" s="24"/>
      <c r="AS33" s="24"/>
      <c r="AT33" s="24"/>
      <c r="AU33" s="24"/>
      <c r="AV33" s="24"/>
      <c r="AW33" s="24"/>
      <c r="AX33" s="24"/>
      <c r="AY33" s="24"/>
      <c r="AZ33" s="24"/>
      <c r="BA33" s="24"/>
    </row>
    <row r="34" ht="12.75" customHeight="1">
      <c r="A34" s="46" t="s">
        <v>349</v>
      </c>
      <c r="B34" s="51" t="s">
        <v>52</v>
      </c>
      <c r="C34" s="84">
        <f>VLOOKUP(C26,'Mine Production'!$A$7:$AB$45,4,FALSE)</f>
        <v>1535183</v>
      </c>
      <c r="D34" s="84">
        <f>VLOOKUP(D26,'Mine Production'!$A$7:$AB$45,4,FALSE)</f>
        <v>1577609</v>
      </c>
      <c r="E34" s="84">
        <f>VLOOKUP(E26,'Mine Production'!$A$7:$AB$45,4,FALSE)</f>
        <v>1512060</v>
      </c>
      <c r="F34" s="84">
        <f>VLOOKUP(F26,'Mine Production'!$A$7:$AB$45,4,FALSE)</f>
        <v>1506120</v>
      </c>
      <c r="G34" s="84">
        <f>VLOOKUP(G26,'Mine Production'!$A$7:$AB$45,4,FALSE)</f>
        <v>1566179</v>
      </c>
      <c r="H34" s="84">
        <f>VLOOKUP(H26,'Mine Production'!$A$7:$AB$45,4,FALSE)</f>
        <v>1598166</v>
      </c>
      <c r="I34" s="84">
        <f>VLOOKUP(I26,'Mine Production'!$A$7:$AB$45,4,FALSE)</f>
        <v>1588496</v>
      </c>
      <c r="J34" s="84">
        <f>VLOOKUP(J26,'Mine Production'!$A$7:$AB$45,4,FALSE)</f>
        <v>1542975</v>
      </c>
      <c r="K34" s="84">
        <f>VLOOKUP(K26,'Mine Production'!$A$7:$AB$45,4,FALSE)</f>
        <v>1571060</v>
      </c>
      <c r="L34" s="84">
        <f>VLOOKUP(L26,'Mine Production'!$A$7:$AB$45,4,FALSE)</f>
        <v>1399328</v>
      </c>
      <c r="M34" s="84">
        <f>VLOOKUP(M26,'Mine Production'!$A$7:$AB$45,4,FALSE)</f>
        <v>1477405</v>
      </c>
      <c r="N34" s="84">
        <f>VLOOKUP(N26,'Mine Production'!$A$7:$AB$45,4,FALSE)</f>
        <v>1582723</v>
      </c>
      <c r="O34" s="84">
        <f>VLOOKUP(O26,'Mine Production'!$A$7:$AB$45,4,FALSE)</f>
        <v>1547369</v>
      </c>
      <c r="P34" s="84">
        <f>VLOOKUP(P26,'Mine Production'!$A$7:$AB$45,4,FALSE)</f>
        <v>1580204</v>
      </c>
      <c r="Q34" s="84">
        <f>VLOOKUP(Q26,'Mine Production'!$A$7:$AB$45,4,FALSE)</f>
        <v>1525614</v>
      </c>
      <c r="R34" s="84">
        <f>VLOOKUP(R26,'Mine Production'!$A$7:$AB$45,4,FALSE)</f>
        <v>1496189</v>
      </c>
      <c r="S34" s="84">
        <f>VLOOKUP(S26,'Mine Production'!$A$7:$AB$45,4,FALSE)</f>
        <v>1304842</v>
      </c>
      <c r="T34" s="84">
        <f>VLOOKUP(T26,'Mine Production'!$A$7:$AB$45,4,FALSE)</f>
        <v>1395634</v>
      </c>
      <c r="U34" s="84">
        <f>VLOOKUP(U26,'Mine Production'!$A$7:$AB$45,4,FALSE)</f>
        <v>1423015</v>
      </c>
      <c r="V34" s="84">
        <f>VLOOKUP(V26,'Mine Production'!$A$7:$AB$45,4,FALSE)</f>
        <v>0</v>
      </c>
      <c r="W34" s="84">
        <f>VLOOKUP(W26,'Mine Production'!$A$7:$AB$45,4,FALSE)</f>
        <v>0</v>
      </c>
      <c r="X34" s="84">
        <f>VLOOKUP(X26,'Mine Production'!$A$7:$AB$45,4,FALSE)</f>
        <v>0</v>
      </c>
      <c r="Y34" s="84">
        <f>VLOOKUP(Y26,'Mine Production'!$A$7:$AB$45,4,FALSE)</f>
        <v>0</v>
      </c>
      <c r="Z34" s="84">
        <f>VLOOKUP(Z26,'Mine Production'!$A$7:$AB$45,4,FALSE)</f>
        <v>0</v>
      </c>
      <c r="AA34" s="84">
        <f>VLOOKUP(AA26,'Mine Production'!$A$7:$AB$45,4,FALSE)</f>
        <v>0</v>
      </c>
      <c r="AB34" s="84">
        <f>VLOOKUP(AB26,'Mine Production'!$A$7:$AB$45,4,FALSE)</f>
        <v>0</v>
      </c>
      <c r="AC34" s="84">
        <f>VLOOKUP(AC26,'Mine Production'!$A$7:$AB$45,4,FALSE)</f>
        <v>0</v>
      </c>
      <c r="AD34" s="84">
        <f>VLOOKUP(AD26,'Mine Production'!$A$7:$AB$45,4,FALSE)</f>
        <v>0</v>
      </c>
      <c r="AE34" s="84">
        <f>VLOOKUP(AE26,'Mine Production'!$A$7:$AB$45,4,FALSE)</f>
        <v>0</v>
      </c>
      <c r="AF34" s="84">
        <f>VLOOKUP(AF26,'Mine Production'!$A$7:$AB$45,4,FALSE)</f>
        <v>0</v>
      </c>
      <c r="AG34" s="88">
        <f>VLOOKUP(AG26,'Mine Production'!$A$7:$AB$45,4,FALSE)</f>
        <v>0</v>
      </c>
      <c r="AH34" s="24"/>
      <c r="AI34" s="24"/>
      <c r="AJ34" s="24"/>
      <c r="AK34" s="24"/>
      <c r="AL34" s="24"/>
      <c r="AM34" s="24"/>
      <c r="AN34" s="24"/>
      <c r="AO34" s="24"/>
      <c r="AP34" s="24"/>
      <c r="AQ34" s="24"/>
      <c r="AR34" s="24"/>
      <c r="AS34" s="24"/>
      <c r="AT34" s="24"/>
      <c r="AU34" s="24"/>
      <c r="AV34" s="24"/>
      <c r="AW34" s="24"/>
      <c r="AX34" s="24"/>
      <c r="AY34" s="24"/>
      <c r="AZ34" s="24"/>
      <c r="BA34" s="24"/>
    </row>
    <row r="35" ht="12.75" customHeight="1">
      <c r="A35" s="52" t="s">
        <v>355</v>
      </c>
      <c r="B35" s="58" t="s">
        <v>51</v>
      </c>
      <c r="C35" s="98">
        <f>VLOOKUP(C26,'Oil and Gas Production'!$E$50:$G$81,2,FALSE)</f>
        <v>10322939</v>
      </c>
      <c r="D35" s="98">
        <f>VLOOKUP(D26,'Oil and Gas Production'!$E$50:$G$81,2,FALSE)</f>
        <v>10723632</v>
      </c>
      <c r="E35" s="98">
        <f>VLOOKUP(E26,'Oil and Gas Production'!$E$50:$G$81,2,FALSE)</f>
        <v>11398530</v>
      </c>
      <c r="F35" s="98">
        <f>VLOOKUP(F26,'Oil and Gas Production'!$E$50:$G$81,2,FALSE)</f>
        <v>11400386</v>
      </c>
      <c r="G35" s="98">
        <f>VLOOKUP(G26,'Oil and Gas Production'!$E$50:$G$81,2,FALSE)</f>
        <v>11688316</v>
      </c>
      <c r="H35" s="98">
        <f>VLOOKUP(H26,'Oil and Gas Production'!$E$50:$G$81,2,FALSE)</f>
        <v>12408553</v>
      </c>
      <c r="I35" s="98">
        <f>VLOOKUP(I26,'Oil and Gas Production'!$E$50:$G$81,2,FALSE)</f>
        <v>13673147</v>
      </c>
      <c r="J35" s="98">
        <f>VLOOKUP(J26,'Oil and Gas Production'!$E$50:$G$81,2,FALSE)</f>
        <v>15491878</v>
      </c>
      <c r="K35" s="98">
        <f>VLOOKUP(K26,'Oil and Gas Production'!$E$50:$G$81,2,FALSE)</f>
        <v>15801535</v>
      </c>
      <c r="L35" s="98">
        <f>VLOOKUP(L26,'Oil and Gas Production'!$E$50:$G$81,2,FALSE)</f>
        <v>15903928</v>
      </c>
      <c r="M35" s="98">
        <f>VLOOKUP(M26,'Oil and Gas Production'!$E$50:$G$81,2,FALSE)</f>
        <v>16125483</v>
      </c>
      <c r="N35" s="98">
        <f>VLOOKUP(N26,'Oil and Gas Production'!$E$50:$G$81,2,FALSE)</f>
        <v>15372647</v>
      </c>
      <c r="O35" s="98">
        <f>VLOOKUP(O26,'Oil and Gas Production'!$E$50:$G$81,2,FALSE)</f>
        <v>15196209</v>
      </c>
      <c r="P35" s="98">
        <f>VLOOKUP(P26,'Oil and Gas Production'!$E$50:$G$81,2,FALSE)</f>
        <v>14279270</v>
      </c>
      <c r="Q35" s="98">
        <f>VLOOKUP(Q26,'Oil and Gas Production'!$E$50:$G$81,2,FALSE)</f>
        <v>14132721</v>
      </c>
      <c r="R35" s="98">
        <f>VLOOKUP(R26,'Oil and Gas Production'!$E$50:$G$81,2,FALSE)</f>
        <v>14691970</v>
      </c>
      <c r="S35" s="98">
        <f>VLOOKUP(S26,'Oil and Gas Production'!$E$50:$G$81,2,FALSE)</f>
        <v>13882099</v>
      </c>
      <c r="T35" s="98">
        <f>VLOOKUP(T26,'Oil and Gas Production'!$E$50:$G$81,2,FALSE)</f>
        <v>13910376</v>
      </c>
      <c r="U35" s="98">
        <f>VLOOKUP(U26,'Oil and Gas Production'!$E$50:$G$81,2,FALSE)</f>
        <v>13495292</v>
      </c>
      <c r="V35" s="98" t="str">
        <f>VLOOKUP(V26,'Oil and Gas Production'!$E$50:$G$81,2,FALSE)</f>
        <v/>
      </c>
      <c r="W35" s="98" t="str">
        <f>VLOOKUP(W26,'Oil and Gas Production'!$E$50:$G$81,2,FALSE)</f>
        <v/>
      </c>
      <c r="X35" s="98" t="str">
        <f>VLOOKUP(X26,'Oil and Gas Production'!$E$50:$G$81,2,FALSE)</f>
        <v/>
      </c>
      <c r="Y35" s="98" t="str">
        <f>VLOOKUP(Y26,'Oil and Gas Production'!$E$50:$G$81,2,FALSE)</f>
        <v/>
      </c>
      <c r="Z35" s="98" t="str">
        <f>VLOOKUP(Z26,'Oil and Gas Production'!$E$50:$G$81,2,FALSE)</f>
        <v/>
      </c>
      <c r="AA35" s="98" t="str">
        <f>VLOOKUP(AA26,'Oil and Gas Production'!$E$50:$G$81,2,FALSE)</f>
        <v/>
      </c>
      <c r="AB35" s="98" t="str">
        <f>VLOOKUP(AB26,'Oil and Gas Production'!$E$50:$G$81,2,FALSE)</f>
        <v/>
      </c>
      <c r="AC35" s="98" t="str">
        <f>VLOOKUP(AC26,'Oil and Gas Production'!$E$50:$G$81,2,FALSE)</f>
        <v/>
      </c>
      <c r="AD35" s="98" t="str">
        <f>VLOOKUP(AD26,'Oil and Gas Production'!$E$50:$G$81,2,FALSE)</f>
        <v/>
      </c>
      <c r="AE35" s="98" t="str">
        <f>VLOOKUP(AE26,'Oil and Gas Production'!$E$50:$G$81,2,FALSE)</f>
        <v/>
      </c>
      <c r="AF35" s="98" t="str">
        <f>VLOOKUP(AF26,'Oil and Gas Production'!$E$50:$G$81,2,FALSE)</f>
        <v/>
      </c>
      <c r="AG35" s="113" t="str">
        <f>VLOOKUP(AG26,'Oil and Gas Production'!$E$50:$G$81,2,FALSE)</f>
        <v/>
      </c>
      <c r="AH35" s="24"/>
      <c r="AI35" s="24"/>
      <c r="AJ35" s="24"/>
      <c r="AK35" s="24"/>
      <c r="AL35" s="24"/>
      <c r="AM35" s="24"/>
      <c r="AN35" s="24"/>
      <c r="AO35" s="24"/>
      <c r="AP35" s="24"/>
      <c r="AQ35" s="24"/>
      <c r="AR35" s="24"/>
      <c r="AS35" s="24"/>
      <c r="AT35" s="24"/>
      <c r="AU35" s="24"/>
      <c r="AV35" s="24"/>
      <c r="AW35" s="24"/>
      <c r="AX35" s="24"/>
      <c r="AY35" s="24"/>
      <c r="AZ35" s="24"/>
      <c r="BA35" s="24"/>
    </row>
    <row r="36" ht="12.75" customHeight="1">
      <c r="A36" s="307" t="s">
        <v>321</v>
      </c>
      <c r="B36" s="308"/>
      <c r="C36" s="309"/>
      <c r="D36" s="309"/>
      <c r="E36" s="309"/>
      <c r="F36" s="309"/>
      <c r="G36" s="309"/>
      <c r="H36" s="309"/>
      <c r="I36" s="309"/>
      <c r="J36" s="309"/>
      <c r="K36" s="309"/>
      <c r="L36" s="309"/>
      <c r="M36" s="309"/>
      <c r="N36" s="309"/>
      <c r="O36" s="309"/>
      <c r="P36" s="309"/>
      <c r="Q36" s="309"/>
      <c r="R36" s="309"/>
      <c r="S36" s="309"/>
      <c r="T36" s="309"/>
      <c r="U36" s="309"/>
      <c r="V36" s="309"/>
      <c r="W36" s="309"/>
      <c r="X36" s="309"/>
      <c r="Y36" s="309"/>
      <c r="Z36" s="309"/>
      <c r="AA36" s="309"/>
      <c r="AB36" s="309"/>
      <c r="AC36" s="309"/>
      <c r="AD36" s="309"/>
      <c r="AE36" s="309"/>
      <c r="AF36" s="309"/>
      <c r="AG36" s="312"/>
      <c r="AH36" s="24"/>
      <c r="AI36" s="24"/>
      <c r="AJ36" s="24"/>
      <c r="AK36" s="24"/>
      <c r="AL36" s="24"/>
      <c r="AM36" s="24"/>
      <c r="AN36" s="24"/>
      <c r="AO36" s="24"/>
      <c r="AP36" s="24"/>
      <c r="AQ36" s="24"/>
      <c r="AR36" s="24"/>
      <c r="AS36" s="24"/>
      <c r="AT36" s="24"/>
      <c r="AU36" s="24"/>
      <c r="AV36" s="24"/>
      <c r="AW36" s="24"/>
      <c r="AX36" s="24"/>
      <c r="AY36" s="24"/>
      <c r="AZ36" s="24"/>
      <c r="BA36" s="24"/>
    </row>
    <row r="37" ht="12.75" customHeight="1">
      <c r="A37" s="46" t="s">
        <v>48</v>
      </c>
      <c r="B37" s="47"/>
      <c r="C37" s="48">
        <f>C28</f>
        <v>1575</v>
      </c>
      <c r="D37" s="84">
        <f t="shared" ref="D37:G37" si="6">$C$28*D35/$C$35</f>
        <v>1636.134864</v>
      </c>
      <c r="E37" s="84">
        <f t="shared" si="6"/>
        <v>1739.105961</v>
      </c>
      <c r="F37" s="84">
        <f t="shared" si="6"/>
        <v>1739.389136</v>
      </c>
      <c r="G37" s="84">
        <f t="shared" si="6"/>
        <v>1783.319431</v>
      </c>
      <c r="H37" s="48">
        <f>H28</f>
        <v>1954</v>
      </c>
      <c r="I37" s="84">
        <f t="shared" ref="I37:AG37" si="7">$H$28*I35/$H$35</f>
        <v>2153.138181</v>
      </c>
      <c r="J37" s="84">
        <f t="shared" si="7"/>
        <v>2439.537439</v>
      </c>
      <c r="K37" s="84">
        <f t="shared" si="7"/>
        <v>2488.299755</v>
      </c>
      <c r="L37" s="84">
        <f t="shared" si="7"/>
        <v>2504.423788</v>
      </c>
      <c r="M37" s="84">
        <f t="shared" si="7"/>
        <v>2539.312503</v>
      </c>
      <c r="N37" s="84">
        <f t="shared" si="7"/>
        <v>2420.761892</v>
      </c>
      <c r="O37" s="84">
        <f t="shared" si="7"/>
        <v>2392.977842</v>
      </c>
      <c r="P37" s="84">
        <f t="shared" si="7"/>
        <v>2248.585599</v>
      </c>
      <c r="Q37" s="84">
        <f t="shared" si="7"/>
        <v>2225.508231</v>
      </c>
      <c r="R37" s="84">
        <f t="shared" si="7"/>
        <v>2313.574305</v>
      </c>
      <c r="S37" s="84">
        <f t="shared" si="7"/>
        <v>2186.042276</v>
      </c>
      <c r="T37" s="84">
        <f t="shared" si="7"/>
        <v>2190.495113</v>
      </c>
      <c r="U37" s="84">
        <f t="shared" si="7"/>
        <v>2125.130994</v>
      </c>
      <c r="V37" s="84">
        <f t="shared" si="7"/>
        <v>0</v>
      </c>
      <c r="W37" s="84">
        <f t="shared" si="7"/>
        <v>0</v>
      </c>
      <c r="X37" s="84">
        <f t="shared" si="7"/>
        <v>0</v>
      </c>
      <c r="Y37" s="84">
        <f t="shared" si="7"/>
        <v>0</v>
      </c>
      <c r="Z37" s="84">
        <f t="shared" si="7"/>
        <v>0</v>
      </c>
      <c r="AA37" s="84">
        <f t="shared" si="7"/>
        <v>0</v>
      </c>
      <c r="AB37" s="84">
        <f t="shared" si="7"/>
        <v>0</v>
      </c>
      <c r="AC37" s="84">
        <f t="shared" si="7"/>
        <v>0</v>
      </c>
      <c r="AD37" s="84">
        <f t="shared" si="7"/>
        <v>0</v>
      </c>
      <c r="AE37" s="84">
        <f t="shared" si="7"/>
        <v>0</v>
      </c>
      <c r="AF37" s="84">
        <f t="shared" si="7"/>
        <v>0</v>
      </c>
      <c r="AG37" s="88">
        <f t="shared" si="7"/>
        <v>0</v>
      </c>
      <c r="AH37" s="148"/>
      <c r="AI37" s="24"/>
      <c r="AJ37" s="24"/>
      <c r="AK37" s="24"/>
      <c r="AL37" s="24"/>
      <c r="AM37" s="24"/>
      <c r="AN37" s="24"/>
      <c r="AO37" s="24"/>
      <c r="AP37" s="24"/>
      <c r="AQ37" s="24"/>
      <c r="AR37" s="24"/>
      <c r="AS37" s="24"/>
      <c r="AT37" s="24"/>
      <c r="AU37" s="24"/>
      <c r="AV37" s="24"/>
      <c r="AW37" s="24"/>
      <c r="AX37" s="24"/>
      <c r="AY37" s="24"/>
      <c r="AZ37" s="24"/>
      <c r="BA37" s="24"/>
    </row>
    <row r="38" ht="12.75" customHeight="1">
      <c r="A38" s="153" t="s">
        <v>49</v>
      </c>
      <c r="B38" s="314"/>
      <c r="C38" s="253">
        <f>SUM(C29:C30)</f>
        <v>66475</v>
      </c>
      <c r="D38" s="157">
        <f t="shared" ref="D38:G38" si="8">$C$29*(D32+D33)/($D$32+$D$33)+$C$30*D34/$D$34</f>
        <v>66475</v>
      </c>
      <c r="E38" s="157">
        <f t="shared" si="8"/>
        <v>63371.78265</v>
      </c>
      <c r="F38" s="157">
        <f t="shared" si="8"/>
        <v>62582.02318</v>
      </c>
      <c r="G38" s="157">
        <f t="shared" si="8"/>
        <v>64950.60398</v>
      </c>
      <c r="H38" s="254">
        <f>H29+H30</f>
        <v>56865</v>
      </c>
      <c r="I38" s="157">
        <f t="shared" ref="I38:AG38" si="9">$H$29*(I32+I33)/($H$32+$H$33)+$H$30*I34/$H$34</f>
        <v>56673.59473</v>
      </c>
      <c r="J38" s="157">
        <f t="shared" si="9"/>
        <v>56870.98537</v>
      </c>
      <c r="K38" s="157">
        <f t="shared" si="9"/>
        <v>57345.14809</v>
      </c>
      <c r="L38" s="157">
        <f t="shared" si="9"/>
        <v>54558.15609</v>
      </c>
      <c r="M38" s="157">
        <f t="shared" si="9"/>
        <v>55846.19623</v>
      </c>
      <c r="N38" s="157">
        <f t="shared" si="9"/>
        <v>52429.2363</v>
      </c>
      <c r="O38" s="157">
        <f t="shared" si="9"/>
        <v>53666.20316</v>
      </c>
      <c r="P38" s="157">
        <f t="shared" si="9"/>
        <v>57312.34701</v>
      </c>
      <c r="Q38" s="157">
        <f t="shared" si="9"/>
        <v>53997.54042</v>
      </c>
      <c r="R38" s="157">
        <f t="shared" si="9"/>
        <v>52421.19632</v>
      </c>
      <c r="S38" s="157">
        <f t="shared" si="9"/>
        <v>46835.58866</v>
      </c>
      <c r="T38" s="157">
        <f t="shared" si="9"/>
        <v>47465.66749</v>
      </c>
      <c r="U38" s="157">
        <f t="shared" si="9"/>
        <v>42997.78506</v>
      </c>
      <c r="V38" s="157">
        <f t="shared" si="9"/>
        <v>0</v>
      </c>
      <c r="W38" s="157">
        <f t="shared" si="9"/>
        <v>0</v>
      </c>
      <c r="X38" s="157">
        <f t="shared" si="9"/>
        <v>0</v>
      </c>
      <c r="Y38" s="157">
        <f t="shared" si="9"/>
        <v>0</v>
      </c>
      <c r="Z38" s="157">
        <f t="shared" si="9"/>
        <v>0</v>
      </c>
      <c r="AA38" s="157">
        <f t="shared" si="9"/>
        <v>0</v>
      </c>
      <c r="AB38" s="157">
        <f t="shared" si="9"/>
        <v>0</v>
      </c>
      <c r="AC38" s="157">
        <f t="shared" si="9"/>
        <v>0</v>
      </c>
      <c r="AD38" s="157">
        <f t="shared" si="9"/>
        <v>0</v>
      </c>
      <c r="AE38" s="157">
        <f t="shared" si="9"/>
        <v>0</v>
      </c>
      <c r="AF38" s="157">
        <f t="shared" si="9"/>
        <v>0</v>
      </c>
      <c r="AG38" s="158">
        <f t="shared" si="9"/>
        <v>0</v>
      </c>
      <c r="AH38" s="24"/>
      <c r="AI38" s="24"/>
      <c r="AJ38" s="24"/>
      <c r="AK38" s="24"/>
      <c r="AL38" s="24"/>
      <c r="AM38" s="24"/>
      <c r="AN38" s="24"/>
      <c r="AO38" s="24"/>
      <c r="AP38" s="24"/>
      <c r="AQ38" s="24"/>
      <c r="AR38" s="24"/>
      <c r="AS38" s="24"/>
      <c r="AT38" s="24"/>
      <c r="AU38" s="24"/>
      <c r="AV38" s="24"/>
      <c r="AW38" s="24"/>
      <c r="AX38" s="24"/>
      <c r="AY38" s="24"/>
      <c r="AZ38" s="24"/>
      <c r="BA38" s="24"/>
    </row>
    <row r="39" ht="12.75" customHeight="1">
      <c r="A39" s="160"/>
      <c r="B39" s="49"/>
      <c r="C39" s="84"/>
      <c r="D39" s="84"/>
      <c r="E39" s="84"/>
      <c r="F39" s="84"/>
      <c r="G39" s="84"/>
      <c r="H39" s="84"/>
      <c r="I39" s="84"/>
      <c r="J39" s="84"/>
      <c r="K39" s="84"/>
      <c r="L39" s="84"/>
      <c r="M39" s="84"/>
      <c r="N39" s="84"/>
      <c r="O39" s="84"/>
      <c r="P39" s="84"/>
      <c r="Q39" s="84"/>
      <c r="R39" s="84"/>
      <c r="S39" s="84"/>
      <c r="T39" s="84"/>
      <c r="U39" s="84"/>
      <c r="V39" s="84"/>
      <c r="W39" s="84"/>
      <c r="X39" s="84"/>
      <c r="Y39" s="84"/>
      <c r="Z39" s="84"/>
      <c r="AA39" s="84"/>
      <c r="AB39" s="84"/>
      <c r="AC39" s="84"/>
      <c r="AD39" s="84"/>
      <c r="AE39" s="84"/>
      <c r="AF39" s="84"/>
      <c r="AG39" s="84"/>
      <c r="AH39" s="24"/>
      <c r="AI39" s="24"/>
      <c r="AJ39" s="24"/>
      <c r="AK39" s="24"/>
      <c r="AL39" s="24"/>
      <c r="AM39" s="24"/>
      <c r="AN39" s="24"/>
      <c r="AO39" s="24"/>
      <c r="AP39" s="24"/>
      <c r="AQ39" s="24"/>
      <c r="AR39" s="24"/>
      <c r="AS39" s="24"/>
      <c r="AT39" s="24"/>
      <c r="AU39" s="24"/>
      <c r="AV39" s="24"/>
      <c r="AW39" s="24"/>
      <c r="AX39" s="24"/>
      <c r="AY39" s="24"/>
      <c r="AZ39" s="24"/>
      <c r="BA39" s="24"/>
    </row>
    <row r="40" ht="12.75" customHeight="1">
      <c r="A40" s="24"/>
      <c r="B40" s="24"/>
      <c r="C40" s="24"/>
      <c r="D40" s="24"/>
      <c r="E40" s="24"/>
      <c r="F40" s="24"/>
      <c r="G40" s="24"/>
      <c r="H40" s="24"/>
      <c r="I40" s="24"/>
      <c r="J40" s="24"/>
      <c r="K40" s="24"/>
      <c r="L40" s="24"/>
      <c r="M40" s="24"/>
      <c r="N40" s="24"/>
      <c r="O40" s="24"/>
      <c r="P40" s="24"/>
      <c r="Q40" s="24"/>
      <c r="R40" s="24"/>
      <c r="S40" s="24"/>
      <c r="T40" s="24"/>
      <c r="U40" s="24"/>
      <c r="V40" s="24"/>
      <c r="W40" s="255"/>
      <c r="X40" s="255"/>
      <c r="Y40" s="255"/>
      <c r="Z40" s="255"/>
      <c r="AA40" s="255"/>
      <c r="AB40" s="255"/>
      <c r="AC40" s="255"/>
      <c r="AD40" s="255"/>
      <c r="AE40" s="255"/>
      <c r="AF40" s="255"/>
      <c r="AG40" s="255"/>
      <c r="AH40" s="255"/>
      <c r="AI40" s="24"/>
      <c r="AJ40" s="24"/>
      <c r="AK40" s="24"/>
      <c r="AL40" s="24"/>
      <c r="AM40" s="24"/>
      <c r="AN40" s="24"/>
      <c r="AO40" s="24"/>
      <c r="AP40" s="24"/>
      <c r="AQ40" s="24"/>
      <c r="AR40" s="24"/>
      <c r="AS40" s="24"/>
      <c r="AT40" s="24"/>
      <c r="AU40" s="24"/>
      <c r="AV40" s="24"/>
      <c r="AW40" s="24"/>
      <c r="AX40" s="24"/>
      <c r="AY40" s="24"/>
      <c r="AZ40" s="24"/>
      <c r="BA40" s="24"/>
    </row>
    <row r="41" ht="12.75" customHeight="1">
      <c r="A41" s="30" t="s">
        <v>134</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2"/>
      <c r="AH41" s="24"/>
      <c r="AI41" s="24"/>
      <c r="AJ41" s="24"/>
      <c r="AK41" s="24"/>
      <c r="AL41" s="24"/>
      <c r="AM41" s="24"/>
      <c r="AN41" s="24"/>
      <c r="AO41" s="24"/>
      <c r="AP41" s="24"/>
      <c r="AQ41" s="24"/>
      <c r="AR41" s="24"/>
      <c r="AS41" s="24"/>
      <c r="AT41" s="24"/>
      <c r="AU41" s="24"/>
      <c r="AV41" s="24"/>
      <c r="AW41" s="24"/>
      <c r="AX41" s="24"/>
      <c r="AY41" s="24"/>
      <c r="AZ41" s="24"/>
      <c r="BA41" s="24"/>
    </row>
    <row r="42" ht="12.75" customHeight="1">
      <c r="A42" s="343" t="s">
        <v>37</v>
      </c>
      <c r="B42" s="345"/>
      <c r="C42" s="347">
        <v>2000.0</v>
      </c>
      <c r="D42" s="347">
        <v>2001.0</v>
      </c>
      <c r="E42" s="347">
        <v>2002.0</v>
      </c>
      <c r="F42" s="347">
        <v>2003.0</v>
      </c>
      <c r="G42" s="347">
        <v>2004.0</v>
      </c>
      <c r="H42" s="347">
        <v>2005.0</v>
      </c>
      <c r="I42" s="347">
        <v>2006.0</v>
      </c>
      <c r="J42" s="347">
        <v>2007.0</v>
      </c>
      <c r="K42" s="347">
        <v>2008.0</v>
      </c>
      <c r="L42" s="347">
        <v>2009.0</v>
      </c>
      <c r="M42" s="347">
        <v>2010.0</v>
      </c>
      <c r="N42" s="347">
        <v>2011.0</v>
      </c>
      <c r="O42" s="347">
        <v>2012.0</v>
      </c>
      <c r="P42" s="347">
        <v>2013.0</v>
      </c>
      <c r="Q42" s="347">
        <v>2014.0</v>
      </c>
      <c r="R42" s="347">
        <v>2015.0</v>
      </c>
      <c r="S42" s="347">
        <v>2016.0</v>
      </c>
      <c r="T42" s="347">
        <v>2017.0</v>
      </c>
      <c r="U42" s="347">
        <v>2018.0</v>
      </c>
      <c r="V42" s="347">
        <v>2019.0</v>
      </c>
      <c r="W42" s="347">
        <v>2020.0</v>
      </c>
      <c r="X42" s="347">
        <v>2021.0</v>
      </c>
      <c r="Y42" s="347">
        <v>2022.0</v>
      </c>
      <c r="Z42" s="347">
        <v>2023.0</v>
      </c>
      <c r="AA42" s="347">
        <v>2024.0</v>
      </c>
      <c r="AB42" s="347">
        <v>2025.0</v>
      </c>
      <c r="AC42" s="347">
        <v>2026.0</v>
      </c>
      <c r="AD42" s="347">
        <v>2027.0</v>
      </c>
      <c r="AE42" s="347">
        <v>2028.0</v>
      </c>
      <c r="AF42" s="347">
        <v>2029.0</v>
      </c>
      <c r="AG42" s="348">
        <v>2030.0</v>
      </c>
      <c r="AH42" s="24"/>
      <c r="AI42" s="24"/>
      <c r="AJ42" s="24"/>
      <c r="AK42" s="24"/>
      <c r="AL42" s="24"/>
      <c r="AM42" s="24"/>
      <c r="AN42" s="24"/>
      <c r="AO42" s="24"/>
      <c r="AP42" s="24"/>
      <c r="AQ42" s="24"/>
      <c r="AR42" s="24"/>
      <c r="AS42" s="24"/>
      <c r="AT42" s="24"/>
      <c r="AU42" s="24"/>
      <c r="AV42" s="24"/>
      <c r="AW42" s="24"/>
      <c r="AX42" s="24"/>
      <c r="AY42" s="24"/>
      <c r="AZ42" s="24"/>
      <c r="BA42" s="24"/>
    </row>
    <row r="43" ht="12.75" customHeight="1">
      <c r="A43" s="349" t="s">
        <v>300</v>
      </c>
      <c r="B43" s="350"/>
      <c r="C43" s="352" t="s">
        <v>379</v>
      </c>
      <c r="D43" s="352" t="s">
        <v>379</v>
      </c>
      <c r="E43" s="353" t="s">
        <v>381</v>
      </c>
      <c r="F43" s="353" t="s">
        <v>381</v>
      </c>
      <c r="G43" s="353" t="s">
        <v>381</v>
      </c>
      <c r="H43" s="353" t="s">
        <v>381</v>
      </c>
      <c r="I43" s="353" t="s">
        <v>381</v>
      </c>
      <c r="J43" s="353" t="s">
        <v>381</v>
      </c>
      <c r="K43" s="353" t="s">
        <v>381</v>
      </c>
      <c r="L43" s="353" t="s">
        <v>381</v>
      </c>
      <c r="M43" s="353" t="s">
        <v>381</v>
      </c>
      <c r="N43" s="353" t="s">
        <v>381</v>
      </c>
      <c r="O43" s="353" t="s">
        <v>381</v>
      </c>
      <c r="P43" s="353" t="s">
        <v>381</v>
      </c>
      <c r="Q43" s="353" t="s">
        <v>381</v>
      </c>
      <c r="R43" s="353" t="s">
        <v>381</v>
      </c>
      <c r="S43" s="353" t="s">
        <v>381</v>
      </c>
      <c r="T43" s="353" t="s">
        <v>381</v>
      </c>
      <c r="U43" s="353" t="s">
        <v>381</v>
      </c>
      <c r="V43" s="353"/>
      <c r="W43" s="353"/>
      <c r="X43" s="353"/>
      <c r="Y43" s="353"/>
      <c r="Z43" s="353"/>
      <c r="AA43" s="353"/>
      <c r="AB43" s="353"/>
      <c r="AC43" s="353"/>
      <c r="AD43" s="353"/>
      <c r="AE43" s="353"/>
      <c r="AF43" s="353"/>
      <c r="AG43" s="354"/>
      <c r="AH43" s="24"/>
      <c r="AI43" s="24"/>
      <c r="AJ43" s="24"/>
      <c r="AK43" s="24"/>
      <c r="AL43" s="24"/>
      <c r="AM43" s="24"/>
      <c r="AN43" s="24"/>
      <c r="AO43" s="24"/>
      <c r="AP43" s="24"/>
      <c r="AQ43" s="24"/>
      <c r="AR43" s="24"/>
      <c r="AS43" s="24"/>
      <c r="AT43" s="24"/>
      <c r="AU43" s="24"/>
      <c r="AV43" s="24"/>
      <c r="AW43" s="24"/>
      <c r="AX43" s="24"/>
      <c r="AY43" s="24"/>
      <c r="AZ43" s="24"/>
      <c r="BA43" s="24"/>
    </row>
    <row r="44" ht="12.75" customHeight="1">
      <c r="A44" s="46" t="s">
        <v>382</v>
      </c>
      <c r="B44" s="51" t="s">
        <v>51</v>
      </c>
      <c r="C44" s="356" t="s">
        <v>7</v>
      </c>
      <c r="D44" s="357">
        <f>147168000/325851</f>
        <v>451.6420082</v>
      </c>
      <c r="E44" s="71">
        <f t="shared" ref="E44:AG44" si="10">$D$44*E60/$D$60</f>
        <v>458.995282</v>
      </c>
      <c r="F44" s="71">
        <f t="shared" si="10"/>
        <v>440.5232067</v>
      </c>
      <c r="G44" s="71">
        <f t="shared" si="10"/>
        <v>431.2233316</v>
      </c>
      <c r="H44" s="71">
        <f t="shared" si="10"/>
        <v>429.6557402</v>
      </c>
      <c r="I44" s="71">
        <f t="shared" si="10"/>
        <v>377.9671409</v>
      </c>
      <c r="J44" s="71">
        <f t="shared" si="10"/>
        <v>465.0828876</v>
      </c>
      <c r="K44" s="71">
        <f t="shared" si="10"/>
        <v>452.2297947</v>
      </c>
      <c r="L44" s="71">
        <f t="shared" si="10"/>
        <v>435.7419005</v>
      </c>
      <c r="M44" s="71">
        <f t="shared" si="10"/>
        <v>411.8528744</v>
      </c>
      <c r="N44" s="71">
        <f t="shared" si="10"/>
        <v>294.8451308</v>
      </c>
      <c r="O44" s="71">
        <f t="shared" si="10"/>
        <v>405.3517304</v>
      </c>
      <c r="P44" s="71">
        <f t="shared" si="10"/>
        <v>403.9660959</v>
      </c>
      <c r="Q44" s="71">
        <f t="shared" si="10"/>
        <v>421.1787663</v>
      </c>
      <c r="R44" s="71">
        <f t="shared" si="10"/>
        <v>411.7046429</v>
      </c>
      <c r="S44" s="71">
        <f t="shared" si="10"/>
        <v>330.2457796</v>
      </c>
      <c r="T44" s="71">
        <f t="shared" si="10"/>
        <v>411.9408817</v>
      </c>
      <c r="U44" s="71">
        <f t="shared" si="10"/>
        <v>332.8100385</v>
      </c>
      <c r="V44" s="71">
        <f t="shared" si="10"/>
        <v>0</v>
      </c>
      <c r="W44" s="71">
        <f t="shared" si="10"/>
        <v>0</v>
      </c>
      <c r="X44" s="71">
        <f t="shared" si="10"/>
        <v>0</v>
      </c>
      <c r="Y44" s="71">
        <f t="shared" si="10"/>
        <v>0</v>
      </c>
      <c r="Z44" s="71">
        <f t="shared" si="10"/>
        <v>0</v>
      </c>
      <c r="AA44" s="71">
        <f t="shared" si="10"/>
        <v>0</v>
      </c>
      <c r="AB44" s="71">
        <f t="shared" si="10"/>
        <v>0</v>
      </c>
      <c r="AC44" s="71">
        <f t="shared" si="10"/>
        <v>0</v>
      </c>
      <c r="AD44" s="71">
        <f t="shared" si="10"/>
        <v>0</v>
      </c>
      <c r="AE44" s="71">
        <f t="shared" si="10"/>
        <v>0</v>
      </c>
      <c r="AF44" s="71">
        <f t="shared" si="10"/>
        <v>0</v>
      </c>
      <c r="AG44" s="358">
        <f t="shared" si="10"/>
        <v>0</v>
      </c>
      <c r="AH44" s="24"/>
      <c r="AI44" s="24"/>
      <c r="AJ44" s="24"/>
      <c r="AK44" s="24"/>
      <c r="AL44" s="24"/>
      <c r="AM44" s="24"/>
      <c r="AN44" s="24"/>
      <c r="AO44" s="24"/>
      <c r="AP44" s="24"/>
      <c r="AQ44" s="24"/>
      <c r="AR44" s="24"/>
      <c r="AS44" s="24"/>
      <c r="AT44" s="24"/>
      <c r="AU44" s="24"/>
      <c r="AV44" s="24"/>
      <c r="AW44" s="24"/>
      <c r="AX44" s="24"/>
      <c r="AY44" s="24"/>
      <c r="AZ44" s="24"/>
      <c r="BA44" s="24"/>
    </row>
    <row r="45" ht="12.75" customHeight="1">
      <c r="A45" s="46" t="s">
        <v>386</v>
      </c>
      <c r="B45" s="51" t="s">
        <v>51</v>
      </c>
      <c r="C45" s="356" t="s">
        <v>7</v>
      </c>
      <c r="D45" s="357">
        <f>(416300000-250*60*24*365)/325851</f>
        <v>874.3259956</v>
      </c>
      <c r="E45" s="71">
        <f t="shared" ref="E45:AG45" si="11">$D$45*E61/$D$61</f>
        <v>874.3259956</v>
      </c>
      <c r="F45" s="71">
        <f t="shared" si="11"/>
        <v>874.3259956</v>
      </c>
      <c r="G45" s="71">
        <f t="shared" si="11"/>
        <v>874.3259956</v>
      </c>
      <c r="H45" s="71">
        <f t="shared" si="11"/>
        <v>874.3259956</v>
      </c>
      <c r="I45" s="71">
        <f t="shared" si="11"/>
        <v>874.3259956</v>
      </c>
      <c r="J45" s="71">
        <f t="shared" si="11"/>
        <v>874.3259956</v>
      </c>
      <c r="K45" s="71">
        <f t="shared" si="11"/>
        <v>874.3259956</v>
      </c>
      <c r="L45" s="71">
        <f t="shared" si="11"/>
        <v>874.3259956</v>
      </c>
      <c r="M45" s="71">
        <f t="shared" si="11"/>
        <v>874.3259956</v>
      </c>
      <c r="N45" s="71">
        <f t="shared" si="11"/>
        <v>0</v>
      </c>
      <c r="O45" s="71">
        <f t="shared" si="11"/>
        <v>0</v>
      </c>
      <c r="P45" s="71">
        <f t="shared" si="11"/>
        <v>0</v>
      </c>
      <c r="Q45" s="71">
        <f t="shared" si="11"/>
        <v>0</v>
      </c>
      <c r="R45" s="71">
        <f t="shared" si="11"/>
        <v>0</v>
      </c>
      <c r="S45" s="71">
        <f t="shared" si="11"/>
        <v>0</v>
      </c>
      <c r="T45" s="71">
        <f t="shared" si="11"/>
        <v>0</v>
      </c>
      <c r="U45" s="71">
        <f t="shared" si="11"/>
        <v>0</v>
      </c>
      <c r="V45" s="71">
        <f t="shared" si="11"/>
        <v>0</v>
      </c>
      <c r="W45" s="71">
        <f t="shared" si="11"/>
        <v>0</v>
      </c>
      <c r="X45" s="71">
        <f t="shared" si="11"/>
        <v>0</v>
      </c>
      <c r="Y45" s="71">
        <f t="shared" si="11"/>
        <v>0</v>
      </c>
      <c r="Z45" s="71">
        <f t="shared" si="11"/>
        <v>0</v>
      </c>
      <c r="AA45" s="71">
        <f t="shared" si="11"/>
        <v>0</v>
      </c>
      <c r="AB45" s="71">
        <f t="shared" si="11"/>
        <v>0</v>
      </c>
      <c r="AC45" s="71">
        <f t="shared" si="11"/>
        <v>0</v>
      </c>
      <c r="AD45" s="71">
        <f t="shared" si="11"/>
        <v>0</v>
      </c>
      <c r="AE45" s="71">
        <f t="shared" si="11"/>
        <v>0</v>
      </c>
      <c r="AF45" s="71">
        <f t="shared" si="11"/>
        <v>0</v>
      </c>
      <c r="AG45" s="358">
        <f t="shared" si="11"/>
        <v>0</v>
      </c>
      <c r="AH45" s="24"/>
      <c r="AI45" s="24"/>
      <c r="AJ45" s="24"/>
      <c r="AK45" s="24"/>
      <c r="AL45" s="24"/>
      <c r="AM45" s="24"/>
      <c r="AN45" s="24"/>
      <c r="AO45" s="24"/>
      <c r="AP45" s="24"/>
      <c r="AQ45" s="24"/>
      <c r="AR45" s="24"/>
      <c r="AS45" s="24"/>
      <c r="AT45" s="24"/>
      <c r="AU45" s="24"/>
      <c r="AV45" s="24"/>
      <c r="AW45" s="24"/>
      <c r="AX45" s="24"/>
      <c r="AY45" s="24"/>
      <c r="AZ45" s="24"/>
      <c r="BA45" s="24"/>
    </row>
    <row r="46" ht="12.75" customHeight="1">
      <c r="A46" s="46" t="s">
        <v>390</v>
      </c>
      <c r="B46" s="51" t="s">
        <v>51</v>
      </c>
      <c r="C46" s="356" t="s">
        <v>7</v>
      </c>
      <c r="D46" s="357">
        <f>262800000/325851</f>
        <v>806.503586</v>
      </c>
      <c r="E46" s="71">
        <v>0.0</v>
      </c>
      <c r="F46" s="71">
        <v>0.0</v>
      </c>
      <c r="G46" s="71">
        <v>0.0</v>
      </c>
      <c r="H46" s="71">
        <v>0.0</v>
      </c>
      <c r="I46" s="71">
        <v>0.0</v>
      </c>
      <c r="J46" s="71">
        <v>0.0</v>
      </c>
      <c r="K46" s="71">
        <v>0.0</v>
      </c>
      <c r="L46" s="71">
        <v>0.0</v>
      </c>
      <c r="M46" s="71">
        <v>0.0</v>
      </c>
      <c r="N46" s="71">
        <v>0.0</v>
      </c>
      <c r="O46" s="71">
        <v>0.0</v>
      </c>
      <c r="P46" s="71">
        <v>0.0</v>
      </c>
      <c r="Q46" s="71">
        <v>0.0</v>
      </c>
      <c r="R46" s="71">
        <v>0.0</v>
      </c>
      <c r="S46" s="71">
        <v>0.0</v>
      </c>
      <c r="T46" s="71">
        <v>0.0</v>
      </c>
      <c r="U46" s="71">
        <v>0.0</v>
      </c>
      <c r="V46" s="71">
        <v>0.0</v>
      </c>
      <c r="W46" s="71">
        <v>0.0</v>
      </c>
      <c r="X46" s="71">
        <v>0.0</v>
      </c>
      <c r="Y46" s="71">
        <v>0.0</v>
      </c>
      <c r="Z46" s="71">
        <v>0.0</v>
      </c>
      <c r="AA46" s="71">
        <v>0.0</v>
      </c>
      <c r="AB46" s="71">
        <v>0.0</v>
      </c>
      <c r="AC46" s="71">
        <v>0.0</v>
      </c>
      <c r="AD46" s="71">
        <v>0.0</v>
      </c>
      <c r="AE46" s="71">
        <v>0.0</v>
      </c>
      <c r="AF46" s="71">
        <v>0.0</v>
      </c>
      <c r="AG46" s="358">
        <v>0.0</v>
      </c>
      <c r="AH46" s="24"/>
      <c r="AI46" s="24"/>
      <c r="AJ46" s="24"/>
      <c r="AK46" s="24"/>
      <c r="AL46" s="24"/>
      <c r="AM46" s="24"/>
      <c r="AN46" s="24"/>
      <c r="AO46" s="24"/>
      <c r="AP46" s="24"/>
      <c r="AQ46" s="24"/>
      <c r="AR46" s="24"/>
      <c r="AS46" s="24"/>
      <c r="AT46" s="24"/>
      <c r="AU46" s="24"/>
      <c r="AV46" s="24"/>
      <c r="AW46" s="24"/>
      <c r="AX46" s="24"/>
      <c r="AY46" s="24"/>
      <c r="AZ46" s="24"/>
      <c r="BA46" s="24"/>
    </row>
    <row r="47" ht="12.75" customHeight="1">
      <c r="A47" s="46" t="s">
        <v>392</v>
      </c>
      <c r="B47" s="51" t="s">
        <v>51</v>
      </c>
      <c r="C47" s="359">
        <f>234393000/325851</f>
        <v>719.3257041</v>
      </c>
      <c r="D47" s="360">
        <f t="shared" ref="D47:AG47" si="12">$C$47*D63/$C$63</f>
        <v>809.3263943</v>
      </c>
      <c r="E47" s="360">
        <f t="shared" si="12"/>
        <v>779.4494029</v>
      </c>
      <c r="F47" s="360">
        <f t="shared" si="12"/>
        <v>749.4667784</v>
      </c>
      <c r="G47" s="360">
        <f t="shared" si="12"/>
        <v>864.3610657</v>
      </c>
      <c r="H47" s="360">
        <f t="shared" si="12"/>
        <v>1048.269581</v>
      </c>
      <c r="I47" s="360">
        <f t="shared" si="12"/>
        <v>1108.912015</v>
      </c>
      <c r="J47" s="360">
        <f t="shared" si="12"/>
        <v>1031.632295</v>
      </c>
      <c r="K47" s="360">
        <f t="shared" si="12"/>
        <v>1060.217991</v>
      </c>
      <c r="L47" s="360">
        <f t="shared" si="12"/>
        <v>970.3871686</v>
      </c>
      <c r="M47" s="360">
        <f t="shared" si="12"/>
        <v>1391.034781</v>
      </c>
      <c r="N47" s="360">
        <f t="shared" si="12"/>
        <v>1256.183614</v>
      </c>
      <c r="O47" s="360">
        <f t="shared" si="12"/>
        <v>1114.054469</v>
      </c>
      <c r="P47" s="360">
        <f t="shared" si="12"/>
        <v>1205.073707</v>
      </c>
      <c r="Q47" s="360">
        <f t="shared" si="12"/>
        <v>1209.011122</v>
      </c>
      <c r="R47" s="360">
        <f t="shared" si="12"/>
        <v>1190.266547</v>
      </c>
      <c r="S47" s="360">
        <f t="shared" si="12"/>
        <v>812.5326593</v>
      </c>
      <c r="T47" s="360">
        <f t="shared" si="12"/>
        <v>843.9328103</v>
      </c>
      <c r="U47" s="360">
        <f t="shared" si="12"/>
        <v>851.3680768</v>
      </c>
      <c r="V47" s="360">
        <f t="shared" si="12"/>
        <v>0</v>
      </c>
      <c r="W47" s="360">
        <f t="shared" si="12"/>
        <v>0</v>
      </c>
      <c r="X47" s="360">
        <f t="shared" si="12"/>
        <v>0</v>
      </c>
      <c r="Y47" s="360">
        <f t="shared" si="12"/>
        <v>0</v>
      </c>
      <c r="Z47" s="360">
        <f t="shared" si="12"/>
        <v>0</v>
      </c>
      <c r="AA47" s="360">
        <f t="shared" si="12"/>
        <v>0</v>
      </c>
      <c r="AB47" s="360">
        <f t="shared" si="12"/>
        <v>0</v>
      </c>
      <c r="AC47" s="360">
        <f t="shared" si="12"/>
        <v>0</v>
      </c>
      <c r="AD47" s="360">
        <f t="shared" si="12"/>
        <v>0</v>
      </c>
      <c r="AE47" s="360">
        <f t="shared" si="12"/>
        <v>0</v>
      </c>
      <c r="AF47" s="360">
        <f t="shared" si="12"/>
        <v>0</v>
      </c>
      <c r="AG47" s="361">
        <f t="shared" si="12"/>
        <v>0</v>
      </c>
      <c r="AH47" s="24"/>
      <c r="AI47" s="24"/>
      <c r="AJ47" s="24"/>
      <c r="AK47" s="24"/>
      <c r="AL47" s="24"/>
      <c r="AM47" s="24"/>
      <c r="AN47" s="24"/>
      <c r="AO47" s="24"/>
      <c r="AP47" s="24"/>
      <c r="AQ47" s="24"/>
      <c r="AR47" s="24"/>
      <c r="AS47" s="24"/>
      <c r="AT47" s="24"/>
      <c r="AU47" s="24"/>
      <c r="AV47" s="24"/>
      <c r="AW47" s="24"/>
      <c r="AX47" s="24"/>
      <c r="AY47" s="24"/>
      <c r="AZ47" s="24"/>
      <c r="BA47" s="24"/>
    </row>
    <row r="48" ht="12.75" customHeight="1">
      <c r="A48" s="46" t="s">
        <v>397</v>
      </c>
      <c r="B48" s="51" t="s">
        <v>51</v>
      </c>
      <c r="C48" s="359">
        <f>19815000/325851</f>
        <v>60.81000212</v>
      </c>
      <c r="D48" s="360">
        <f t="shared" ref="D48:AG48" si="13">$C$48*D64/$C$64</f>
        <v>64.91032516</v>
      </c>
      <c r="E48" s="360">
        <f t="shared" si="13"/>
        <v>70.96813039</v>
      </c>
      <c r="F48" s="360">
        <f t="shared" si="13"/>
        <v>78.18067082</v>
      </c>
      <c r="G48" s="360">
        <f t="shared" si="13"/>
        <v>78.57717739</v>
      </c>
      <c r="H48" s="360">
        <f t="shared" si="13"/>
        <v>79.2933072</v>
      </c>
      <c r="I48" s="360">
        <f t="shared" si="13"/>
        <v>89.68609074</v>
      </c>
      <c r="J48" s="360">
        <f t="shared" si="13"/>
        <v>91.26222172</v>
      </c>
      <c r="K48" s="360">
        <f t="shared" si="13"/>
        <v>94.71104429</v>
      </c>
      <c r="L48" s="360">
        <f t="shared" si="13"/>
        <v>89.94083845</v>
      </c>
      <c r="M48" s="360">
        <f t="shared" si="13"/>
        <v>95.057108</v>
      </c>
      <c r="N48" s="360">
        <f t="shared" si="13"/>
        <v>98.10679</v>
      </c>
      <c r="O48" s="360">
        <f t="shared" si="13"/>
        <v>90.84298607</v>
      </c>
      <c r="P48" s="360">
        <f t="shared" si="13"/>
        <v>83.00173248</v>
      </c>
      <c r="Q48" s="360">
        <f t="shared" si="13"/>
        <v>89.07105579</v>
      </c>
      <c r="R48" s="360">
        <f t="shared" si="13"/>
        <v>93.1321602</v>
      </c>
      <c r="S48" s="360">
        <f t="shared" si="13"/>
        <v>78.86943891</v>
      </c>
      <c r="T48" s="360">
        <f t="shared" si="13"/>
        <v>75.45517321</v>
      </c>
      <c r="U48" s="360">
        <f t="shared" si="13"/>
        <v>61.29844415</v>
      </c>
      <c r="V48" s="360">
        <f t="shared" si="13"/>
        <v>0</v>
      </c>
      <c r="W48" s="360">
        <f t="shared" si="13"/>
        <v>0</v>
      </c>
      <c r="X48" s="360">
        <f t="shared" si="13"/>
        <v>0</v>
      </c>
      <c r="Y48" s="360">
        <f t="shared" si="13"/>
        <v>0</v>
      </c>
      <c r="Z48" s="360">
        <f t="shared" si="13"/>
        <v>0</v>
      </c>
      <c r="AA48" s="360">
        <f t="shared" si="13"/>
        <v>0</v>
      </c>
      <c r="AB48" s="360">
        <f t="shared" si="13"/>
        <v>0</v>
      </c>
      <c r="AC48" s="360">
        <f t="shared" si="13"/>
        <v>0</v>
      </c>
      <c r="AD48" s="360">
        <f t="shared" si="13"/>
        <v>0</v>
      </c>
      <c r="AE48" s="360">
        <f t="shared" si="13"/>
        <v>0</v>
      </c>
      <c r="AF48" s="360">
        <f t="shared" si="13"/>
        <v>0</v>
      </c>
      <c r="AG48" s="361">
        <f t="shared" si="13"/>
        <v>0</v>
      </c>
      <c r="AH48" s="24"/>
      <c r="AI48" s="24"/>
      <c r="AJ48" s="24"/>
      <c r="AK48" s="24"/>
      <c r="AL48" s="24"/>
      <c r="AM48" s="24"/>
      <c r="AN48" s="24"/>
      <c r="AO48" s="24"/>
      <c r="AP48" s="24"/>
      <c r="AQ48" s="24"/>
      <c r="AR48" s="24"/>
      <c r="AS48" s="24"/>
      <c r="AT48" s="24"/>
      <c r="AU48" s="24"/>
      <c r="AV48" s="24"/>
      <c r="AW48" s="24"/>
      <c r="AX48" s="24"/>
      <c r="AY48" s="24"/>
      <c r="AZ48" s="24"/>
      <c r="BA48" s="24"/>
    </row>
    <row r="49" ht="12.75" customHeight="1">
      <c r="A49" s="46" t="s">
        <v>400</v>
      </c>
      <c r="B49" s="51" t="s">
        <v>51</v>
      </c>
      <c r="C49" s="359">
        <f>101640000/325851</f>
        <v>311.9217065</v>
      </c>
      <c r="D49" s="360">
        <f t="shared" ref="D49:AG49" si="14">$C$49*D65/$C$65</f>
        <v>349.4858433</v>
      </c>
      <c r="E49" s="360">
        <f t="shared" si="14"/>
        <v>308.5275178</v>
      </c>
      <c r="F49" s="360">
        <f t="shared" si="14"/>
        <v>290.8482529</v>
      </c>
      <c r="G49" s="360">
        <f t="shared" si="14"/>
        <v>312.2882115</v>
      </c>
      <c r="H49" s="360">
        <f t="shared" si="14"/>
        <v>304.9786263</v>
      </c>
      <c r="I49" s="360">
        <f t="shared" si="14"/>
        <v>320.3804503</v>
      </c>
      <c r="J49" s="360">
        <f t="shared" si="14"/>
        <v>326.1839718</v>
      </c>
      <c r="K49" s="360">
        <f t="shared" si="14"/>
        <v>322.6829993</v>
      </c>
      <c r="L49" s="360">
        <f t="shared" si="14"/>
        <v>317.425068</v>
      </c>
      <c r="M49" s="360">
        <f t="shared" si="14"/>
        <v>310.3226343</v>
      </c>
      <c r="N49" s="360">
        <f t="shared" si="14"/>
        <v>318.026581</v>
      </c>
      <c r="O49" s="360">
        <f t="shared" si="14"/>
        <v>316.0046054</v>
      </c>
      <c r="P49" s="360">
        <f t="shared" si="14"/>
        <v>295.5773273</v>
      </c>
      <c r="Q49" s="360">
        <f t="shared" si="14"/>
        <v>280.5741691</v>
      </c>
      <c r="R49" s="360">
        <f t="shared" si="14"/>
        <v>184.3565469</v>
      </c>
      <c r="S49" s="360">
        <f t="shared" si="14"/>
        <v>147.7630397</v>
      </c>
      <c r="T49" s="360">
        <f t="shared" si="14"/>
        <v>132.1382015</v>
      </c>
      <c r="U49" s="360">
        <f t="shared" si="14"/>
        <v>101.636511</v>
      </c>
      <c r="V49" s="360">
        <f t="shared" si="14"/>
        <v>0</v>
      </c>
      <c r="W49" s="360">
        <f t="shared" si="14"/>
        <v>0</v>
      </c>
      <c r="X49" s="360">
        <f t="shared" si="14"/>
        <v>0</v>
      </c>
      <c r="Y49" s="360">
        <f t="shared" si="14"/>
        <v>0</v>
      </c>
      <c r="Z49" s="360">
        <f t="shared" si="14"/>
        <v>0</v>
      </c>
      <c r="AA49" s="360">
        <f t="shared" si="14"/>
        <v>0</v>
      </c>
      <c r="AB49" s="360">
        <f t="shared" si="14"/>
        <v>0</v>
      </c>
      <c r="AC49" s="360">
        <f t="shared" si="14"/>
        <v>0</v>
      </c>
      <c r="AD49" s="360">
        <f t="shared" si="14"/>
        <v>0</v>
      </c>
      <c r="AE49" s="360">
        <f t="shared" si="14"/>
        <v>0</v>
      </c>
      <c r="AF49" s="360">
        <f t="shared" si="14"/>
        <v>0</v>
      </c>
      <c r="AG49" s="361">
        <f t="shared" si="14"/>
        <v>0</v>
      </c>
      <c r="AH49" s="24"/>
      <c r="AI49" s="24"/>
      <c r="AJ49" s="24"/>
      <c r="AK49" s="24"/>
      <c r="AL49" s="24"/>
      <c r="AM49" s="24"/>
      <c r="AN49" s="24"/>
      <c r="AO49" s="24"/>
      <c r="AP49" s="24"/>
      <c r="AQ49" s="24"/>
      <c r="AR49" s="24"/>
      <c r="AS49" s="24"/>
      <c r="AT49" s="24"/>
      <c r="AU49" s="24"/>
      <c r="AV49" s="24"/>
      <c r="AW49" s="24"/>
      <c r="AX49" s="24"/>
      <c r="AY49" s="24"/>
      <c r="AZ49" s="24"/>
      <c r="BA49" s="24"/>
    </row>
    <row r="50" ht="12.75" customHeight="1">
      <c r="A50" s="46" t="s">
        <v>404</v>
      </c>
      <c r="B50" s="51" t="s">
        <v>51</v>
      </c>
      <c r="C50" s="359">
        <f>245784000/325851</f>
        <v>754.2833995</v>
      </c>
      <c r="D50" s="360">
        <f t="shared" ref="D50:AG50" si="15">$C$50*D66/$C$66</f>
        <v>781.6846206</v>
      </c>
      <c r="E50" s="360">
        <f t="shared" si="15"/>
        <v>845.449617</v>
      </c>
      <c r="F50" s="360">
        <f t="shared" si="15"/>
        <v>945.7171639</v>
      </c>
      <c r="G50" s="360">
        <f t="shared" si="15"/>
        <v>1027.191032</v>
      </c>
      <c r="H50" s="360">
        <f t="shared" si="15"/>
        <v>993.3238754</v>
      </c>
      <c r="I50" s="360">
        <f t="shared" si="15"/>
        <v>1065.870496</v>
      </c>
      <c r="J50" s="360">
        <f t="shared" si="15"/>
        <v>1015.273673</v>
      </c>
      <c r="K50" s="360">
        <f t="shared" si="15"/>
        <v>1123.036031</v>
      </c>
      <c r="L50" s="360">
        <f t="shared" si="15"/>
        <v>773.3213463</v>
      </c>
      <c r="M50" s="360">
        <f t="shared" si="15"/>
        <v>0</v>
      </c>
      <c r="N50" s="360">
        <f t="shared" si="15"/>
        <v>0</v>
      </c>
      <c r="O50" s="360">
        <f t="shared" si="15"/>
        <v>0</v>
      </c>
      <c r="P50" s="360">
        <f t="shared" si="15"/>
        <v>0</v>
      </c>
      <c r="Q50" s="360">
        <f t="shared" si="15"/>
        <v>0</v>
      </c>
      <c r="R50" s="360">
        <f t="shared" si="15"/>
        <v>0</v>
      </c>
      <c r="S50" s="360">
        <f t="shared" si="15"/>
        <v>0</v>
      </c>
      <c r="T50" s="360">
        <f t="shared" si="15"/>
        <v>0</v>
      </c>
      <c r="U50" s="360">
        <f t="shared" si="15"/>
        <v>0</v>
      </c>
      <c r="V50" s="360">
        <f t="shared" si="15"/>
        <v>0</v>
      </c>
      <c r="W50" s="360">
        <f t="shared" si="15"/>
        <v>0</v>
      </c>
      <c r="X50" s="360">
        <f t="shared" si="15"/>
        <v>0</v>
      </c>
      <c r="Y50" s="360">
        <f t="shared" si="15"/>
        <v>0</v>
      </c>
      <c r="Z50" s="360">
        <f t="shared" si="15"/>
        <v>0</v>
      </c>
      <c r="AA50" s="360">
        <f t="shared" si="15"/>
        <v>0</v>
      </c>
      <c r="AB50" s="360">
        <f t="shared" si="15"/>
        <v>0</v>
      </c>
      <c r="AC50" s="360">
        <f t="shared" si="15"/>
        <v>0</v>
      </c>
      <c r="AD50" s="360">
        <f t="shared" si="15"/>
        <v>0</v>
      </c>
      <c r="AE50" s="360">
        <f t="shared" si="15"/>
        <v>0</v>
      </c>
      <c r="AF50" s="360">
        <f t="shared" si="15"/>
        <v>0</v>
      </c>
      <c r="AG50" s="361">
        <f t="shared" si="15"/>
        <v>0</v>
      </c>
      <c r="AH50" s="24"/>
      <c r="AI50" s="24"/>
      <c r="AJ50" s="24"/>
      <c r="AK50" s="24"/>
      <c r="AL50" s="24"/>
      <c r="AM50" s="24"/>
      <c r="AN50" s="24"/>
      <c r="AO50" s="24"/>
      <c r="AP50" s="24"/>
      <c r="AQ50" s="24"/>
      <c r="AR50" s="24"/>
      <c r="AS50" s="24"/>
      <c r="AT50" s="24"/>
      <c r="AU50" s="24"/>
      <c r="AV50" s="24"/>
      <c r="AW50" s="24"/>
      <c r="AX50" s="24"/>
      <c r="AY50" s="24"/>
      <c r="AZ50" s="24"/>
      <c r="BA50" s="24"/>
    </row>
    <row r="51" ht="12.75" customHeight="1">
      <c r="A51" s="46" t="s">
        <v>405</v>
      </c>
      <c r="B51" s="51" t="s">
        <v>51</v>
      </c>
      <c r="C51" s="359">
        <f>(165092700+39151500)/325851</f>
        <v>626.8024342</v>
      </c>
      <c r="D51" s="360">
        <f t="shared" ref="D51:AG51" si="16">$C$51*D67/$C$67</f>
        <v>663.5395543</v>
      </c>
      <c r="E51" s="360">
        <f t="shared" si="16"/>
        <v>635.9188624</v>
      </c>
      <c r="F51" s="360">
        <f t="shared" si="16"/>
        <v>556.9516775</v>
      </c>
      <c r="G51" s="360">
        <f t="shared" si="16"/>
        <v>648.4819661</v>
      </c>
      <c r="H51" s="360">
        <f t="shared" si="16"/>
        <v>747.6942619</v>
      </c>
      <c r="I51" s="360">
        <f t="shared" si="16"/>
        <v>802.6316439</v>
      </c>
      <c r="J51" s="360">
        <f t="shared" si="16"/>
        <v>763.3690123</v>
      </c>
      <c r="K51" s="360">
        <f t="shared" si="16"/>
        <v>764.1767695</v>
      </c>
      <c r="L51" s="360">
        <f t="shared" si="16"/>
        <v>569.4210633</v>
      </c>
      <c r="M51" s="360">
        <f t="shared" si="16"/>
        <v>575.485597</v>
      </c>
      <c r="N51" s="360">
        <f t="shared" si="16"/>
        <v>591.0964076</v>
      </c>
      <c r="O51" s="360">
        <f t="shared" si="16"/>
        <v>412.417359</v>
      </c>
      <c r="P51" s="360">
        <f t="shared" si="16"/>
        <v>219.8860522</v>
      </c>
      <c r="Q51" s="360">
        <f t="shared" si="16"/>
        <v>195.688233</v>
      </c>
      <c r="R51" s="360">
        <f t="shared" si="16"/>
        <v>279.2207826</v>
      </c>
      <c r="S51" s="360">
        <f t="shared" si="16"/>
        <v>274.800464</v>
      </c>
      <c r="T51" s="360">
        <f t="shared" si="16"/>
        <v>272.4591558</v>
      </c>
      <c r="U51" s="360">
        <f t="shared" si="16"/>
        <v>277.5409856</v>
      </c>
      <c r="V51" s="360">
        <f t="shared" si="16"/>
        <v>0</v>
      </c>
      <c r="W51" s="360">
        <f t="shared" si="16"/>
        <v>0</v>
      </c>
      <c r="X51" s="360">
        <f t="shared" si="16"/>
        <v>0</v>
      </c>
      <c r="Y51" s="360">
        <f t="shared" si="16"/>
        <v>0</v>
      </c>
      <c r="Z51" s="360">
        <f t="shared" si="16"/>
        <v>0</v>
      </c>
      <c r="AA51" s="360">
        <f t="shared" si="16"/>
        <v>0</v>
      </c>
      <c r="AB51" s="360">
        <f t="shared" si="16"/>
        <v>0</v>
      </c>
      <c r="AC51" s="360">
        <f t="shared" si="16"/>
        <v>0</v>
      </c>
      <c r="AD51" s="360">
        <f t="shared" si="16"/>
        <v>0</v>
      </c>
      <c r="AE51" s="360">
        <f t="shared" si="16"/>
        <v>0</v>
      </c>
      <c r="AF51" s="360">
        <f t="shared" si="16"/>
        <v>0</v>
      </c>
      <c r="AG51" s="361">
        <f t="shared" si="16"/>
        <v>0</v>
      </c>
      <c r="AH51" s="24"/>
      <c r="AI51" s="24"/>
      <c r="AJ51" s="24"/>
      <c r="AK51" s="24"/>
      <c r="AL51" s="24"/>
      <c r="AM51" s="24"/>
      <c r="AN51" s="24"/>
      <c r="AO51" s="24"/>
      <c r="AP51" s="24"/>
      <c r="AQ51" s="24"/>
      <c r="AR51" s="24"/>
      <c r="AS51" s="24"/>
      <c r="AT51" s="24"/>
      <c r="AU51" s="24"/>
      <c r="AV51" s="24"/>
      <c r="AW51" s="24"/>
      <c r="AX51" s="24"/>
      <c r="AY51" s="24"/>
      <c r="AZ51" s="24"/>
      <c r="BA51" s="24"/>
    </row>
    <row r="52" ht="12.75" customHeight="1">
      <c r="A52" s="46" t="s">
        <v>297</v>
      </c>
      <c r="B52" s="51" t="s">
        <v>51</v>
      </c>
      <c r="C52" s="357">
        <f>42*(80495794-78874832)/325851</f>
        <v>208.9310881</v>
      </c>
      <c r="D52" s="360">
        <f t="shared" ref="D52:AG52" si="17">$C$52*D68/$C$68</f>
        <v>188.3157872</v>
      </c>
      <c r="E52" s="360">
        <f t="shared" si="17"/>
        <v>175.657133</v>
      </c>
      <c r="F52" s="360">
        <f t="shared" si="17"/>
        <v>164.6181827</v>
      </c>
      <c r="G52" s="360">
        <f t="shared" si="17"/>
        <v>156.4622955</v>
      </c>
      <c r="H52" s="360">
        <f t="shared" si="17"/>
        <v>156.6885518</v>
      </c>
      <c r="I52" s="360">
        <f t="shared" si="17"/>
        <v>159.3570656</v>
      </c>
      <c r="J52" s="360">
        <f t="shared" si="17"/>
        <v>156.4238385</v>
      </c>
      <c r="K52" s="360">
        <f t="shared" si="17"/>
        <v>151.3005799</v>
      </c>
      <c r="L52" s="360">
        <f t="shared" si="17"/>
        <v>148.3997805</v>
      </c>
      <c r="M52" s="360">
        <f t="shared" si="17"/>
        <v>162.8091186</v>
      </c>
      <c r="N52" s="360">
        <f t="shared" si="17"/>
        <v>176.6197407</v>
      </c>
      <c r="O52" s="360">
        <f t="shared" si="17"/>
        <v>200.9116786</v>
      </c>
      <c r="P52" s="360">
        <f t="shared" si="17"/>
        <v>262.3551985</v>
      </c>
      <c r="Q52" s="360">
        <f t="shared" si="17"/>
        <v>357.1673579</v>
      </c>
      <c r="R52" s="360">
        <f t="shared" si="17"/>
        <v>432.7345503</v>
      </c>
      <c r="S52" s="360">
        <f t="shared" si="17"/>
        <v>331.9890659</v>
      </c>
      <c r="T52" s="360">
        <f t="shared" si="17"/>
        <v>339.470704</v>
      </c>
      <c r="U52" s="360">
        <f t="shared" si="17"/>
        <v>399.6520138</v>
      </c>
      <c r="V52" s="360">
        <f t="shared" si="17"/>
        <v>0</v>
      </c>
      <c r="W52" s="360">
        <f t="shared" si="17"/>
        <v>0</v>
      </c>
      <c r="X52" s="360">
        <f t="shared" si="17"/>
        <v>0</v>
      </c>
      <c r="Y52" s="360">
        <f t="shared" si="17"/>
        <v>0</v>
      </c>
      <c r="Z52" s="360">
        <f t="shared" si="17"/>
        <v>0</v>
      </c>
      <c r="AA52" s="360">
        <f t="shared" si="17"/>
        <v>0</v>
      </c>
      <c r="AB52" s="360">
        <f t="shared" si="17"/>
        <v>0</v>
      </c>
      <c r="AC52" s="360">
        <f t="shared" si="17"/>
        <v>0</v>
      </c>
      <c r="AD52" s="360">
        <f t="shared" si="17"/>
        <v>0</v>
      </c>
      <c r="AE52" s="360">
        <f t="shared" si="17"/>
        <v>0</v>
      </c>
      <c r="AF52" s="360">
        <f t="shared" si="17"/>
        <v>0</v>
      </c>
      <c r="AG52" s="361">
        <f t="shared" si="17"/>
        <v>0</v>
      </c>
      <c r="AH52" s="24"/>
      <c r="AI52" s="24"/>
      <c r="AJ52" s="24"/>
      <c r="AK52" s="24"/>
      <c r="AL52" s="24"/>
      <c r="AM52" s="24"/>
      <c r="AN52" s="24"/>
      <c r="AO52" s="24"/>
      <c r="AP52" s="24"/>
      <c r="AQ52" s="24"/>
      <c r="AR52" s="24"/>
      <c r="AS52" s="24"/>
      <c r="AT52" s="24"/>
      <c r="AU52" s="24"/>
      <c r="AV52" s="24"/>
      <c r="AW52" s="24"/>
      <c r="AX52" s="24"/>
      <c r="AY52" s="24"/>
      <c r="AZ52" s="24"/>
      <c r="BA52" s="24"/>
    </row>
    <row r="53" ht="12.75" customHeight="1">
      <c r="A53" s="46" t="s">
        <v>298</v>
      </c>
      <c r="B53" s="51" t="s">
        <v>51</v>
      </c>
      <c r="C53" s="360">
        <f>$D$53*C69/$D$69</f>
        <v>30515.37094</v>
      </c>
      <c r="D53" s="357">
        <v>35600.0</v>
      </c>
      <c r="E53" s="360">
        <f t="shared" ref="E53:AG53" si="18">$D$53*E69/$D$69</f>
        <v>31750.24508</v>
      </c>
      <c r="F53" s="360">
        <f t="shared" si="18"/>
        <v>29742.54793</v>
      </c>
      <c r="G53" s="360">
        <f t="shared" si="18"/>
        <v>25142.64268</v>
      </c>
      <c r="H53" s="360">
        <f t="shared" si="18"/>
        <v>18772.57621</v>
      </c>
      <c r="I53" s="360">
        <f t="shared" si="18"/>
        <v>18375.90232</v>
      </c>
      <c r="J53" s="360">
        <f t="shared" si="18"/>
        <v>11973.36401</v>
      </c>
      <c r="K53" s="360">
        <f t="shared" si="18"/>
        <v>9411.680157</v>
      </c>
      <c r="L53" s="360">
        <f t="shared" si="18"/>
        <v>6011.193298</v>
      </c>
      <c r="M53" s="360">
        <f t="shared" si="18"/>
        <v>4153.442296</v>
      </c>
      <c r="N53" s="360">
        <f t="shared" si="18"/>
        <v>3130.696202</v>
      </c>
      <c r="O53" s="360">
        <f t="shared" si="18"/>
        <v>1929.862704</v>
      </c>
      <c r="P53" s="360">
        <f t="shared" si="18"/>
        <v>1198.241746</v>
      </c>
      <c r="Q53" s="360">
        <f t="shared" si="18"/>
        <v>736.060565</v>
      </c>
      <c r="R53" s="360">
        <f t="shared" si="18"/>
        <v>492.0001627</v>
      </c>
      <c r="S53" s="360">
        <f t="shared" si="18"/>
        <v>236.7642529</v>
      </c>
      <c r="T53" s="360">
        <f t="shared" si="18"/>
        <v>215.2776384</v>
      </c>
      <c r="U53" s="360">
        <f t="shared" si="18"/>
        <v>48.27337259</v>
      </c>
      <c r="V53" s="360">
        <f t="shared" si="18"/>
        <v>0</v>
      </c>
      <c r="W53" s="360">
        <f t="shared" si="18"/>
        <v>0</v>
      </c>
      <c r="X53" s="360">
        <f t="shared" si="18"/>
        <v>0</v>
      </c>
      <c r="Y53" s="360">
        <f t="shared" si="18"/>
        <v>0</v>
      </c>
      <c r="Z53" s="360">
        <f t="shared" si="18"/>
        <v>0</v>
      </c>
      <c r="AA53" s="360">
        <f t="shared" si="18"/>
        <v>0</v>
      </c>
      <c r="AB53" s="360">
        <f t="shared" si="18"/>
        <v>0</v>
      </c>
      <c r="AC53" s="360">
        <f t="shared" si="18"/>
        <v>0</v>
      </c>
      <c r="AD53" s="360">
        <f t="shared" si="18"/>
        <v>0</v>
      </c>
      <c r="AE53" s="360">
        <f t="shared" si="18"/>
        <v>0</v>
      </c>
      <c r="AF53" s="360">
        <f t="shared" si="18"/>
        <v>0</v>
      </c>
      <c r="AG53" s="361">
        <f t="shared" si="18"/>
        <v>0</v>
      </c>
      <c r="AH53" s="24"/>
      <c r="AI53" s="24"/>
      <c r="AJ53" s="24"/>
      <c r="AK53" s="24"/>
      <c r="AL53" s="24"/>
      <c r="AM53" s="24"/>
      <c r="AN53" s="24"/>
      <c r="AO53" s="24"/>
      <c r="AP53" s="24"/>
      <c r="AQ53" s="24"/>
      <c r="AR53" s="24"/>
      <c r="AS53" s="24"/>
      <c r="AT53" s="24"/>
      <c r="AU53" s="24"/>
      <c r="AV53" s="24"/>
      <c r="AW53" s="24"/>
      <c r="AX53" s="24"/>
      <c r="AY53" s="24"/>
      <c r="AZ53" s="24"/>
      <c r="BA53" s="24"/>
    </row>
    <row r="54" ht="12.75" customHeight="1">
      <c r="A54" s="46" t="s">
        <v>397</v>
      </c>
      <c r="B54" s="51" t="s">
        <v>52</v>
      </c>
      <c r="C54" s="357">
        <f>39630000/325851</f>
        <v>121.6200042</v>
      </c>
      <c r="D54" s="360">
        <f t="shared" ref="D54:AG54" si="19">$C$54*D64/$C$64</f>
        <v>129.8206503</v>
      </c>
      <c r="E54" s="360">
        <f t="shared" si="19"/>
        <v>141.9362608</v>
      </c>
      <c r="F54" s="360">
        <f t="shared" si="19"/>
        <v>156.3613416</v>
      </c>
      <c r="G54" s="360">
        <f t="shared" si="19"/>
        <v>157.1543548</v>
      </c>
      <c r="H54" s="360">
        <f t="shared" si="19"/>
        <v>158.5866144</v>
      </c>
      <c r="I54" s="360">
        <f t="shared" si="19"/>
        <v>179.3721815</v>
      </c>
      <c r="J54" s="360">
        <f t="shared" si="19"/>
        <v>182.5244434</v>
      </c>
      <c r="K54" s="360">
        <f t="shared" si="19"/>
        <v>189.4220886</v>
      </c>
      <c r="L54" s="360">
        <f t="shared" si="19"/>
        <v>179.8816769</v>
      </c>
      <c r="M54" s="360">
        <f t="shared" si="19"/>
        <v>190.114216</v>
      </c>
      <c r="N54" s="360">
        <f t="shared" si="19"/>
        <v>196.21358</v>
      </c>
      <c r="O54" s="360">
        <f t="shared" si="19"/>
        <v>181.6859721</v>
      </c>
      <c r="P54" s="360">
        <f t="shared" si="19"/>
        <v>166.003465</v>
      </c>
      <c r="Q54" s="360">
        <f t="shared" si="19"/>
        <v>178.1421116</v>
      </c>
      <c r="R54" s="360">
        <f t="shared" si="19"/>
        <v>186.2643204</v>
      </c>
      <c r="S54" s="360">
        <f t="shared" si="19"/>
        <v>157.7388778</v>
      </c>
      <c r="T54" s="360">
        <f t="shared" si="19"/>
        <v>150.9103464</v>
      </c>
      <c r="U54" s="360">
        <f t="shared" si="19"/>
        <v>122.5968883</v>
      </c>
      <c r="V54" s="360">
        <f t="shared" si="19"/>
        <v>0</v>
      </c>
      <c r="W54" s="360">
        <f t="shared" si="19"/>
        <v>0</v>
      </c>
      <c r="X54" s="360">
        <f t="shared" si="19"/>
        <v>0</v>
      </c>
      <c r="Y54" s="360">
        <f t="shared" si="19"/>
        <v>0</v>
      </c>
      <c r="Z54" s="360">
        <f t="shared" si="19"/>
        <v>0</v>
      </c>
      <c r="AA54" s="360">
        <f t="shared" si="19"/>
        <v>0</v>
      </c>
      <c r="AB54" s="360">
        <f t="shared" si="19"/>
        <v>0</v>
      </c>
      <c r="AC54" s="360">
        <f t="shared" si="19"/>
        <v>0</v>
      </c>
      <c r="AD54" s="360">
        <f t="shared" si="19"/>
        <v>0</v>
      </c>
      <c r="AE54" s="360">
        <f t="shared" si="19"/>
        <v>0</v>
      </c>
      <c r="AF54" s="360">
        <f t="shared" si="19"/>
        <v>0</v>
      </c>
      <c r="AG54" s="361">
        <f t="shared" si="19"/>
        <v>0</v>
      </c>
      <c r="AH54" s="24"/>
      <c r="AI54" s="24"/>
      <c r="AJ54" s="24"/>
      <c r="AK54" s="24"/>
      <c r="AL54" s="24"/>
      <c r="AM54" s="24"/>
      <c r="AN54" s="24"/>
      <c r="AO54" s="24"/>
      <c r="AP54" s="24"/>
      <c r="AQ54" s="24"/>
      <c r="AR54" s="24"/>
      <c r="AS54" s="24"/>
      <c r="AT54" s="24"/>
      <c r="AU54" s="24"/>
      <c r="AV54" s="24"/>
      <c r="AW54" s="24"/>
      <c r="AX54" s="24"/>
      <c r="AY54" s="24"/>
      <c r="AZ54" s="24"/>
      <c r="BA54" s="24"/>
    </row>
    <row r="55" ht="12.75" customHeight="1">
      <c r="A55" s="46" t="s">
        <v>400</v>
      </c>
      <c r="B55" s="51" t="s">
        <v>52</v>
      </c>
      <c r="C55" s="357">
        <f>3696000/325851</f>
        <v>11.34260751</v>
      </c>
      <c r="D55" s="360">
        <f t="shared" ref="D55:AG55" si="20">$C$55*D65/$C$65</f>
        <v>12.70857612</v>
      </c>
      <c r="E55" s="360">
        <f t="shared" si="20"/>
        <v>11.21918246</v>
      </c>
      <c r="F55" s="360">
        <f t="shared" si="20"/>
        <v>10.5763001</v>
      </c>
      <c r="G55" s="360">
        <f t="shared" si="20"/>
        <v>11.35593496</v>
      </c>
      <c r="H55" s="360">
        <f t="shared" si="20"/>
        <v>11.09013187</v>
      </c>
      <c r="I55" s="360">
        <f t="shared" si="20"/>
        <v>11.65019819</v>
      </c>
      <c r="J55" s="360">
        <f t="shared" si="20"/>
        <v>11.86123534</v>
      </c>
      <c r="K55" s="360">
        <f t="shared" si="20"/>
        <v>11.73392725</v>
      </c>
      <c r="L55" s="360">
        <f t="shared" si="20"/>
        <v>11.54272975</v>
      </c>
      <c r="M55" s="360">
        <f t="shared" si="20"/>
        <v>11.28445943</v>
      </c>
      <c r="N55" s="360">
        <f t="shared" si="20"/>
        <v>11.56460295</v>
      </c>
      <c r="O55" s="360">
        <f t="shared" si="20"/>
        <v>11.49107656</v>
      </c>
      <c r="P55" s="360">
        <f t="shared" si="20"/>
        <v>10.74826645</v>
      </c>
      <c r="Q55" s="360">
        <f t="shared" si="20"/>
        <v>10.20269706</v>
      </c>
      <c r="R55" s="360">
        <f t="shared" si="20"/>
        <v>6.703874433</v>
      </c>
      <c r="S55" s="360">
        <f t="shared" si="20"/>
        <v>5.373201445</v>
      </c>
      <c r="T55" s="360">
        <f t="shared" si="20"/>
        <v>4.805025507</v>
      </c>
      <c r="U55" s="360">
        <f t="shared" si="20"/>
        <v>3.695873125</v>
      </c>
      <c r="V55" s="360">
        <f t="shared" si="20"/>
        <v>0</v>
      </c>
      <c r="W55" s="360">
        <f t="shared" si="20"/>
        <v>0</v>
      </c>
      <c r="X55" s="360">
        <f t="shared" si="20"/>
        <v>0</v>
      </c>
      <c r="Y55" s="360">
        <f t="shared" si="20"/>
        <v>0</v>
      </c>
      <c r="Z55" s="360">
        <f t="shared" si="20"/>
        <v>0</v>
      </c>
      <c r="AA55" s="360">
        <f t="shared" si="20"/>
        <v>0</v>
      </c>
      <c r="AB55" s="360">
        <f t="shared" si="20"/>
        <v>0</v>
      </c>
      <c r="AC55" s="360">
        <f t="shared" si="20"/>
        <v>0</v>
      </c>
      <c r="AD55" s="360">
        <f t="shared" si="20"/>
        <v>0</v>
      </c>
      <c r="AE55" s="360">
        <f t="shared" si="20"/>
        <v>0</v>
      </c>
      <c r="AF55" s="360">
        <f t="shared" si="20"/>
        <v>0</v>
      </c>
      <c r="AG55" s="361">
        <f t="shared" si="20"/>
        <v>0</v>
      </c>
      <c r="AH55" s="24"/>
      <c r="AI55" s="24"/>
      <c r="AJ55" s="24"/>
      <c r="AK55" s="24"/>
      <c r="AL55" s="24"/>
      <c r="AM55" s="24"/>
      <c r="AN55" s="24"/>
      <c r="AO55" s="24"/>
      <c r="AP55" s="24"/>
      <c r="AQ55" s="24"/>
      <c r="AR55" s="24"/>
      <c r="AS55" s="24"/>
      <c r="AT55" s="24"/>
      <c r="AU55" s="24"/>
      <c r="AV55" s="24"/>
      <c r="AW55" s="24"/>
      <c r="AX55" s="24"/>
      <c r="AY55" s="24"/>
      <c r="AZ55" s="24"/>
      <c r="BA55" s="24"/>
    </row>
    <row r="56" ht="12.75" customHeight="1">
      <c r="A56" s="46" t="s">
        <v>404</v>
      </c>
      <c r="B56" s="51" t="s">
        <v>52</v>
      </c>
      <c r="C56" s="357">
        <f>16104000/325851</f>
        <v>49.4213613</v>
      </c>
      <c r="D56" s="360">
        <f t="shared" ref="D56:AG56" si="21">$C$56*D65/$C$65</f>
        <v>55.37308166</v>
      </c>
      <c r="E56" s="360">
        <f t="shared" si="21"/>
        <v>48.88358074</v>
      </c>
      <c r="F56" s="360">
        <f t="shared" si="21"/>
        <v>46.08245045</v>
      </c>
      <c r="G56" s="360">
        <f t="shared" si="21"/>
        <v>49.47943091</v>
      </c>
      <c r="H56" s="360">
        <f t="shared" si="21"/>
        <v>48.32128885</v>
      </c>
      <c r="I56" s="360">
        <f t="shared" si="21"/>
        <v>50.76157785</v>
      </c>
      <c r="J56" s="360">
        <f t="shared" si="21"/>
        <v>51.68109683</v>
      </c>
      <c r="K56" s="360">
        <f t="shared" si="21"/>
        <v>51.12639729</v>
      </c>
      <c r="L56" s="360">
        <f t="shared" si="21"/>
        <v>50.29332246</v>
      </c>
      <c r="M56" s="360">
        <f t="shared" si="21"/>
        <v>49.1680018</v>
      </c>
      <c r="N56" s="360">
        <f t="shared" si="21"/>
        <v>50.38862712</v>
      </c>
      <c r="O56" s="360">
        <f t="shared" si="21"/>
        <v>50.06826216</v>
      </c>
      <c r="P56" s="360">
        <f t="shared" si="21"/>
        <v>46.83173237</v>
      </c>
      <c r="Q56" s="360">
        <f t="shared" si="21"/>
        <v>44.45460861</v>
      </c>
      <c r="R56" s="360">
        <f t="shared" si="21"/>
        <v>29.2097386</v>
      </c>
      <c r="S56" s="360">
        <f t="shared" si="21"/>
        <v>23.41180629</v>
      </c>
      <c r="T56" s="360">
        <f t="shared" si="21"/>
        <v>20.93618257</v>
      </c>
      <c r="U56" s="360">
        <f t="shared" si="21"/>
        <v>16.10344719</v>
      </c>
      <c r="V56" s="360">
        <f t="shared" si="21"/>
        <v>0</v>
      </c>
      <c r="W56" s="360">
        <f t="shared" si="21"/>
        <v>0</v>
      </c>
      <c r="X56" s="360">
        <f t="shared" si="21"/>
        <v>0</v>
      </c>
      <c r="Y56" s="360">
        <f t="shared" si="21"/>
        <v>0</v>
      </c>
      <c r="Z56" s="360">
        <f t="shared" si="21"/>
        <v>0</v>
      </c>
      <c r="AA56" s="360">
        <f t="shared" si="21"/>
        <v>0</v>
      </c>
      <c r="AB56" s="360">
        <f t="shared" si="21"/>
        <v>0</v>
      </c>
      <c r="AC56" s="360">
        <f t="shared" si="21"/>
        <v>0</v>
      </c>
      <c r="AD56" s="360">
        <f t="shared" si="21"/>
        <v>0</v>
      </c>
      <c r="AE56" s="360">
        <f t="shared" si="21"/>
        <v>0</v>
      </c>
      <c r="AF56" s="360">
        <f t="shared" si="21"/>
        <v>0</v>
      </c>
      <c r="AG56" s="361">
        <f t="shared" si="21"/>
        <v>0</v>
      </c>
      <c r="AH56" s="24"/>
      <c r="AI56" s="24"/>
      <c r="AJ56" s="24"/>
      <c r="AK56" s="24"/>
      <c r="AL56" s="24"/>
      <c r="AM56" s="24"/>
      <c r="AN56" s="24"/>
      <c r="AO56" s="24"/>
      <c r="AP56" s="24"/>
      <c r="AQ56" s="24"/>
      <c r="AR56" s="24"/>
      <c r="AS56" s="24"/>
      <c r="AT56" s="24"/>
      <c r="AU56" s="24"/>
      <c r="AV56" s="24"/>
      <c r="AW56" s="24"/>
      <c r="AX56" s="24"/>
      <c r="AY56" s="24"/>
      <c r="AZ56" s="24"/>
      <c r="BA56" s="24"/>
    </row>
    <row r="57" ht="12.75" customHeight="1">
      <c r="A57" s="46" t="s">
        <v>409</v>
      </c>
      <c r="B57" s="51" t="s">
        <v>52</v>
      </c>
      <c r="C57" s="360">
        <f>$D$57*C70/$D$70</f>
        <v>199</v>
      </c>
      <c r="D57" s="357">
        <v>199.0</v>
      </c>
      <c r="E57" s="360">
        <f t="shared" ref="E57:AG57" si="22">$D$57*E70/$D$70</f>
        <v>199</v>
      </c>
      <c r="F57" s="360">
        <f t="shared" si="22"/>
        <v>199</v>
      </c>
      <c r="G57" s="360">
        <f t="shared" si="22"/>
        <v>199</v>
      </c>
      <c r="H57" s="360">
        <f t="shared" si="22"/>
        <v>199</v>
      </c>
      <c r="I57" s="360">
        <f t="shared" si="22"/>
        <v>199</v>
      </c>
      <c r="J57" s="360">
        <f t="shared" si="22"/>
        <v>199</v>
      </c>
      <c r="K57" s="360">
        <f t="shared" si="22"/>
        <v>199</v>
      </c>
      <c r="L57" s="360">
        <f t="shared" si="22"/>
        <v>199</v>
      </c>
      <c r="M57" s="360">
        <f t="shared" si="22"/>
        <v>199</v>
      </c>
      <c r="N57" s="360">
        <f t="shared" si="22"/>
        <v>199</v>
      </c>
      <c r="O57" s="360">
        <f t="shared" si="22"/>
        <v>199</v>
      </c>
      <c r="P57" s="360">
        <f t="shared" si="22"/>
        <v>199</v>
      </c>
      <c r="Q57" s="360">
        <f t="shared" si="22"/>
        <v>199</v>
      </c>
      <c r="R57" s="360">
        <f t="shared" si="22"/>
        <v>199</v>
      </c>
      <c r="S57" s="360">
        <f t="shared" si="22"/>
        <v>199</v>
      </c>
      <c r="T57" s="360">
        <f t="shared" si="22"/>
        <v>199</v>
      </c>
      <c r="U57" s="360">
        <f t="shared" si="22"/>
        <v>199</v>
      </c>
      <c r="V57" s="360">
        <f t="shared" si="22"/>
        <v>0</v>
      </c>
      <c r="W57" s="360">
        <f t="shared" si="22"/>
        <v>0</v>
      </c>
      <c r="X57" s="360">
        <f t="shared" si="22"/>
        <v>0</v>
      </c>
      <c r="Y57" s="360">
        <f t="shared" si="22"/>
        <v>0</v>
      </c>
      <c r="Z57" s="360">
        <f t="shared" si="22"/>
        <v>0</v>
      </c>
      <c r="AA57" s="360">
        <f t="shared" si="22"/>
        <v>0</v>
      </c>
      <c r="AB57" s="360">
        <f t="shared" si="22"/>
        <v>0</v>
      </c>
      <c r="AC57" s="360">
        <f t="shared" si="22"/>
        <v>0</v>
      </c>
      <c r="AD57" s="360">
        <f t="shared" si="22"/>
        <v>0</v>
      </c>
      <c r="AE57" s="360">
        <f t="shared" si="22"/>
        <v>0</v>
      </c>
      <c r="AF57" s="360">
        <f t="shared" si="22"/>
        <v>0</v>
      </c>
      <c r="AG57" s="361">
        <f t="shared" si="22"/>
        <v>0</v>
      </c>
      <c r="AH57" s="24"/>
      <c r="AI57" s="24"/>
      <c r="AJ57" s="24"/>
      <c r="AK57" s="24"/>
      <c r="AL57" s="24"/>
      <c r="AM57" s="24"/>
      <c r="AN57" s="24"/>
      <c r="AO57" s="24"/>
      <c r="AP57" s="24"/>
      <c r="AQ57" s="24"/>
      <c r="AR57" s="24"/>
      <c r="AS57" s="24"/>
      <c r="AT57" s="24"/>
      <c r="AU57" s="24"/>
      <c r="AV57" s="24"/>
      <c r="AW57" s="24"/>
      <c r="AX57" s="24"/>
      <c r="AY57" s="24"/>
      <c r="AZ57" s="24"/>
      <c r="BA57" s="24"/>
    </row>
    <row r="58" ht="12.75" customHeight="1">
      <c r="A58" s="46" t="s">
        <v>382</v>
      </c>
      <c r="B58" s="51" t="s">
        <v>52</v>
      </c>
      <c r="C58" s="397" t="s">
        <v>7</v>
      </c>
      <c r="D58" s="357">
        <v>419.0</v>
      </c>
      <c r="E58" s="71">
        <f t="shared" ref="E58:AG58" si="23">$D$58*E71/$D$71</f>
        <v>425.8218228</v>
      </c>
      <c r="F58" s="71">
        <f t="shared" si="23"/>
        <v>408.6847996</v>
      </c>
      <c r="G58" s="71">
        <f t="shared" si="23"/>
        <v>400.0570644</v>
      </c>
      <c r="H58" s="71">
        <f t="shared" si="23"/>
        <v>398.6027692</v>
      </c>
      <c r="I58" s="71">
        <f t="shared" si="23"/>
        <v>350.6499156</v>
      </c>
      <c r="J58" s="71">
        <f t="shared" si="23"/>
        <v>431.4694523</v>
      </c>
      <c r="K58" s="71">
        <f t="shared" si="23"/>
        <v>419.5453048</v>
      </c>
      <c r="L58" s="71">
        <f t="shared" si="23"/>
        <v>404.2490579</v>
      </c>
      <c r="M58" s="71">
        <f t="shared" si="23"/>
        <v>382.086589</v>
      </c>
      <c r="N58" s="71">
        <f t="shared" si="23"/>
        <v>273.5354718</v>
      </c>
      <c r="O58" s="71">
        <f t="shared" si="23"/>
        <v>376.0553092</v>
      </c>
      <c r="P58" s="71">
        <f t="shared" si="23"/>
        <v>374.7698202</v>
      </c>
      <c r="Q58" s="71">
        <f t="shared" si="23"/>
        <v>390.7384607</v>
      </c>
      <c r="R58" s="71">
        <f t="shared" si="23"/>
        <v>381.9490709</v>
      </c>
      <c r="S58" s="71">
        <f t="shared" si="23"/>
        <v>306.3775715</v>
      </c>
      <c r="T58" s="71">
        <f t="shared" si="23"/>
        <v>382.1682357</v>
      </c>
      <c r="U58" s="71">
        <f t="shared" si="23"/>
        <v>308.756501</v>
      </c>
      <c r="V58" s="71">
        <f t="shared" si="23"/>
        <v>0</v>
      </c>
      <c r="W58" s="71">
        <f t="shared" si="23"/>
        <v>0</v>
      </c>
      <c r="X58" s="71">
        <f t="shared" si="23"/>
        <v>0</v>
      </c>
      <c r="Y58" s="71">
        <f t="shared" si="23"/>
        <v>0</v>
      </c>
      <c r="Z58" s="71">
        <f t="shared" si="23"/>
        <v>0</v>
      </c>
      <c r="AA58" s="71">
        <f t="shared" si="23"/>
        <v>0</v>
      </c>
      <c r="AB58" s="71">
        <f t="shared" si="23"/>
        <v>0</v>
      </c>
      <c r="AC58" s="71">
        <f t="shared" si="23"/>
        <v>0</v>
      </c>
      <c r="AD58" s="71">
        <f t="shared" si="23"/>
        <v>0</v>
      </c>
      <c r="AE58" s="71">
        <f t="shared" si="23"/>
        <v>0</v>
      </c>
      <c r="AF58" s="71">
        <f t="shared" si="23"/>
        <v>0</v>
      </c>
      <c r="AG58" s="358">
        <f t="shared" si="23"/>
        <v>0</v>
      </c>
      <c r="AH58" s="24"/>
      <c r="AI58" s="24"/>
      <c r="AJ58" s="24"/>
      <c r="AK58" s="24"/>
      <c r="AL58" s="24"/>
      <c r="AM58" s="24"/>
      <c r="AN58" s="24"/>
      <c r="AO58" s="24"/>
      <c r="AP58" s="24"/>
      <c r="AQ58" s="24"/>
      <c r="AR58" s="24"/>
      <c r="AS58" s="24"/>
      <c r="AT58" s="24"/>
      <c r="AU58" s="24"/>
      <c r="AV58" s="24"/>
      <c r="AW58" s="24"/>
      <c r="AX58" s="24"/>
      <c r="AY58" s="24"/>
      <c r="AZ58" s="24"/>
      <c r="BA58" s="24"/>
    </row>
    <row r="59" ht="12.75" customHeight="1">
      <c r="A59" s="349" t="s">
        <v>306</v>
      </c>
      <c r="B59" s="350"/>
      <c r="C59" s="398"/>
      <c r="D59" s="398"/>
      <c r="E59" s="398"/>
      <c r="F59" s="398"/>
      <c r="G59" s="398"/>
      <c r="H59" s="398"/>
      <c r="I59" s="398"/>
      <c r="J59" s="398"/>
      <c r="K59" s="398"/>
      <c r="L59" s="398"/>
      <c r="M59" s="398"/>
      <c r="N59" s="398"/>
      <c r="O59" s="398"/>
      <c r="P59" s="398"/>
      <c r="Q59" s="398"/>
      <c r="R59" s="398"/>
      <c r="S59" s="398"/>
      <c r="T59" s="398"/>
      <c r="U59" s="398"/>
      <c r="V59" s="398"/>
      <c r="W59" s="398"/>
      <c r="X59" s="398"/>
      <c r="Y59" s="398"/>
      <c r="Z59" s="398"/>
      <c r="AA59" s="398"/>
      <c r="AB59" s="398"/>
      <c r="AC59" s="398"/>
      <c r="AD59" s="398"/>
      <c r="AE59" s="398"/>
      <c r="AF59" s="398"/>
      <c r="AG59" s="399"/>
      <c r="AH59" s="24"/>
      <c r="AI59" s="24"/>
      <c r="AJ59" s="24"/>
      <c r="AK59" s="24"/>
      <c r="AL59" s="24"/>
      <c r="AM59" s="24"/>
      <c r="AN59" s="24"/>
      <c r="AO59" s="24"/>
      <c r="AP59" s="24"/>
      <c r="AQ59" s="24"/>
      <c r="AR59" s="24"/>
      <c r="AS59" s="24"/>
      <c r="AT59" s="24"/>
      <c r="AU59" s="24"/>
      <c r="AV59" s="24"/>
      <c r="AW59" s="24"/>
      <c r="AX59" s="24"/>
      <c r="AY59" s="24"/>
      <c r="AZ59" s="24"/>
      <c r="BA59" s="24"/>
    </row>
    <row r="60" ht="12.75" customHeight="1">
      <c r="A60" s="46" t="s">
        <v>413</v>
      </c>
      <c r="B60" s="51" t="s">
        <v>51</v>
      </c>
      <c r="C60" s="84" t="str">
        <f>VLOOKUP(C42,'Electrical Generation'!$A$6:$O$42,'Electrical Generation'!$O$11,FALSE)</f>
        <v/>
      </c>
      <c r="D60" s="84">
        <f>VLOOKUP(D42,'Electrical Generation'!$A$6:$O$42,'Electrical Generation'!$O$11,FALSE)</f>
        <v>2812262</v>
      </c>
      <c r="E60" s="84">
        <f>VLOOKUP(E42,'Electrical Generation'!$A$6:$O$42,'Electrical Generation'!$O$11,FALSE)</f>
        <v>2858049</v>
      </c>
      <c r="F60" s="84">
        <f>VLOOKUP(F42,'Electrical Generation'!$A$6:$O$42,'Electrical Generation'!$O$11,FALSE)</f>
        <v>2743028</v>
      </c>
      <c r="G60" s="84">
        <f>VLOOKUP(G42,'Electrical Generation'!$A$6:$O$42,'Electrical Generation'!$O$11,FALSE)</f>
        <v>2685120</v>
      </c>
      <c r="H60" s="84">
        <f>VLOOKUP(H42,'Electrical Generation'!$A$6:$O$42,'Electrical Generation'!$O$11,FALSE)</f>
        <v>2675359</v>
      </c>
      <c r="I60" s="84">
        <f>VLOOKUP(I42,'Electrical Generation'!$A$6:$O$42,'Electrical Generation'!$O$11,FALSE)</f>
        <v>2353507</v>
      </c>
      <c r="J60" s="84">
        <f>VLOOKUP(J42,'Electrical Generation'!$A$6:$O$42,'Electrical Generation'!$O$11,FALSE)</f>
        <v>2895955</v>
      </c>
      <c r="K60" s="84">
        <f>VLOOKUP(K42,'Electrical Generation'!$A$6:$O$42,'Electrical Generation'!$O$11,FALSE)</f>
        <v>2815922</v>
      </c>
      <c r="L60" s="84">
        <f>VLOOKUP(L42,'Electrical Generation'!$A$6:$O$42,'Electrical Generation'!$O$11,FALSE)</f>
        <v>2713256</v>
      </c>
      <c r="M60" s="84">
        <f>VLOOKUP(M42,'Electrical Generation'!$A$6:$O$42,'Electrical Generation'!$O$11,FALSE)</f>
        <v>2564505</v>
      </c>
      <c r="N60" s="84">
        <f>VLOOKUP(N42,'Electrical Generation'!$A$6:$O$42,'Electrical Generation'!$O$11,FALSE)</f>
        <v>1835927</v>
      </c>
      <c r="O60" s="84">
        <f>VLOOKUP(O42,'Electrical Generation'!$A$6:$O$42,'Electrical Generation'!$O$11,FALSE)</f>
        <v>2524024</v>
      </c>
      <c r="P60" s="84">
        <f>VLOOKUP(P42,'Electrical Generation'!$A$6:$O$42,'Electrical Generation'!$O$11,FALSE)</f>
        <v>2515396</v>
      </c>
      <c r="Q60" s="84">
        <f>VLOOKUP(Q42,'Electrical Generation'!$A$6:$O$42,'Electrical Generation'!$O$11,FALSE)</f>
        <v>2622575</v>
      </c>
      <c r="R60" s="84">
        <f>VLOOKUP(R42,'Electrical Generation'!$A$6:$O$42,'Electrical Generation'!$O$11,FALSE)</f>
        <v>2563582</v>
      </c>
      <c r="S60" s="84">
        <f>VLOOKUP(S42,'Electrical Generation'!$A$6:$O$42,'Electrical Generation'!$O$11,FALSE)</f>
        <v>2056358</v>
      </c>
      <c r="T60" s="84">
        <f>VLOOKUP(T42,'Electrical Generation'!$A$6:$O$42,'Electrical Generation'!$O$11,FALSE)</f>
        <v>2565053</v>
      </c>
      <c r="U60" s="84">
        <f>VLOOKUP(U42,'Electrical Generation'!$A$6:$O$42,'Electrical Generation'!$O$11,FALSE)</f>
        <v>2072325</v>
      </c>
      <c r="V60" s="84" t="str">
        <f>VLOOKUP(V42,'Electrical Generation'!$A$6:$O$42,'Electrical Generation'!$O$11,FALSE)</f>
        <v/>
      </c>
      <c r="W60" s="84" t="str">
        <f>VLOOKUP(W42,'Electrical Generation'!$A$6:$O$42,'Electrical Generation'!$O$11,FALSE)</f>
        <v/>
      </c>
      <c r="X60" s="84" t="str">
        <f>VLOOKUP(X42,'Electrical Generation'!$A$6:$O$42,'Electrical Generation'!$O$11,FALSE)</f>
        <v/>
      </c>
      <c r="Y60" s="84" t="str">
        <f>VLOOKUP(Y42,'Electrical Generation'!$A$6:$O$42,'Electrical Generation'!$O$11,FALSE)</f>
        <v/>
      </c>
      <c r="Z60" s="84" t="str">
        <f>VLOOKUP(Z42,'Electrical Generation'!$A$6:$O$42,'Electrical Generation'!$O$11,FALSE)</f>
        <v/>
      </c>
      <c r="AA60" s="84" t="str">
        <f>VLOOKUP(AA42,'Electrical Generation'!$A$6:$O$42,'Electrical Generation'!$O$11,FALSE)</f>
        <v/>
      </c>
      <c r="AB60" s="84" t="str">
        <f>VLOOKUP(AB42,'Electrical Generation'!$A$6:$O$42,'Electrical Generation'!$O$11,FALSE)</f>
        <v/>
      </c>
      <c r="AC60" s="84" t="str">
        <f>VLOOKUP(AC42,'Electrical Generation'!$A$6:$O$42,'Electrical Generation'!$O$11,FALSE)</f>
        <v/>
      </c>
      <c r="AD60" s="84" t="str">
        <f>VLOOKUP(AD42,'Electrical Generation'!$A$6:$O$42,'Electrical Generation'!$O$11,FALSE)</f>
        <v/>
      </c>
      <c r="AE60" s="84" t="str">
        <f>VLOOKUP(AE42,'Electrical Generation'!$A$6:$O$42,'Electrical Generation'!$O$11,FALSE)</f>
        <v/>
      </c>
      <c r="AF60" s="84" t="str">
        <f>VLOOKUP(AF42,'Electrical Generation'!$A$6:$O$42,'Electrical Generation'!$O$11,FALSE)</f>
        <v/>
      </c>
      <c r="AG60" s="88" t="str">
        <f>VLOOKUP(AG42,'Electrical Generation'!$A$6:$O$42,'Electrical Generation'!$O$11,FALSE)</f>
        <v/>
      </c>
      <c r="AH60" s="24"/>
      <c r="AI60" s="24"/>
      <c r="AJ60" s="24"/>
      <c r="AK60" s="24"/>
      <c r="AL60" s="24"/>
      <c r="AM60" s="24"/>
      <c r="AN60" s="24"/>
      <c r="AO60" s="24"/>
      <c r="AP60" s="24"/>
      <c r="AQ60" s="24"/>
      <c r="AR60" s="24"/>
      <c r="AS60" s="24"/>
      <c r="AT60" s="24"/>
      <c r="AU60" s="24"/>
      <c r="AV60" s="24"/>
      <c r="AW60" s="24"/>
      <c r="AX60" s="24"/>
      <c r="AY60" s="24"/>
      <c r="AZ60" s="24"/>
      <c r="BA60" s="24"/>
    </row>
    <row r="61" ht="12.75" customHeight="1">
      <c r="A61" s="46" t="s">
        <v>415</v>
      </c>
      <c r="B61" s="51" t="s">
        <v>51</v>
      </c>
      <c r="C61" s="84">
        <v>1.0</v>
      </c>
      <c r="D61" s="84">
        <v>1.0</v>
      </c>
      <c r="E61" s="84">
        <v>1.0</v>
      </c>
      <c r="F61" s="84">
        <v>1.0</v>
      </c>
      <c r="G61" s="84">
        <v>1.0</v>
      </c>
      <c r="H61" s="84">
        <v>1.0</v>
      </c>
      <c r="I61" s="84">
        <v>1.0</v>
      </c>
      <c r="J61" s="84">
        <v>1.0</v>
      </c>
      <c r="K61" s="84">
        <v>1.0</v>
      </c>
      <c r="L61" s="84">
        <v>1.0</v>
      </c>
      <c r="M61" s="84">
        <v>1.0</v>
      </c>
      <c r="N61" s="84">
        <v>0.0</v>
      </c>
      <c r="O61" s="84">
        <v>0.0</v>
      </c>
      <c r="P61" s="84">
        <v>0.0</v>
      </c>
      <c r="Q61" s="84">
        <v>0.0</v>
      </c>
      <c r="R61" s="84">
        <v>0.0</v>
      </c>
      <c r="S61" s="84">
        <v>0.0</v>
      </c>
      <c r="T61" s="84">
        <v>0.0</v>
      </c>
      <c r="U61" s="84">
        <v>0.0</v>
      </c>
      <c r="V61" s="84">
        <v>0.0</v>
      </c>
      <c r="W61" s="84">
        <v>0.0</v>
      </c>
      <c r="X61" s="84">
        <v>0.0</v>
      </c>
      <c r="Y61" s="84">
        <v>0.0</v>
      </c>
      <c r="Z61" s="84">
        <v>0.0</v>
      </c>
      <c r="AA61" s="84">
        <v>0.0</v>
      </c>
      <c r="AB61" s="84">
        <v>0.0</v>
      </c>
      <c r="AC61" s="84">
        <v>0.0</v>
      </c>
      <c r="AD61" s="84">
        <v>0.0</v>
      </c>
      <c r="AE61" s="84">
        <v>0.0</v>
      </c>
      <c r="AF61" s="84">
        <v>0.0</v>
      </c>
      <c r="AG61" s="88">
        <v>0.0</v>
      </c>
      <c r="AH61" s="24"/>
      <c r="AI61" s="24"/>
      <c r="AJ61" s="24"/>
      <c r="AK61" s="24"/>
      <c r="AL61" s="24"/>
      <c r="AM61" s="24"/>
      <c r="AN61" s="24"/>
      <c r="AO61" s="24"/>
      <c r="AP61" s="24"/>
      <c r="AQ61" s="24"/>
      <c r="AR61" s="24"/>
      <c r="AS61" s="24"/>
      <c r="AT61" s="24"/>
      <c r="AU61" s="24"/>
      <c r="AV61" s="24"/>
      <c r="AW61" s="24"/>
      <c r="AX61" s="24"/>
      <c r="AY61" s="24"/>
      <c r="AZ61" s="24"/>
      <c r="BA61" s="24"/>
    </row>
    <row r="62" ht="12.75" customHeight="1">
      <c r="A62" s="46" t="s">
        <v>416</v>
      </c>
      <c r="B62" s="51" t="s">
        <v>51</v>
      </c>
      <c r="C62" s="84">
        <v>0.0</v>
      </c>
      <c r="D62" s="84">
        <v>0.0</v>
      </c>
      <c r="E62" s="84">
        <v>0.0</v>
      </c>
      <c r="F62" s="84">
        <v>0.0</v>
      </c>
      <c r="G62" s="84">
        <v>0.0</v>
      </c>
      <c r="H62" s="84">
        <v>0.0</v>
      </c>
      <c r="I62" s="84">
        <v>0.0</v>
      </c>
      <c r="J62" s="84">
        <v>0.0</v>
      </c>
      <c r="K62" s="84">
        <v>0.0</v>
      </c>
      <c r="L62" s="84">
        <v>0.0</v>
      </c>
      <c r="M62" s="84">
        <v>0.0</v>
      </c>
      <c r="N62" s="84">
        <v>0.0</v>
      </c>
      <c r="O62" s="84">
        <v>0.0</v>
      </c>
      <c r="P62" s="84">
        <v>0.0</v>
      </c>
      <c r="Q62" s="84">
        <v>0.0</v>
      </c>
      <c r="R62" s="84">
        <v>0.0</v>
      </c>
      <c r="S62" s="84">
        <v>0.0</v>
      </c>
      <c r="T62" s="84">
        <v>0.0</v>
      </c>
      <c r="U62" s="84">
        <v>0.0</v>
      </c>
      <c r="V62" s="84">
        <v>0.0</v>
      </c>
      <c r="W62" s="84">
        <v>0.0</v>
      </c>
      <c r="X62" s="84">
        <v>0.0</v>
      </c>
      <c r="Y62" s="84">
        <v>0.0</v>
      </c>
      <c r="Z62" s="84">
        <v>0.0</v>
      </c>
      <c r="AA62" s="84">
        <v>0.0</v>
      </c>
      <c r="AB62" s="84">
        <v>0.0</v>
      </c>
      <c r="AC62" s="84">
        <v>0.0</v>
      </c>
      <c r="AD62" s="84">
        <v>0.0</v>
      </c>
      <c r="AE62" s="84">
        <v>0.0</v>
      </c>
      <c r="AF62" s="84">
        <v>0.0</v>
      </c>
      <c r="AG62" s="88">
        <v>0.0</v>
      </c>
      <c r="AH62" s="24"/>
      <c r="AI62" s="24"/>
      <c r="AJ62" s="24"/>
      <c r="AK62" s="24"/>
      <c r="AL62" s="24"/>
      <c r="AM62" s="24"/>
      <c r="AN62" s="24"/>
      <c r="AO62" s="24"/>
      <c r="AP62" s="24"/>
      <c r="AQ62" s="24"/>
      <c r="AR62" s="24"/>
      <c r="AS62" s="24"/>
      <c r="AT62" s="24"/>
      <c r="AU62" s="24"/>
      <c r="AV62" s="24"/>
      <c r="AW62" s="24"/>
      <c r="AX62" s="24"/>
      <c r="AY62" s="24"/>
      <c r="AZ62" s="24"/>
      <c r="BA62" s="24"/>
    </row>
    <row r="63" ht="12.75" customHeight="1">
      <c r="A63" s="46" t="s">
        <v>417</v>
      </c>
      <c r="B63" s="51" t="s">
        <v>51</v>
      </c>
      <c r="C63" s="84">
        <f>VLOOKUP(C42,'Mine Production'!$A$7:$AB$45,'Mine Production'!$I$8,FALSE)</f>
        <v>60102031</v>
      </c>
      <c r="D63" s="84">
        <f>VLOOKUP(D42,'Mine Production'!$A$7:$AB$45,'Mine Production'!$I$8,FALSE)</f>
        <v>67621885</v>
      </c>
      <c r="E63" s="84">
        <f>VLOOKUP(E42,'Mine Production'!$A$7:$AB$45,'Mine Production'!$I$8,FALSE)</f>
        <v>65125564</v>
      </c>
      <c r="F63" s="84">
        <f>VLOOKUP(F42,'Mine Production'!$A$7:$AB$45,'Mine Production'!$I$8,FALSE)</f>
        <v>62620417</v>
      </c>
      <c r="G63" s="84">
        <f>VLOOKUP(G42,'Mine Production'!$A$7:$AB$45,'Mine Production'!$I$8,FALSE)</f>
        <v>72220213</v>
      </c>
      <c r="H63" s="84">
        <f>VLOOKUP(H42,'Mine Production'!$A$7:$AB$45,'Mine Production'!$I$8,FALSE)</f>
        <v>87586375</v>
      </c>
      <c r="I63" s="84">
        <f>VLOOKUP(I42,'Mine Production'!$A$7:$AB$45,'Mine Production'!$I$8,FALSE)</f>
        <v>92653250</v>
      </c>
      <c r="J63" s="84">
        <f>VLOOKUP(J42,'Mine Production'!$A$7:$AB$45,'Mine Production'!$I$8,FALSE)</f>
        <v>86196275</v>
      </c>
      <c r="K63" s="84">
        <f>VLOOKUP(K42,'Mine Production'!$A$7:$AB$45,'Mine Production'!$I$8,FALSE)</f>
        <v>88584704</v>
      </c>
      <c r="L63" s="84">
        <f>VLOOKUP(L42,'Mine Production'!$A$7:$AB$45,'Mine Production'!$I$8,FALSE)</f>
        <v>81079043</v>
      </c>
      <c r="M63" s="84">
        <f>VLOOKUP(M42,'Mine Production'!$A$7:$AB$45,'Mine Production'!$I$8,FALSE)</f>
        <v>116225536</v>
      </c>
      <c r="N63" s="84">
        <f>VLOOKUP(N42,'Mine Production'!$A$7:$AB$45,'Mine Production'!$I$8,FALSE)</f>
        <v>104958277</v>
      </c>
      <c r="O63" s="84">
        <f>VLOOKUP(O42,'Mine Production'!$A$7:$AB$45,'Mine Production'!$I$8,FALSE)</f>
        <v>93082919</v>
      </c>
      <c r="P63" s="84">
        <f>VLOOKUP(P42,'Mine Production'!$A$7:$AB$45,'Mine Production'!$I$8,FALSE)</f>
        <v>100687876</v>
      </c>
      <c r="Q63" s="84">
        <f>VLOOKUP(Q42,'Mine Production'!$A$7:$AB$45,'Mine Production'!$I$8,FALSE)</f>
        <v>101016860</v>
      </c>
      <c r="R63" s="84">
        <f>VLOOKUP(R42,'Mine Production'!$A$7:$AB$45,'Mine Production'!$I$8,FALSE)</f>
        <v>99450689</v>
      </c>
      <c r="S63" s="84">
        <f>VLOOKUP(S42,'Mine Production'!$A$7:$AB$45,'Mine Production'!$I$8,FALSE)</f>
        <v>67889779</v>
      </c>
      <c r="T63" s="84">
        <f>VLOOKUP(T42,'Mine Production'!$A$7:$AB$45,'Mine Production'!$I$8,FALSE)</f>
        <v>70513365</v>
      </c>
      <c r="U63" s="84">
        <f>VLOOKUP(U42,'Mine Production'!$A$7:$AB$45,'Mine Production'!$I$8,FALSE)</f>
        <v>71134606</v>
      </c>
      <c r="V63" s="84" t="str">
        <f>VLOOKUP(V42,'Mine Production'!$A$7:$AB$45,'Mine Production'!$I$8,FALSE)</f>
        <v/>
      </c>
      <c r="W63" s="84" t="str">
        <f>VLOOKUP(W42,'Mine Production'!$A$7:$AB$45,'Mine Production'!$I$8,FALSE)</f>
        <v/>
      </c>
      <c r="X63" s="84" t="str">
        <f>VLOOKUP(X42,'Mine Production'!$A$7:$AB$45,'Mine Production'!$I$8,FALSE)</f>
        <v/>
      </c>
      <c r="Y63" s="84" t="str">
        <f>VLOOKUP(Y42,'Mine Production'!$A$7:$AB$45,'Mine Production'!$I$8,FALSE)</f>
        <v/>
      </c>
      <c r="Z63" s="84" t="str">
        <f>VLOOKUP(Z42,'Mine Production'!$A$7:$AB$45,'Mine Production'!$I$8,FALSE)</f>
        <v/>
      </c>
      <c r="AA63" s="84" t="str">
        <f>VLOOKUP(AA42,'Mine Production'!$A$7:$AB$45,'Mine Production'!$I$8,FALSE)</f>
        <v/>
      </c>
      <c r="AB63" s="84" t="str">
        <f>VLOOKUP(AB42,'Mine Production'!$A$7:$AB$45,'Mine Production'!$I$8,FALSE)</f>
        <v/>
      </c>
      <c r="AC63" s="84" t="str">
        <f>VLOOKUP(AC42,'Mine Production'!$A$7:$AB$45,'Mine Production'!$I$8,FALSE)</f>
        <v/>
      </c>
      <c r="AD63" s="84" t="str">
        <f>VLOOKUP(AD42,'Mine Production'!$A$7:$AB$45,'Mine Production'!$I$8,FALSE)</f>
        <v/>
      </c>
      <c r="AE63" s="84" t="str">
        <f>VLOOKUP(AE42,'Mine Production'!$A$7:$AB$45,'Mine Production'!$I$8,FALSE)</f>
        <v/>
      </c>
      <c r="AF63" s="84" t="str">
        <f>VLOOKUP(AF42,'Mine Production'!$A$7:$AB$45,'Mine Production'!$I$8,FALSE)</f>
        <v/>
      </c>
      <c r="AG63" s="88" t="str">
        <f>VLOOKUP(AG42,'Mine Production'!$A$7:$AB$45,'Mine Production'!$I$8,FALSE)</f>
        <v/>
      </c>
      <c r="AH63" s="24"/>
      <c r="AI63" s="24"/>
      <c r="AJ63" s="24"/>
      <c r="AK63" s="24"/>
      <c r="AL63" s="24"/>
      <c r="AM63" s="24"/>
      <c r="AN63" s="24"/>
      <c r="AO63" s="24"/>
      <c r="AP63" s="24"/>
      <c r="AQ63" s="24"/>
      <c r="AR63" s="24"/>
      <c r="AS63" s="24"/>
      <c r="AT63" s="24"/>
      <c r="AU63" s="24"/>
      <c r="AV63" s="24"/>
      <c r="AW63" s="24"/>
      <c r="AX63" s="24"/>
      <c r="AY63" s="24"/>
      <c r="AZ63" s="24"/>
      <c r="BA63" s="24"/>
    </row>
    <row r="64" ht="12.75" customHeight="1">
      <c r="A64" s="46" t="s">
        <v>418</v>
      </c>
      <c r="B64" s="51" t="s">
        <v>51</v>
      </c>
      <c r="C64" s="84">
        <f>VLOOKUP(C42,'Mine Production'!$A$7:$AB$45,'Mine Production'!$E$8,FALSE)</f>
        <v>22971230</v>
      </c>
      <c r="D64" s="84">
        <f>VLOOKUP(D42,'Mine Production'!$A$7:$AB$45,'Mine Production'!$E$8,FALSE)</f>
        <v>24520144</v>
      </c>
      <c r="E64" s="84">
        <f>VLOOKUP(E42,'Mine Production'!$A$7:$AB$45,'Mine Production'!$E$8,FALSE)</f>
        <v>26808505</v>
      </c>
      <c r="F64" s="84">
        <f>VLOOKUP(F42,'Mine Production'!$A$7:$AB$45,'Mine Production'!$E$8,FALSE)</f>
        <v>29533072</v>
      </c>
      <c r="G64" s="84">
        <f>VLOOKUP(G42,'Mine Production'!$A$7:$AB$45,'Mine Production'!$E$8,FALSE)</f>
        <v>29682854</v>
      </c>
      <c r="H64" s="84">
        <f>VLOOKUP(H42,'Mine Production'!$A$7:$AB$45,'Mine Production'!$E$8,FALSE)</f>
        <v>29953375</v>
      </c>
      <c r="I64" s="84">
        <f>VLOOKUP(I42,'Mine Production'!$A$7:$AB$45,'Mine Production'!$E$8,FALSE)</f>
        <v>33879292</v>
      </c>
      <c r="J64" s="84">
        <f>VLOOKUP(J42,'Mine Production'!$A$7:$AB$45,'Mine Production'!$E$8,FALSE)</f>
        <v>34474682</v>
      </c>
      <c r="K64" s="84">
        <f>VLOOKUP(K42,'Mine Production'!$A$7:$AB$45,'Mine Production'!$E$8,FALSE)</f>
        <v>35777489</v>
      </c>
      <c r="L64" s="84">
        <f>VLOOKUP(L42,'Mine Production'!$A$7:$AB$45,'Mine Production'!$E$8,FALSE)</f>
        <v>33975524</v>
      </c>
      <c r="M64" s="84">
        <f>VLOOKUP(M42,'Mine Production'!$A$7:$AB$45,'Mine Production'!$E$8,FALSE)</f>
        <v>35908216</v>
      </c>
      <c r="N64" s="84">
        <f>VLOOKUP(N42,'Mine Production'!$A$7:$AB$45,'Mine Production'!$E$8,FALSE)</f>
        <v>37060246</v>
      </c>
      <c r="O64" s="84">
        <f>VLOOKUP(O42,'Mine Production'!$A$7:$AB$45,'Mine Production'!$E$8,FALSE)</f>
        <v>34316314</v>
      </c>
      <c r="P64" s="84">
        <f>VLOOKUP(P42,'Mine Production'!$A$7:$AB$45,'Mine Production'!$E$8,FALSE)</f>
        <v>31354248</v>
      </c>
      <c r="Q64" s="84">
        <f>VLOOKUP(Q42,'Mine Production'!$A$7:$AB$45,'Mine Production'!$E$8,FALSE)</f>
        <v>33646960</v>
      </c>
      <c r="R64" s="84">
        <f>VLOOKUP(R42,'Mine Production'!$A$7:$AB$45,'Mine Production'!$E$8,FALSE)</f>
        <v>35181059</v>
      </c>
      <c r="S64" s="84">
        <f>VLOOKUP(S42,'Mine Production'!$A$7:$AB$45,'Mine Production'!$E$8,FALSE)</f>
        <v>29793257</v>
      </c>
      <c r="T64" s="84">
        <f>VLOOKUP(T42,'Mine Production'!$A$7:$AB$45,'Mine Production'!$E$8,FALSE)</f>
        <v>28503504</v>
      </c>
      <c r="U64" s="84">
        <f>VLOOKUP(U42,'Mine Production'!$A$7:$AB$45,'Mine Production'!$E$8,FALSE)</f>
        <v>23155741</v>
      </c>
      <c r="V64" s="84" t="str">
        <f>VLOOKUP(V42,'Mine Production'!$A$7:$AB$45,'Mine Production'!$E$8,FALSE)</f>
        <v/>
      </c>
      <c r="W64" s="84" t="str">
        <f>VLOOKUP(W42,'Mine Production'!$A$7:$AB$45,'Mine Production'!$E$8,FALSE)</f>
        <v/>
      </c>
      <c r="X64" s="84" t="str">
        <f>VLOOKUP(X42,'Mine Production'!$A$7:$AB$45,'Mine Production'!$E$8,FALSE)</f>
        <v/>
      </c>
      <c r="Y64" s="84" t="str">
        <f>VLOOKUP(Y42,'Mine Production'!$A$7:$AB$45,'Mine Production'!$E$8,FALSE)</f>
        <v/>
      </c>
      <c r="Z64" s="84" t="str">
        <f>VLOOKUP(Z42,'Mine Production'!$A$7:$AB$45,'Mine Production'!$E$8,FALSE)</f>
        <v/>
      </c>
      <c r="AA64" s="84" t="str">
        <f>VLOOKUP(AA42,'Mine Production'!$A$7:$AB$45,'Mine Production'!$E$8,FALSE)</f>
        <v/>
      </c>
      <c r="AB64" s="84" t="str">
        <f>VLOOKUP(AB42,'Mine Production'!$A$7:$AB$45,'Mine Production'!$E$8,FALSE)</f>
        <v/>
      </c>
      <c r="AC64" s="84" t="str">
        <f>VLOOKUP(AC42,'Mine Production'!$A$7:$AB$45,'Mine Production'!$E$8,FALSE)</f>
        <v/>
      </c>
      <c r="AD64" s="84" t="str">
        <f>VLOOKUP(AD42,'Mine Production'!$A$7:$AB$45,'Mine Production'!$E$8,FALSE)</f>
        <v/>
      </c>
      <c r="AE64" s="84" t="str">
        <f>VLOOKUP(AE42,'Mine Production'!$A$7:$AB$45,'Mine Production'!$E$8,FALSE)</f>
        <v/>
      </c>
      <c r="AF64" s="84" t="str">
        <f>VLOOKUP(AF42,'Mine Production'!$A$7:$AB$45,'Mine Production'!$E$8,FALSE)</f>
        <v/>
      </c>
      <c r="AG64" s="88" t="str">
        <f>VLOOKUP(AG42,'Mine Production'!$A$7:$AB$45,'Mine Production'!$E$8,FALSE)</f>
        <v/>
      </c>
      <c r="AH64" s="24"/>
      <c r="AI64" s="24"/>
      <c r="AJ64" s="24"/>
      <c r="AK64" s="24"/>
      <c r="AL64" s="24"/>
      <c r="AM64" s="24"/>
      <c r="AN64" s="24"/>
      <c r="AO64" s="24"/>
      <c r="AP64" s="24"/>
      <c r="AQ64" s="24"/>
      <c r="AR64" s="24"/>
      <c r="AS64" s="24"/>
      <c r="AT64" s="24"/>
      <c r="AU64" s="24"/>
      <c r="AV64" s="24"/>
      <c r="AW64" s="24"/>
      <c r="AX64" s="24"/>
      <c r="AY64" s="24"/>
      <c r="AZ64" s="24"/>
      <c r="BA64" s="24"/>
    </row>
    <row r="65" ht="12.75" customHeight="1">
      <c r="A65" s="46" t="s">
        <v>419</v>
      </c>
      <c r="B65" s="51" t="s">
        <v>51</v>
      </c>
      <c r="C65" s="84">
        <f>VLOOKUP(C42,'Mine Production'!$A$7:$AB$45,'Mine Production'!$N$8,FALSE)</f>
        <v>38698196</v>
      </c>
      <c r="D65" s="84">
        <f>VLOOKUP(D42,'Mine Production'!$A$7:$AB$45,'Mine Production'!$N$8,FALSE)</f>
        <v>43358546</v>
      </c>
      <c r="E65" s="84">
        <f>VLOOKUP(E42,'Mine Production'!$A$7:$AB$45,'Mine Production'!$N$8,FALSE)</f>
        <v>38277100</v>
      </c>
      <c r="F65" s="84">
        <f>VLOOKUP(F42,'Mine Production'!$A$7:$AB$45,'Mine Production'!$N$8,FALSE)</f>
        <v>36083743</v>
      </c>
      <c r="G65" s="84">
        <f>VLOOKUP(G42,'Mine Production'!$A$7:$AB$45,'Mine Production'!$N$8,FALSE)</f>
        <v>38743666</v>
      </c>
      <c r="H65" s="84">
        <f>VLOOKUP(H42,'Mine Production'!$A$7:$AB$45,'Mine Production'!$N$8,FALSE)</f>
        <v>37836811</v>
      </c>
      <c r="I65" s="84">
        <f>VLOOKUP(I42,'Mine Production'!$A$7:$AB$45,'Mine Production'!$N$8,FALSE)</f>
        <v>39747620</v>
      </c>
      <c r="J65" s="84">
        <f>VLOOKUP(J42,'Mine Production'!$A$7:$AB$45,'Mine Production'!$N$8,FALSE)</f>
        <v>40467627</v>
      </c>
      <c r="K65" s="84">
        <f>VLOOKUP(K42,'Mine Production'!$A$7:$AB$45,'Mine Production'!$N$8,FALSE)</f>
        <v>40033283</v>
      </c>
      <c r="L65" s="84">
        <f>VLOOKUP(L42,'Mine Production'!$A$7:$AB$45,'Mine Production'!$N$8,FALSE)</f>
        <v>39380964</v>
      </c>
      <c r="M65" s="84">
        <f>VLOOKUP(M42,'Mine Production'!$A$7:$AB$45,'Mine Production'!$N$8,FALSE)</f>
        <v>38499809</v>
      </c>
      <c r="N65" s="84">
        <f>VLOOKUP(N42,'Mine Production'!$A$7:$AB$45,'Mine Production'!$N$8,FALSE)</f>
        <v>39455590</v>
      </c>
      <c r="O65" s="84">
        <f>VLOOKUP(O42,'Mine Production'!$A$7:$AB$45,'Mine Production'!$N$8,FALSE)</f>
        <v>39204736</v>
      </c>
      <c r="P65" s="84">
        <f>VLOOKUP(P42,'Mine Production'!$A$7:$AB$45,'Mine Production'!$N$8,FALSE)</f>
        <v>36670450</v>
      </c>
      <c r="Q65" s="84">
        <f>VLOOKUP(Q42,'Mine Production'!$A$7:$AB$45,'Mine Production'!$N$8,FALSE)</f>
        <v>34809101</v>
      </c>
      <c r="R65" s="84">
        <f>VLOOKUP(R42,'Mine Production'!$A$7:$AB$45,'Mine Production'!$N$8,FALSE)</f>
        <v>22871976</v>
      </c>
      <c r="S65" s="84">
        <f>VLOOKUP(S42,'Mine Production'!$A$7:$AB$45,'Mine Production'!$N$8,FALSE)</f>
        <v>18332046</v>
      </c>
      <c r="T65" s="84">
        <f>VLOOKUP(T42,'Mine Production'!$A$7:$AB$45,'Mine Production'!$N$8,FALSE)</f>
        <v>16393569</v>
      </c>
      <c r="U65" s="84">
        <f>VLOOKUP(U42,'Mine Production'!$A$7:$AB$45,'Mine Production'!$N$8,FALSE)</f>
        <v>12609413</v>
      </c>
      <c r="V65" s="84" t="str">
        <f>VLOOKUP(V42,'Mine Production'!$A$7:$AB$45,'Mine Production'!$N$8,FALSE)</f>
        <v/>
      </c>
      <c r="W65" s="84" t="str">
        <f>VLOOKUP(W42,'Mine Production'!$A$7:$AB$45,'Mine Production'!$N$8,FALSE)</f>
        <v/>
      </c>
      <c r="X65" s="84" t="str">
        <f>VLOOKUP(X42,'Mine Production'!$A$7:$AB$45,'Mine Production'!$N$8,FALSE)</f>
        <v/>
      </c>
      <c r="Y65" s="84" t="str">
        <f>VLOOKUP(Y42,'Mine Production'!$A$7:$AB$45,'Mine Production'!$N$8,FALSE)</f>
        <v/>
      </c>
      <c r="Z65" s="84" t="str">
        <f>VLOOKUP(Z42,'Mine Production'!$A$7:$AB$45,'Mine Production'!$N$8,FALSE)</f>
        <v/>
      </c>
      <c r="AA65" s="84" t="str">
        <f>VLOOKUP(AA42,'Mine Production'!$A$7:$AB$45,'Mine Production'!$N$8,FALSE)</f>
        <v/>
      </c>
      <c r="AB65" s="84" t="str">
        <f>VLOOKUP(AB42,'Mine Production'!$A$7:$AB$45,'Mine Production'!$N$8,FALSE)</f>
        <v/>
      </c>
      <c r="AC65" s="84" t="str">
        <f>VLOOKUP(AC42,'Mine Production'!$A$7:$AB$45,'Mine Production'!$N$8,FALSE)</f>
        <v/>
      </c>
      <c r="AD65" s="84" t="str">
        <f>VLOOKUP(AD42,'Mine Production'!$A$7:$AB$45,'Mine Production'!$N$8,FALSE)</f>
        <v/>
      </c>
      <c r="AE65" s="84" t="str">
        <f>VLOOKUP(AE42,'Mine Production'!$A$7:$AB$45,'Mine Production'!$N$8,FALSE)</f>
        <v/>
      </c>
      <c r="AF65" s="84" t="str">
        <f>VLOOKUP(AF42,'Mine Production'!$A$7:$AB$45,'Mine Production'!$N$8,FALSE)</f>
        <v/>
      </c>
      <c r="AG65" s="88" t="str">
        <f>VLOOKUP(AG42,'Mine Production'!$A$7:$AB$45,'Mine Production'!$N$8,FALSE)</f>
        <v/>
      </c>
      <c r="AH65" s="24"/>
      <c r="AI65" s="24"/>
      <c r="AJ65" s="24"/>
      <c r="AK65" s="24"/>
      <c r="AL65" s="24"/>
      <c r="AM65" s="24"/>
      <c r="AN65" s="24"/>
      <c r="AO65" s="24"/>
      <c r="AP65" s="24"/>
      <c r="AQ65" s="24"/>
      <c r="AR65" s="24"/>
      <c r="AS65" s="24"/>
      <c r="AT65" s="24"/>
      <c r="AU65" s="24"/>
      <c r="AV65" s="24"/>
      <c r="AW65" s="24"/>
      <c r="AX65" s="24"/>
      <c r="AY65" s="24"/>
      <c r="AZ65" s="24"/>
      <c r="BA65" s="24"/>
    </row>
    <row r="66" ht="12.75" customHeight="1">
      <c r="A66" s="46" t="s">
        <v>420</v>
      </c>
      <c r="B66" s="51" t="s">
        <v>51</v>
      </c>
      <c r="C66" s="84">
        <f>VLOOKUP(C42,'Mine Production'!$A$7:$AB$45,'Mine Production'!$S$8,FALSE)</f>
        <v>28307022</v>
      </c>
      <c r="D66" s="84">
        <f>VLOOKUP(D42,'Mine Production'!$A$7:$AB$45,'Mine Production'!$S$8,FALSE)</f>
        <v>29335345</v>
      </c>
      <c r="E66" s="84">
        <f>VLOOKUP(E42,'Mine Production'!$A$7:$AB$45,'Mine Production'!$S$8,FALSE)</f>
        <v>31728341</v>
      </c>
      <c r="F66" s="84">
        <f>VLOOKUP(F42,'Mine Production'!$A$7:$AB$45,'Mine Production'!$S$8,FALSE)</f>
        <v>35491218</v>
      </c>
      <c r="G66" s="84">
        <f>VLOOKUP(G42,'Mine Production'!$A$7:$AB$45,'Mine Production'!$S$8,FALSE)</f>
        <v>38548799</v>
      </c>
      <c r="H66" s="84">
        <f>VLOOKUP(H42,'Mine Production'!$A$7:$AB$45,'Mine Production'!$S$8,FALSE)</f>
        <v>37277820</v>
      </c>
      <c r="I66" s="84">
        <f>VLOOKUP(I42,'Mine Production'!$A$7:$AB$45,'Mine Production'!$S$8,FALSE)</f>
        <v>40000376</v>
      </c>
      <c r="J66" s="84">
        <f>VLOOKUP(J42,'Mine Production'!$A$7:$AB$45,'Mine Production'!$S$8,FALSE)</f>
        <v>38101560</v>
      </c>
      <c r="K66" s="84">
        <f>VLOOKUP(K42,'Mine Production'!$A$7:$AB$45,'Mine Production'!$S$8,FALSE)</f>
        <v>42145705</v>
      </c>
      <c r="L66" s="84">
        <f>VLOOKUP(L42,'Mine Production'!$A$7:$AB$45,'Mine Production'!$S$8,FALSE)</f>
        <v>29021485</v>
      </c>
      <c r="M66" s="84">
        <f>VLOOKUP(M42,'Mine Production'!$A$7:$AB$45,'Mine Production'!$S$8,FALSE)</f>
        <v>0</v>
      </c>
      <c r="N66" s="84">
        <f>VLOOKUP(N42,'Mine Production'!$A$7:$AB$45,'Mine Production'!$S$8,FALSE)</f>
        <v>0</v>
      </c>
      <c r="O66" s="84">
        <f>VLOOKUP(O42,'Mine Production'!$A$7:$AB$45,'Mine Production'!$S$8,FALSE)</f>
        <v>0</v>
      </c>
      <c r="P66" s="84">
        <f>VLOOKUP(P42,'Mine Production'!$A$7:$AB$45,'Mine Production'!$S$8,FALSE)</f>
        <v>0</v>
      </c>
      <c r="Q66" s="84">
        <f>VLOOKUP(Q42,'Mine Production'!$A$7:$AB$45,'Mine Production'!$S$8,FALSE)</f>
        <v>0</v>
      </c>
      <c r="R66" s="84">
        <f>VLOOKUP(R42,'Mine Production'!$A$7:$AB$45,'Mine Production'!$S$8,FALSE)</f>
        <v>0</v>
      </c>
      <c r="S66" s="84">
        <f>VLOOKUP(S42,'Mine Production'!$A$7:$AB$45,'Mine Production'!$S$8,FALSE)</f>
        <v>0</v>
      </c>
      <c r="T66" s="84">
        <f>VLOOKUP(T42,'Mine Production'!$A$7:$AB$45,'Mine Production'!$S$8,FALSE)</f>
        <v>0</v>
      </c>
      <c r="U66" s="84">
        <f>VLOOKUP(U42,'Mine Production'!$A$7:$AB$45,'Mine Production'!$S$8,FALSE)</f>
        <v>0</v>
      </c>
      <c r="V66" s="84" t="str">
        <f>VLOOKUP(V42,'Mine Production'!$A$7:$AB$45,'Mine Production'!$S$8,FALSE)</f>
        <v/>
      </c>
      <c r="W66" s="84" t="str">
        <f>VLOOKUP(W42,'Mine Production'!$A$7:$AB$45,'Mine Production'!$S$8,FALSE)</f>
        <v/>
      </c>
      <c r="X66" s="84" t="str">
        <f>VLOOKUP(X42,'Mine Production'!$A$7:$AB$45,'Mine Production'!$S$8,FALSE)</f>
        <v/>
      </c>
      <c r="Y66" s="84" t="str">
        <f>VLOOKUP(Y42,'Mine Production'!$A$7:$AB$45,'Mine Production'!$S$8,FALSE)</f>
        <v/>
      </c>
      <c r="Z66" s="84" t="str">
        <f>VLOOKUP(Z42,'Mine Production'!$A$7:$AB$45,'Mine Production'!$S$8,FALSE)</f>
        <v/>
      </c>
      <c r="AA66" s="84" t="str">
        <f>VLOOKUP(AA42,'Mine Production'!$A$7:$AB$45,'Mine Production'!$S$8,FALSE)</f>
        <v/>
      </c>
      <c r="AB66" s="84" t="str">
        <f>VLOOKUP(AB42,'Mine Production'!$A$7:$AB$45,'Mine Production'!$S$8,FALSE)</f>
        <v/>
      </c>
      <c r="AC66" s="84" t="str">
        <f>VLOOKUP(AC42,'Mine Production'!$A$7:$AB$45,'Mine Production'!$S$8,FALSE)</f>
        <v/>
      </c>
      <c r="AD66" s="84" t="str">
        <f>VLOOKUP(AD42,'Mine Production'!$A$7:$AB$45,'Mine Production'!$S$8,FALSE)</f>
        <v/>
      </c>
      <c r="AE66" s="84" t="str">
        <f>VLOOKUP(AE42,'Mine Production'!$A$7:$AB$45,'Mine Production'!$S$8,FALSE)</f>
        <v/>
      </c>
      <c r="AF66" s="84" t="str">
        <f>VLOOKUP(AF42,'Mine Production'!$A$7:$AB$45,'Mine Production'!$S$8,FALSE)</f>
        <v/>
      </c>
      <c r="AG66" s="88" t="str">
        <f>VLOOKUP(AG42,'Mine Production'!$A$7:$AB$45,'Mine Production'!$S$8,FALSE)</f>
        <v/>
      </c>
      <c r="AH66" s="24"/>
      <c r="AI66" s="24"/>
      <c r="AJ66" s="24"/>
      <c r="AK66" s="24"/>
      <c r="AL66" s="24"/>
      <c r="AM66" s="24"/>
      <c r="AN66" s="24"/>
      <c r="AO66" s="24"/>
      <c r="AP66" s="24"/>
      <c r="AQ66" s="24"/>
      <c r="AR66" s="24"/>
      <c r="AS66" s="24"/>
      <c r="AT66" s="24"/>
      <c r="AU66" s="24"/>
      <c r="AV66" s="24"/>
      <c r="AW66" s="24"/>
      <c r="AX66" s="24"/>
      <c r="AY66" s="24"/>
      <c r="AZ66" s="24"/>
      <c r="BA66" s="24"/>
    </row>
    <row r="67" ht="12.75" customHeight="1">
      <c r="A67" s="46" t="s">
        <v>421</v>
      </c>
      <c r="B67" s="51" t="s">
        <v>51</v>
      </c>
      <c r="C67" s="84">
        <f>VLOOKUP(C42,'Mine Production'!$A$7:$AB$45,'Mine Production'!$L$8,FALSE)</f>
        <v>25595660</v>
      </c>
      <c r="D67" s="84">
        <f>VLOOKUP(D42,'Mine Production'!$A$7:$AB$45,'Mine Production'!$L$8,FALSE)</f>
        <v>27095831</v>
      </c>
      <c r="E67" s="84">
        <f>VLOOKUP(E42,'Mine Production'!$A$7:$AB$45,'Mine Production'!$L$8,FALSE)</f>
        <v>25967932</v>
      </c>
      <c r="F67" s="84">
        <f>VLOOKUP(F42,'Mine Production'!$A$7:$AB$45,'Mine Production'!$L$8,FALSE)</f>
        <v>22743284</v>
      </c>
      <c r="G67" s="84">
        <f>VLOOKUP(G42,'Mine Production'!$A$7:$AB$45,'Mine Production'!$L$8,FALSE)</f>
        <v>26480950</v>
      </c>
      <c r="H67" s="84">
        <f>VLOOKUP(H42,'Mine Production'!$A$7:$AB$45,'Mine Production'!$L$8,FALSE)</f>
        <v>30532313</v>
      </c>
      <c r="I67" s="84">
        <f>VLOOKUP(I42,'Mine Production'!$A$7:$AB$45,'Mine Production'!$L$8,FALSE)</f>
        <v>32775697</v>
      </c>
      <c r="J67" s="84">
        <f>VLOOKUP(J42,'Mine Production'!$A$7:$AB$45,'Mine Production'!$L$8,FALSE)</f>
        <v>31172396</v>
      </c>
      <c r="K67" s="84">
        <f>VLOOKUP(K42,'Mine Production'!$A$7:$AB$45,'Mine Production'!$L$8,FALSE)</f>
        <v>31205381</v>
      </c>
      <c r="L67" s="84">
        <f>VLOOKUP(L42,'Mine Production'!$A$7:$AB$45,'Mine Production'!$L$8,FALSE)</f>
        <v>23252475</v>
      </c>
      <c r="M67" s="84">
        <f>VLOOKUP(M42,'Mine Production'!$A$7:$AB$45,'Mine Production'!$L$8,FALSE)</f>
        <v>23500122</v>
      </c>
      <c r="N67" s="84">
        <f>VLOOKUP(N42,'Mine Production'!$A$7:$AB$45,'Mine Production'!$L$8,FALSE)</f>
        <v>24137594</v>
      </c>
      <c r="O67" s="84">
        <f>VLOOKUP(O42,'Mine Production'!$A$7:$AB$45,'Mine Production'!$L$8,FALSE)</f>
        <v>16841183</v>
      </c>
      <c r="P67" s="84">
        <f>VLOOKUP(P42,'Mine Production'!$A$7:$AB$45,'Mine Production'!$L$8,FALSE)</f>
        <v>8979111</v>
      </c>
      <c r="Q67" s="84">
        <f>VLOOKUP(Q42,'Mine Production'!$A$7:$AB$45,'Mine Production'!$L$8,FALSE)</f>
        <v>7990986</v>
      </c>
      <c r="R67" s="84">
        <f>VLOOKUP(R42,'Mine Production'!$A$7:$AB$45,'Mine Production'!$L$8,FALSE)</f>
        <v>11402062</v>
      </c>
      <c r="S67" s="84">
        <f>VLOOKUP(S42,'Mine Production'!$A$7:$AB$45,'Mine Production'!$L$8,FALSE)</f>
        <v>11221557</v>
      </c>
      <c r="T67" s="84">
        <f>VLOOKUP(T42,'Mine Production'!$A$7:$AB$45,'Mine Production'!$L$8,FALSE)</f>
        <v>11125949</v>
      </c>
      <c r="U67" s="84">
        <f>VLOOKUP(U42,'Mine Production'!$A$7:$AB$45,'Mine Production'!$L$8,FALSE)</f>
        <v>11333467</v>
      </c>
      <c r="V67" s="84" t="str">
        <f>VLOOKUP(V42,'Mine Production'!$A$7:$AB$45,'Mine Production'!$L$8,FALSE)</f>
        <v/>
      </c>
      <c r="W67" s="84" t="str">
        <f>VLOOKUP(W42,'Mine Production'!$A$7:$AB$45,'Mine Production'!$L$8,FALSE)</f>
        <v/>
      </c>
      <c r="X67" s="84" t="str">
        <f>VLOOKUP(X42,'Mine Production'!$A$7:$AB$45,'Mine Production'!$L$8,FALSE)</f>
        <v/>
      </c>
      <c r="Y67" s="84" t="str">
        <f>VLOOKUP(Y42,'Mine Production'!$A$7:$AB$45,'Mine Production'!$L$8,FALSE)</f>
        <v/>
      </c>
      <c r="Z67" s="84" t="str">
        <f>VLOOKUP(Z42,'Mine Production'!$A$7:$AB$45,'Mine Production'!$L$8,FALSE)</f>
        <v/>
      </c>
      <c r="AA67" s="84" t="str">
        <f>VLOOKUP(AA42,'Mine Production'!$A$7:$AB$45,'Mine Production'!$L$8,FALSE)</f>
        <v/>
      </c>
      <c r="AB67" s="84" t="str">
        <f>VLOOKUP(AB42,'Mine Production'!$A$7:$AB$45,'Mine Production'!$L$8,FALSE)</f>
        <v/>
      </c>
      <c r="AC67" s="84" t="str">
        <f>VLOOKUP(AC42,'Mine Production'!$A$7:$AB$45,'Mine Production'!$L$8,FALSE)</f>
        <v/>
      </c>
      <c r="AD67" s="84" t="str">
        <f>VLOOKUP(AD42,'Mine Production'!$A$7:$AB$45,'Mine Production'!$L$8,FALSE)</f>
        <v/>
      </c>
      <c r="AE67" s="84" t="str">
        <f>VLOOKUP(AE42,'Mine Production'!$A$7:$AB$45,'Mine Production'!$L$8,FALSE)</f>
        <v/>
      </c>
      <c r="AF67" s="84" t="str">
        <f>VLOOKUP(AF42,'Mine Production'!$A$7:$AB$45,'Mine Production'!$L$8,FALSE)</f>
        <v/>
      </c>
      <c r="AG67" s="88" t="str">
        <f>VLOOKUP(AG42,'Mine Production'!$A$7:$AB$45,'Mine Production'!$L$8,FALSE)</f>
        <v/>
      </c>
      <c r="AH67" s="24"/>
      <c r="AI67" s="24"/>
      <c r="AJ67" s="24"/>
      <c r="AK67" s="24"/>
      <c r="AL67" s="24"/>
      <c r="AM67" s="24"/>
      <c r="AN67" s="24"/>
      <c r="AO67" s="24"/>
      <c r="AP67" s="24"/>
      <c r="AQ67" s="24"/>
      <c r="AR67" s="24"/>
      <c r="AS67" s="24"/>
      <c r="AT67" s="24"/>
      <c r="AU67" s="24"/>
      <c r="AV67" s="24"/>
      <c r="AW67" s="24"/>
      <c r="AX67" s="24"/>
      <c r="AY67" s="24"/>
      <c r="AZ67" s="24"/>
      <c r="BA67" s="24"/>
    </row>
    <row r="68" ht="12.75" customHeight="1">
      <c r="A68" s="46" t="s">
        <v>422</v>
      </c>
      <c r="B68" s="51" t="s">
        <v>51</v>
      </c>
      <c r="C68" s="84">
        <f>VLOOKUP(C42,'Oil and Gas Production'!$I$50:$K$81,2,FALSE)</f>
        <v>24360918</v>
      </c>
      <c r="D68" s="84">
        <f>VLOOKUP(D42,'Oil and Gas Production'!$I$50:$K$81,2,FALSE)</f>
        <v>21957218</v>
      </c>
      <c r="E68" s="84">
        <f>VLOOKUP(E42,'Oil and Gas Production'!$I$50:$K$81,2,FALSE)</f>
        <v>20481246</v>
      </c>
      <c r="F68" s="84">
        <f>VLOOKUP(F42,'Oil and Gas Production'!$I$50:$K$81,2,FALSE)</f>
        <v>19194128</v>
      </c>
      <c r="G68" s="84">
        <f>VLOOKUP(G42,'Oil and Gas Production'!$I$50:$K$81,2,FALSE)</f>
        <v>18243169</v>
      </c>
      <c r="H68" s="84">
        <f>VLOOKUP(H42,'Oil and Gas Production'!$I$50:$K$81,2,FALSE)</f>
        <v>18269550</v>
      </c>
      <c r="I68" s="84">
        <f>VLOOKUP(I42,'Oil and Gas Production'!$I$50:$K$81,2,FALSE)</f>
        <v>18580693</v>
      </c>
      <c r="J68" s="84">
        <f>VLOOKUP(J42,'Oil and Gas Production'!$I$50:$K$81,2,FALSE)</f>
        <v>18238685</v>
      </c>
      <c r="K68" s="84">
        <f>VLOOKUP(K42,'Oil and Gas Production'!$I$50:$K$81,2,FALSE)</f>
        <v>17641324</v>
      </c>
      <c r="L68" s="84">
        <f>VLOOKUP(L42,'Oil and Gas Production'!$I$50:$K$81,2,FALSE)</f>
        <v>17303097</v>
      </c>
      <c r="M68" s="84">
        <f>VLOOKUP(M42,'Oil and Gas Production'!$I$50:$K$81,2,FALSE)</f>
        <v>18983195</v>
      </c>
      <c r="N68" s="84">
        <f>VLOOKUP(N42,'Oil and Gas Production'!$I$50:$K$81,2,FALSE)</f>
        <v>20593484</v>
      </c>
      <c r="O68" s="84">
        <f>VLOOKUP(O42,'Oil and Gas Production'!$I$50:$K$81,2,FALSE)</f>
        <v>23425872</v>
      </c>
      <c r="P68" s="84">
        <f>VLOOKUP(P42,'Oil and Gas Production'!$I$50:$K$81,2,FALSE)</f>
        <v>30590055</v>
      </c>
      <c r="Q68" s="84">
        <f>VLOOKUP(Q42,'Oil and Gas Production'!$I$50:$K$81,2,FALSE)</f>
        <v>41644950</v>
      </c>
      <c r="R68" s="84">
        <f>VLOOKUP(R42,'Oil and Gas Production'!$I$50:$K$81,2,FALSE)</f>
        <v>50455923</v>
      </c>
      <c r="S68" s="84">
        <f>VLOOKUP(S42,'Oil and Gas Production'!$I$50:$K$81,2,FALSE)</f>
        <v>38709215</v>
      </c>
      <c r="T68" s="84">
        <f>VLOOKUP(T42,'Oil and Gas Production'!$I$50:$K$81,2,FALSE)</f>
        <v>39581558</v>
      </c>
      <c r="U68" s="84">
        <f>VLOOKUP(U42,'Oil and Gas Production'!$I$50:$K$81,2,FALSE)</f>
        <v>46598570</v>
      </c>
      <c r="V68" s="84" t="str">
        <f>VLOOKUP(V42,'Oil and Gas Production'!$I$50:$K$81,2,FALSE)</f>
        <v/>
      </c>
      <c r="W68" s="84" t="str">
        <f>VLOOKUP(W42,'Oil and Gas Production'!$I$50:$K$81,2,FALSE)</f>
        <v/>
      </c>
      <c r="X68" s="84" t="str">
        <f>VLOOKUP(X42,'Oil and Gas Production'!$I$50:$K$81,2,FALSE)</f>
        <v/>
      </c>
      <c r="Y68" s="84" t="str">
        <f>VLOOKUP(Y42,'Oil and Gas Production'!$I$50:$K$81,2,FALSE)</f>
        <v/>
      </c>
      <c r="Z68" s="84" t="str">
        <f>VLOOKUP(Z42,'Oil and Gas Production'!$I$50:$K$81,2,FALSE)</f>
        <v/>
      </c>
      <c r="AA68" s="84" t="str">
        <f>VLOOKUP(AA42,'Oil and Gas Production'!$I$50:$K$81,2,FALSE)</f>
        <v/>
      </c>
      <c r="AB68" s="84" t="str">
        <f>VLOOKUP(AB42,'Oil and Gas Production'!$I$50:$K$81,2,FALSE)</f>
        <v/>
      </c>
      <c r="AC68" s="84" t="str">
        <f>VLOOKUP(AC42,'Oil and Gas Production'!$I$50:$K$81,2,FALSE)</f>
        <v/>
      </c>
      <c r="AD68" s="84" t="str">
        <f>VLOOKUP(AD42,'Oil and Gas Production'!$I$50:$K$81,2,FALSE)</f>
        <v/>
      </c>
      <c r="AE68" s="84" t="str">
        <f>VLOOKUP(AE42,'Oil and Gas Production'!$I$50:$K$81,2,FALSE)</f>
        <v/>
      </c>
      <c r="AF68" s="84" t="str">
        <f>VLOOKUP(AF42,'Oil and Gas Production'!$I$50:$K$81,2,FALSE)</f>
        <v/>
      </c>
      <c r="AG68" s="88" t="str">
        <f>VLOOKUP(AG42,'Oil and Gas Production'!$I$50:$K$81,2,FALSE)</f>
        <v/>
      </c>
      <c r="AH68" s="24"/>
      <c r="AI68" s="24"/>
      <c r="AJ68" s="24"/>
      <c r="AK68" s="24"/>
      <c r="AL68" s="24"/>
      <c r="AM68" s="24"/>
      <c r="AN68" s="24"/>
      <c r="AO68" s="24"/>
      <c r="AP68" s="24"/>
      <c r="AQ68" s="24"/>
      <c r="AR68" s="24"/>
      <c r="AS68" s="24"/>
      <c r="AT68" s="24"/>
      <c r="AU68" s="24"/>
      <c r="AV68" s="24"/>
      <c r="AW68" s="24"/>
      <c r="AX68" s="24"/>
      <c r="AY68" s="24"/>
      <c r="AZ68" s="24"/>
      <c r="BA68" s="24"/>
    </row>
    <row r="69" ht="12.75" customHeight="1">
      <c r="A69" s="46" t="s">
        <v>423</v>
      </c>
      <c r="B69" s="51" t="s">
        <v>51</v>
      </c>
      <c r="C69" s="84">
        <f>VLOOKUP(C42,'Coalbed Methane'!$A$6:$K$60,'Coalbed Methane'!$J$9,FALSE)</f>
        <v>32575.13367</v>
      </c>
      <c r="D69" s="84">
        <f>VLOOKUP(D42,'Coalbed Methane'!$A$6:$K$60,'Coalbed Methane'!$J$9,FALSE)</f>
        <v>38002.97106</v>
      </c>
      <c r="E69" s="84">
        <f>VLOOKUP(E42,'Coalbed Methane'!$A$6:$K$60,'Coalbed Methane'!$J$9,FALSE)</f>
        <v>33893.36082</v>
      </c>
      <c r="F69" s="84">
        <f>VLOOKUP(F42,'Coalbed Methane'!$A$6:$K$60,'Coalbed Methane'!$J$9,FALSE)</f>
        <v>31750.14574</v>
      </c>
      <c r="G69" s="84">
        <f>VLOOKUP(G42,'Coalbed Methane'!$A$6:$K$60,'Coalbed Methane'!$J$9,FALSE)</f>
        <v>26839.75063</v>
      </c>
      <c r="H69" s="84">
        <f>VLOOKUP(H42,'Coalbed Methane'!$A$6:$K$60,'Coalbed Methane'!$J$9,FALSE)</f>
        <v>20039.70984</v>
      </c>
      <c r="I69" s="84">
        <f>VLOOKUP(I42,'Coalbed Methane'!$A$6:$K$60,'Coalbed Methane'!$J$9,FALSE)</f>
        <v>19616.26079</v>
      </c>
      <c r="J69" s="84">
        <f>VLOOKUP(J42,'Coalbed Methane'!$A$6:$K$60,'Coalbed Methane'!$J$9,FALSE)</f>
        <v>12781.55635</v>
      </c>
      <c r="K69" s="84">
        <f>VLOOKUP(K42,'Coalbed Methane'!$A$6:$K$60,'Coalbed Methane'!$J$9,FALSE)</f>
        <v>10046.96092</v>
      </c>
      <c r="L69" s="84">
        <f>VLOOKUP(L42,'Coalbed Methane'!$A$6:$K$60,'Coalbed Methane'!$J$9,FALSE)</f>
        <v>6416.943959</v>
      </c>
      <c r="M69" s="84">
        <f>VLOOKUP(M42,'Coalbed Methane'!$A$6:$K$60,'Coalbed Methane'!$J$9,FALSE)</f>
        <v>4433.796275</v>
      </c>
      <c r="N69" s="84">
        <f>VLOOKUP(N42,'Coalbed Methane'!$A$6:$K$60,'Coalbed Methane'!$J$9,FALSE)</f>
        <v>3342.015651</v>
      </c>
      <c r="O69" s="84">
        <f>VLOOKUP(O42,'Coalbed Methane'!$A$6:$K$60,'Coalbed Methane'!$J$9,FALSE)</f>
        <v>2060.126868</v>
      </c>
      <c r="P69" s="84">
        <f>VLOOKUP(P42,'Coalbed Methane'!$A$6:$K$60,'Coalbed Methane'!$J$9,FALSE)</f>
        <v>1279.12209</v>
      </c>
      <c r="Q69" s="84">
        <f>VLOOKUP(Q42,'Coalbed Methane'!$A$6:$K$60,'Coalbed Methane'!$J$9,FALSE)</f>
        <v>785.7440548</v>
      </c>
      <c r="R69" s="84">
        <f>VLOOKUP(R42,'Coalbed Methane'!$A$6:$K$60,'Coalbed Methane'!$J$9,FALSE)</f>
        <v>525.2097738</v>
      </c>
      <c r="S69" s="84">
        <f>VLOOKUP(S42,'Coalbed Methane'!$A$6:$K$60,'Coalbed Methane'!$J$9,FALSE)</f>
        <v>252.7456476</v>
      </c>
      <c r="T69" s="84">
        <f>VLOOKUP(T42,'Coalbed Methane'!$A$6:$K$60,'Coalbed Methane'!$J$9,FALSE)</f>
        <v>229.808704</v>
      </c>
      <c r="U69" s="84">
        <f>VLOOKUP(U42,'Coalbed Methane'!$A$6:$K$60,'Coalbed Methane'!$J$9,FALSE)</f>
        <v>51.531786</v>
      </c>
      <c r="V69" s="84" t="str">
        <f>VLOOKUP(V42,'Coalbed Methane'!$A$6:$K$60,'Coalbed Methane'!$J$9,FALSE)</f>
        <v/>
      </c>
      <c r="W69" s="84" t="str">
        <f>VLOOKUP(W42,'Coalbed Methane'!$A$6:$K$60,'Coalbed Methane'!$J$9,FALSE)</f>
        <v/>
      </c>
      <c r="X69" s="84" t="str">
        <f>VLOOKUP(X42,'Coalbed Methane'!$A$6:$K$60,'Coalbed Methane'!$J$9,FALSE)</f>
        <v/>
      </c>
      <c r="Y69" s="84" t="str">
        <f>VLOOKUP(Y42,'Coalbed Methane'!$A$6:$K$60,'Coalbed Methane'!$J$9,FALSE)</f>
        <v/>
      </c>
      <c r="Z69" s="84" t="str">
        <f>VLOOKUP(Z42,'Coalbed Methane'!$A$6:$K$60,'Coalbed Methane'!$J$9,FALSE)</f>
        <v/>
      </c>
      <c r="AA69" s="84" t="str">
        <f>VLOOKUP(AA42,'Coalbed Methane'!$A$6:$K$60,'Coalbed Methane'!$J$9,FALSE)</f>
        <v/>
      </c>
      <c r="AB69" s="84" t="str">
        <f>VLOOKUP(AB42,'Coalbed Methane'!$A$6:$K$60,'Coalbed Methane'!$J$9,FALSE)</f>
        <v/>
      </c>
      <c r="AC69" s="84" t="str">
        <f>VLOOKUP(AC42,'Coalbed Methane'!$A$6:$K$60,'Coalbed Methane'!$J$9,FALSE)</f>
        <v/>
      </c>
      <c r="AD69" s="84" t="str">
        <f>VLOOKUP(AD42,'Coalbed Methane'!$A$6:$K$60,'Coalbed Methane'!$J$9,FALSE)</f>
        <v/>
      </c>
      <c r="AE69" s="84" t="str">
        <f>VLOOKUP(AE42,'Coalbed Methane'!$A$6:$K$60,'Coalbed Methane'!$J$9,FALSE)</f>
        <v/>
      </c>
      <c r="AF69" s="84" t="str">
        <f>VLOOKUP(AF42,'Coalbed Methane'!$A$6:$K$60,'Coalbed Methane'!$J$9,FALSE)</f>
        <v/>
      </c>
      <c r="AG69" s="88" t="str">
        <f>VLOOKUP(AG42,'Coalbed Methane'!$A$6:$K$60,'Coalbed Methane'!$J$9,FALSE)</f>
        <v/>
      </c>
      <c r="AH69" s="24"/>
      <c r="AI69" s="24"/>
      <c r="AJ69" s="24"/>
      <c r="AK69" s="24"/>
      <c r="AL69" s="24"/>
      <c r="AM69" s="24"/>
      <c r="AN69" s="24"/>
      <c r="AO69" s="24"/>
      <c r="AP69" s="24"/>
      <c r="AQ69" s="24"/>
      <c r="AR69" s="24"/>
      <c r="AS69" s="24"/>
      <c r="AT69" s="24"/>
      <c r="AU69" s="24"/>
      <c r="AV69" s="24"/>
      <c r="AW69" s="24"/>
      <c r="AX69" s="24"/>
      <c r="AY69" s="24"/>
      <c r="AZ69" s="24"/>
      <c r="BA69" s="24"/>
    </row>
    <row r="70" ht="12.75" customHeight="1">
      <c r="A70" s="46" t="s">
        <v>435</v>
      </c>
      <c r="B70" s="51" t="s">
        <v>52</v>
      </c>
      <c r="C70" s="84">
        <v>1.0</v>
      </c>
      <c r="D70" s="84">
        <v>1.0</v>
      </c>
      <c r="E70" s="84">
        <v>1.0</v>
      </c>
      <c r="F70" s="84">
        <v>1.0</v>
      </c>
      <c r="G70" s="84">
        <v>1.0</v>
      </c>
      <c r="H70" s="84">
        <v>1.0</v>
      </c>
      <c r="I70" s="84">
        <v>1.0</v>
      </c>
      <c r="J70" s="84">
        <v>1.0</v>
      </c>
      <c r="K70" s="84">
        <v>1.0</v>
      </c>
      <c r="L70" s="84">
        <v>1.0</v>
      </c>
      <c r="M70" s="84">
        <v>1.0</v>
      </c>
      <c r="N70" s="84">
        <v>1.0</v>
      </c>
      <c r="O70" s="84">
        <v>1.0</v>
      </c>
      <c r="P70" s="84">
        <v>1.0</v>
      </c>
      <c r="Q70" s="84">
        <v>1.0</v>
      </c>
      <c r="R70" s="84">
        <v>1.0</v>
      </c>
      <c r="S70" s="84">
        <v>1.0</v>
      </c>
      <c r="T70" s="84">
        <v>1.0</v>
      </c>
      <c r="U70" s="84">
        <v>1.0</v>
      </c>
      <c r="V70" s="84"/>
      <c r="W70" s="84"/>
      <c r="X70" s="84"/>
      <c r="Y70" s="84"/>
      <c r="Z70" s="84"/>
      <c r="AA70" s="84"/>
      <c r="AB70" s="84"/>
      <c r="AC70" s="84"/>
      <c r="AD70" s="84"/>
      <c r="AE70" s="84"/>
      <c r="AF70" s="84"/>
      <c r="AG70" s="88"/>
      <c r="AH70" s="24"/>
      <c r="AI70" s="24"/>
      <c r="AJ70" s="24"/>
      <c r="AK70" s="24"/>
      <c r="AL70" s="24"/>
      <c r="AM70" s="24"/>
      <c r="AN70" s="24"/>
      <c r="AO70" s="24"/>
      <c r="AP70" s="24"/>
      <c r="AQ70" s="24"/>
      <c r="AR70" s="24"/>
      <c r="AS70" s="24"/>
      <c r="AT70" s="24"/>
      <c r="AU70" s="24"/>
      <c r="AV70" s="24"/>
      <c r="AW70" s="24"/>
      <c r="AX70" s="24"/>
      <c r="AY70" s="24"/>
      <c r="AZ70" s="24"/>
      <c r="BA70" s="24"/>
    </row>
    <row r="71" ht="12.75" customHeight="1">
      <c r="A71" s="46" t="s">
        <v>413</v>
      </c>
      <c r="B71" s="51" t="s">
        <v>52</v>
      </c>
      <c r="C71" s="84" t="str">
        <f>VLOOKUP(C42,'Electrical Generation'!$A$6:$O$42,'Electrical Generation'!$O$11,FALSE)</f>
        <v/>
      </c>
      <c r="D71" s="84">
        <f>VLOOKUP(D42,'Electrical Generation'!$A$6:$O$42,'Electrical Generation'!$O$11,FALSE)</f>
        <v>2812262</v>
      </c>
      <c r="E71" s="84">
        <f>VLOOKUP(E42,'Electrical Generation'!$A$6:$O$42,'Electrical Generation'!$O$11,FALSE)</f>
        <v>2858049</v>
      </c>
      <c r="F71" s="84">
        <f>VLOOKUP(F42,'Electrical Generation'!$A$6:$O$42,'Electrical Generation'!$O$11,FALSE)</f>
        <v>2743028</v>
      </c>
      <c r="G71" s="84">
        <f>VLOOKUP(G42,'Electrical Generation'!$A$6:$O$42,'Electrical Generation'!$O$11,FALSE)</f>
        <v>2685120</v>
      </c>
      <c r="H71" s="84">
        <f>VLOOKUP(H42,'Electrical Generation'!$A$6:$O$42,'Electrical Generation'!$O$11,FALSE)</f>
        <v>2675359</v>
      </c>
      <c r="I71" s="84">
        <f>VLOOKUP(I42,'Electrical Generation'!$A$6:$O$42,'Electrical Generation'!$O$11,FALSE)</f>
        <v>2353507</v>
      </c>
      <c r="J71" s="84">
        <f>VLOOKUP(J42,'Electrical Generation'!$A$6:$O$42,'Electrical Generation'!$O$11,FALSE)</f>
        <v>2895955</v>
      </c>
      <c r="K71" s="84">
        <f>VLOOKUP(K42,'Electrical Generation'!$A$6:$O$42,'Electrical Generation'!$O$11,FALSE)</f>
        <v>2815922</v>
      </c>
      <c r="L71" s="84">
        <f>VLOOKUP(L42,'Electrical Generation'!$A$6:$O$42,'Electrical Generation'!$O$11,FALSE)</f>
        <v>2713256</v>
      </c>
      <c r="M71" s="84">
        <f>VLOOKUP(M42,'Electrical Generation'!$A$6:$O$42,'Electrical Generation'!$O$11,FALSE)</f>
        <v>2564505</v>
      </c>
      <c r="N71" s="84">
        <f>VLOOKUP(N42,'Electrical Generation'!$A$6:$O$42,'Electrical Generation'!$O$11,FALSE)</f>
        <v>1835927</v>
      </c>
      <c r="O71" s="84">
        <f>VLOOKUP(O42,'Electrical Generation'!$A$6:$O$42,'Electrical Generation'!$O$11,FALSE)</f>
        <v>2524024</v>
      </c>
      <c r="P71" s="84">
        <f>VLOOKUP(P42,'Electrical Generation'!$A$6:$O$42,'Electrical Generation'!$O$11,FALSE)</f>
        <v>2515396</v>
      </c>
      <c r="Q71" s="84">
        <f>VLOOKUP(Q42,'Electrical Generation'!$A$6:$O$42,'Electrical Generation'!$O$11,FALSE)</f>
        <v>2622575</v>
      </c>
      <c r="R71" s="84">
        <f>VLOOKUP(R42,'Electrical Generation'!$A$6:$O$42,'Electrical Generation'!$O$11,FALSE)</f>
        <v>2563582</v>
      </c>
      <c r="S71" s="84">
        <f>VLOOKUP(S42,'Electrical Generation'!$A$6:$O$42,'Electrical Generation'!$O$11,FALSE)</f>
        <v>2056358</v>
      </c>
      <c r="T71" s="84">
        <f>VLOOKUP(T42,'Electrical Generation'!$A$6:$O$42,'Electrical Generation'!$O$11,FALSE)</f>
        <v>2565053</v>
      </c>
      <c r="U71" s="84">
        <f>VLOOKUP(U42,'Electrical Generation'!$A$6:$O$42,'Electrical Generation'!$O$11,FALSE)</f>
        <v>2072325</v>
      </c>
      <c r="V71" s="84" t="str">
        <f>VLOOKUP(V42,'Electrical Generation'!$A$6:$O$42,'Electrical Generation'!$O$11,FALSE)</f>
        <v/>
      </c>
      <c r="W71" s="84" t="str">
        <f>VLOOKUP(W42,'Electrical Generation'!$A$6:$O$42,'Electrical Generation'!$O$11,FALSE)</f>
        <v/>
      </c>
      <c r="X71" s="84" t="str">
        <f>VLOOKUP(X42,'Electrical Generation'!$A$6:$O$42,'Electrical Generation'!$O$11,FALSE)</f>
        <v/>
      </c>
      <c r="Y71" s="84" t="str">
        <f>VLOOKUP(Y42,'Electrical Generation'!$A$6:$O$42,'Electrical Generation'!$O$11,FALSE)</f>
        <v/>
      </c>
      <c r="Z71" s="84" t="str">
        <f>VLOOKUP(Z42,'Electrical Generation'!$A$6:$O$42,'Electrical Generation'!$O$11,FALSE)</f>
        <v/>
      </c>
      <c r="AA71" s="84" t="str">
        <f>VLOOKUP(AA42,'Electrical Generation'!$A$6:$O$42,'Electrical Generation'!$O$11,FALSE)</f>
        <v/>
      </c>
      <c r="AB71" s="84" t="str">
        <f>VLOOKUP(AB42,'Electrical Generation'!$A$6:$O$42,'Electrical Generation'!$O$11,FALSE)</f>
        <v/>
      </c>
      <c r="AC71" s="84" t="str">
        <f>VLOOKUP(AC42,'Electrical Generation'!$A$6:$O$42,'Electrical Generation'!$O$11,FALSE)</f>
        <v/>
      </c>
      <c r="AD71" s="84" t="str">
        <f>VLOOKUP(AD42,'Electrical Generation'!$A$6:$O$42,'Electrical Generation'!$O$11,FALSE)</f>
        <v/>
      </c>
      <c r="AE71" s="84" t="str">
        <f>VLOOKUP(AE42,'Electrical Generation'!$A$6:$O$42,'Electrical Generation'!$O$11,FALSE)</f>
        <v/>
      </c>
      <c r="AF71" s="84" t="str">
        <f>VLOOKUP(AF42,'Electrical Generation'!$A$6:$O$42,'Electrical Generation'!$O$11,FALSE)</f>
        <v/>
      </c>
      <c r="AG71" s="88" t="str">
        <f>VLOOKUP(AG42,'Electrical Generation'!$A$6:$O$42,'Electrical Generation'!$O$11,FALSE)</f>
        <v/>
      </c>
      <c r="AH71" s="24"/>
      <c r="AI71" s="148"/>
      <c r="AJ71" s="148"/>
      <c r="AK71" s="24"/>
      <c r="AL71" s="24"/>
      <c r="AM71" s="24"/>
      <c r="AN71" s="24"/>
      <c r="AO71" s="24"/>
      <c r="AP71" s="24"/>
      <c r="AQ71" s="24"/>
      <c r="AR71" s="24"/>
      <c r="AS71" s="24"/>
      <c r="AT71" s="24"/>
      <c r="AU71" s="24"/>
      <c r="AV71" s="24"/>
      <c r="AW71" s="24"/>
      <c r="AX71" s="24"/>
      <c r="AY71" s="24"/>
      <c r="AZ71" s="24"/>
      <c r="BA71" s="24"/>
    </row>
    <row r="72" ht="12.75" customHeight="1">
      <c r="A72" s="349" t="s">
        <v>321</v>
      </c>
      <c r="B72" s="350"/>
      <c r="C72" s="398"/>
      <c r="D72" s="398"/>
      <c r="E72" s="398"/>
      <c r="F72" s="398"/>
      <c r="G72" s="398"/>
      <c r="H72" s="398"/>
      <c r="I72" s="398"/>
      <c r="J72" s="398"/>
      <c r="K72" s="398"/>
      <c r="L72" s="398"/>
      <c r="M72" s="398"/>
      <c r="N72" s="398"/>
      <c r="O72" s="398"/>
      <c r="P72" s="398"/>
      <c r="Q72" s="398"/>
      <c r="R72" s="398"/>
      <c r="S72" s="398"/>
      <c r="T72" s="398"/>
      <c r="U72" s="398"/>
      <c r="V72" s="398"/>
      <c r="W72" s="398"/>
      <c r="X72" s="398"/>
      <c r="Y72" s="398"/>
      <c r="Z72" s="398"/>
      <c r="AA72" s="398"/>
      <c r="AB72" s="398"/>
      <c r="AC72" s="398"/>
      <c r="AD72" s="398"/>
      <c r="AE72" s="398"/>
      <c r="AF72" s="398"/>
      <c r="AG72" s="399"/>
      <c r="AH72" s="24"/>
      <c r="AI72" s="24"/>
      <c r="AJ72" s="24"/>
      <c r="AK72" s="24"/>
      <c r="AL72" s="24"/>
      <c r="AM72" s="24"/>
      <c r="AN72" s="24"/>
      <c r="AO72" s="24"/>
      <c r="AP72" s="24"/>
      <c r="AQ72" s="24"/>
      <c r="AR72" s="24"/>
      <c r="AS72" s="24"/>
      <c r="AT72" s="24"/>
      <c r="AU72" s="24"/>
      <c r="AV72" s="24"/>
      <c r="AW72" s="24"/>
      <c r="AX72" s="24"/>
      <c r="AY72" s="24"/>
      <c r="AZ72" s="24"/>
      <c r="BA72" s="24"/>
    </row>
    <row r="73" ht="12.75" customHeight="1">
      <c r="A73" s="46" t="s">
        <v>48</v>
      </c>
      <c r="B73" s="51" t="s">
        <v>51</v>
      </c>
      <c r="C73" s="84">
        <f t="shared" ref="C73:AG73" si="24">SUM(C44:C53)</f>
        <v>33197.44527</v>
      </c>
      <c r="D73" s="84">
        <f t="shared" si="24"/>
        <v>40589.73411</v>
      </c>
      <c r="E73" s="84">
        <f t="shared" si="24"/>
        <v>35899.53702</v>
      </c>
      <c r="F73" s="84">
        <f t="shared" si="24"/>
        <v>33843.17986</v>
      </c>
      <c r="G73" s="84">
        <f t="shared" si="24"/>
        <v>29535.55376</v>
      </c>
      <c r="H73" s="84">
        <f t="shared" si="24"/>
        <v>23406.80615</v>
      </c>
      <c r="I73" s="84">
        <f t="shared" si="24"/>
        <v>23175.03322</v>
      </c>
      <c r="J73" s="84">
        <f t="shared" si="24"/>
        <v>16696.91791</v>
      </c>
      <c r="K73" s="84">
        <f t="shared" si="24"/>
        <v>14254.36136</v>
      </c>
      <c r="L73" s="84">
        <f t="shared" si="24"/>
        <v>10190.15646</v>
      </c>
      <c r="M73" s="84">
        <f t="shared" si="24"/>
        <v>7974.330405</v>
      </c>
      <c r="N73" s="84">
        <f t="shared" si="24"/>
        <v>5865.574466</v>
      </c>
      <c r="O73" s="84">
        <f t="shared" si="24"/>
        <v>4469.445533</v>
      </c>
      <c r="P73" s="84">
        <f t="shared" si="24"/>
        <v>3668.101859</v>
      </c>
      <c r="Q73" s="84">
        <f t="shared" si="24"/>
        <v>3288.751269</v>
      </c>
      <c r="R73" s="84">
        <f t="shared" si="24"/>
        <v>3083.415392</v>
      </c>
      <c r="S73" s="84">
        <f t="shared" si="24"/>
        <v>2212.9647</v>
      </c>
      <c r="T73" s="84">
        <f t="shared" si="24"/>
        <v>2290.674565</v>
      </c>
      <c r="U73" s="84">
        <f t="shared" si="24"/>
        <v>2072.579442</v>
      </c>
      <c r="V73" s="84">
        <f t="shared" si="24"/>
        <v>0</v>
      </c>
      <c r="W73" s="84">
        <f t="shared" si="24"/>
        <v>0</v>
      </c>
      <c r="X73" s="84">
        <f t="shared" si="24"/>
        <v>0</v>
      </c>
      <c r="Y73" s="84">
        <f t="shared" si="24"/>
        <v>0</v>
      </c>
      <c r="Z73" s="84">
        <f t="shared" si="24"/>
        <v>0</v>
      </c>
      <c r="AA73" s="84">
        <f t="shared" si="24"/>
        <v>0</v>
      </c>
      <c r="AB73" s="84">
        <f t="shared" si="24"/>
        <v>0</v>
      </c>
      <c r="AC73" s="84">
        <f t="shared" si="24"/>
        <v>0</v>
      </c>
      <c r="AD73" s="84">
        <f t="shared" si="24"/>
        <v>0</v>
      </c>
      <c r="AE73" s="84">
        <f t="shared" si="24"/>
        <v>0</v>
      </c>
      <c r="AF73" s="84">
        <f t="shared" si="24"/>
        <v>0</v>
      </c>
      <c r="AG73" s="88">
        <f t="shared" si="24"/>
        <v>0</v>
      </c>
      <c r="AH73" s="148"/>
      <c r="AI73" s="24"/>
      <c r="AJ73" s="24"/>
      <c r="AK73" s="24"/>
      <c r="AL73" s="24"/>
      <c r="AM73" s="24"/>
      <c r="AN73" s="24"/>
      <c r="AO73" s="24"/>
      <c r="AP73" s="24"/>
      <c r="AQ73" s="24"/>
      <c r="AR73" s="24"/>
      <c r="AS73" s="24"/>
      <c r="AT73" s="24"/>
      <c r="AU73" s="24"/>
      <c r="AV73" s="24"/>
      <c r="AW73" s="24"/>
      <c r="AX73" s="24"/>
      <c r="AY73" s="24"/>
      <c r="AZ73" s="24"/>
      <c r="BA73" s="24"/>
    </row>
    <row r="74" ht="12.75" customHeight="1">
      <c r="A74" s="153" t="s">
        <v>49</v>
      </c>
      <c r="B74" s="215" t="s">
        <v>52</v>
      </c>
      <c r="C74" s="157">
        <f t="shared" ref="C74:AG74" si="25">SUM(C54:C58)</f>
        <v>381.383973</v>
      </c>
      <c r="D74" s="157">
        <f t="shared" si="25"/>
        <v>815.9023081</v>
      </c>
      <c r="E74" s="157">
        <f t="shared" si="25"/>
        <v>826.8608468</v>
      </c>
      <c r="F74" s="157">
        <f t="shared" si="25"/>
        <v>820.7048918</v>
      </c>
      <c r="G74" s="157">
        <f t="shared" si="25"/>
        <v>817.046785</v>
      </c>
      <c r="H74" s="157">
        <f t="shared" si="25"/>
        <v>815.6008043</v>
      </c>
      <c r="I74" s="157">
        <f t="shared" si="25"/>
        <v>791.4338731</v>
      </c>
      <c r="J74" s="157">
        <f t="shared" si="25"/>
        <v>876.536228</v>
      </c>
      <c r="K74" s="157">
        <f t="shared" si="25"/>
        <v>870.8277179</v>
      </c>
      <c r="L74" s="157">
        <f t="shared" si="25"/>
        <v>844.966787</v>
      </c>
      <c r="M74" s="157">
        <f t="shared" si="25"/>
        <v>831.6532662</v>
      </c>
      <c r="N74" s="157">
        <f t="shared" si="25"/>
        <v>730.7022819</v>
      </c>
      <c r="O74" s="157">
        <f t="shared" si="25"/>
        <v>818.3006201</v>
      </c>
      <c r="P74" s="157">
        <f t="shared" si="25"/>
        <v>797.353284</v>
      </c>
      <c r="Q74" s="157">
        <f t="shared" si="25"/>
        <v>822.537878</v>
      </c>
      <c r="R74" s="157">
        <f t="shared" si="25"/>
        <v>803.1270043</v>
      </c>
      <c r="S74" s="157">
        <f t="shared" si="25"/>
        <v>691.9014571</v>
      </c>
      <c r="T74" s="157">
        <f t="shared" si="25"/>
        <v>757.8197903</v>
      </c>
      <c r="U74" s="157">
        <f t="shared" si="25"/>
        <v>650.1527096</v>
      </c>
      <c r="V74" s="157">
        <f t="shared" si="25"/>
        <v>0</v>
      </c>
      <c r="W74" s="157">
        <f t="shared" si="25"/>
        <v>0</v>
      </c>
      <c r="X74" s="157">
        <f t="shared" si="25"/>
        <v>0</v>
      </c>
      <c r="Y74" s="157">
        <f t="shared" si="25"/>
        <v>0</v>
      </c>
      <c r="Z74" s="157">
        <f t="shared" si="25"/>
        <v>0</v>
      </c>
      <c r="AA74" s="157">
        <f t="shared" si="25"/>
        <v>0</v>
      </c>
      <c r="AB74" s="157">
        <f t="shared" si="25"/>
        <v>0</v>
      </c>
      <c r="AC74" s="157">
        <f t="shared" si="25"/>
        <v>0</v>
      </c>
      <c r="AD74" s="157">
        <f t="shared" si="25"/>
        <v>0</v>
      </c>
      <c r="AE74" s="157">
        <f t="shared" si="25"/>
        <v>0</v>
      </c>
      <c r="AF74" s="157">
        <f t="shared" si="25"/>
        <v>0</v>
      </c>
      <c r="AG74" s="158">
        <f t="shared" si="25"/>
        <v>0</v>
      </c>
      <c r="AH74" s="24"/>
      <c r="AI74" s="24"/>
      <c r="AJ74" s="24"/>
      <c r="AK74" s="24"/>
      <c r="AL74" s="24"/>
      <c r="AM74" s="24"/>
      <c r="AN74" s="24"/>
      <c r="AO74" s="24"/>
      <c r="AP74" s="24"/>
      <c r="AQ74" s="24"/>
      <c r="AR74" s="24"/>
      <c r="AS74" s="24"/>
      <c r="AT74" s="24"/>
      <c r="AU74" s="24"/>
      <c r="AV74" s="24"/>
      <c r="AW74" s="24"/>
      <c r="AX74" s="24"/>
      <c r="AY74" s="24"/>
      <c r="AZ74" s="24"/>
      <c r="BA74" s="24"/>
    </row>
    <row r="75" ht="12.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row>
    <row r="76" ht="12.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row>
    <row r="77" ht="12.75" customHeight="1">
      <c r="A77" s="30" t="s">
        <v>144</v>
      </c>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2"/>
      <c r="AH77" s="24"/>
      <c r="AI77" s="24"/>
      <c r="AJ77" s="24"/>
      <c r="AK77" s="24"/>
      <c r="AL77" s="24"/>
      <c r="AM77" s="24"/>
      <c r="AN77" s="24"/>
      <c r="AO77" s="24"/>
      <c r="AP77" s="24"/>
      <c r="AQ77" s="24"/>
      <c r="AR77" s="24"/>
      <c r="AS77" s="24"/>
      <c r="AT77" s="24"/>
      <c r="AU77" s="24"/>
      <c r="AV77" s="24"/>
      <c r="AW77" s="24"/>
      <c r="AX77" s="24"/>
      <c r="AY77" s="24"/>
      <c r="AZ77" s="24"/>
      <c r="BA77" s="24"/>
    </row>
    <row r="78" ht="12.75" customHeight="1">
      <c r="A78" s="33" t="s">
        <v>37</v>
      </c>
      <c r="B78" s="34"/>
      <c r="C78" s="35">
        <v>2000.0</v>
      </c>
      <c r="D78" s="35">
        <v>2001.0</v>
      </c>
      <c r="E78" s="35">
        <v>2002.0</v>
      </c>
      <c r="F78" s="35">
        <v>2003.0</v>
      </c>
      <c r="G78" s="35">
        <v>2004.0</v>
      </c>
      <c r="H78" s="35">
        <v>2005.0</v>
      </c>
      <c r="I78" s="35">
        <v>2006.0</v>
      </c>
      <c r="J78" s="35">
        <v>2007.0</v>
      </c>
      <c r="K78" s="35">
        <v>2008.0</v>
      </c>
      <c r="L78" s="35">
        <v>2009.0</v>
      </c>
      <c r="M78" s="35">
        <v>2010.0</v>
      </c>
      <c r="N78" s="35">
        <v>2011.0</v>
      </c>
      <c r="O78" s="35">
        <v>2012.0</v>
      </c>
      <c r="P78" s="35">
        <v>2013.0</v>
      </c>
      <c r="Q78" s="35">
        <v>2014.0</v>
      </c>
      <c r="R78" s="35">
        <v>2015.0</v>
      </c>
      <c r="S78" s="35">
        <v>2016.0</v>
      </c>
      <c r="T78" s="35">
        <v>2017.0</v>
      </c>
      <c r="U78" s="35">
        <v>2018.0</v>
      </c>
      <c r="V78" s="35">
        <v>2019.0</v>
      </c>
      <c r="W78" s="35">
        <v>2020.0</v>
      </c>
      <c r="X78" s="35">
        <v>2021.0</v>
      </c>
      <c r="Y78" s="35">
        <v>2022.0</v>
      </c>
      <c r="Z78" s="35">
        <v>2023.0</v>
      </c>
      <c r="AA78" s="35">
        <v>2024.0</v>
      </c>
      <c r="AB78" s="35">
        <v>2025.0</v>
      </c>
      <c r="AC78" s="35">
        <v>2026.0</v>
      </c>
      <c r="AD78" s="35">
        <v>2027.0</v>
      </c>
      <c r="AE78" s="35">
        <v>2028.0</v>
      </c>
      <c r="AF78" s="35">
        <v>2029.0</v>
      </c>
      <c r="AG78" s="36">
        <v>2030.0</v>
      </c>
      <c r="AH78" s="24"/>
      <c r="AI78" s="24"/>
      <c r="AJ78" s="24"/>
      <c r="AK78" s="24"/>
      <c r="AL78" s="24"/>
      <c r="AM78" s="24"/>
      <c r="AN78" s="24"/>
      <c r="AO78" s="24"/>
      <c r="AP78" s="24"/>
      <c r="AQ78" s="24"/>
      <c r="AR78" s="24"/>
      <c r="AS78" s="24"/>
      <c r="AT78" s="24"/>
      <c r="AU78" s="24"/>
      <c r="AV78" s="24"/>
      <c r="AW78" s="24"/>
      <c r="AX78" s="24"/>
      <c r="AY78" s="24"/>
      <c r="AZ78" s="24"/>
      <c r="BA78" s="24"/>
    </row>
    <row r="79" ht="12.75" customHeight="1">
      <c r="A79" s="429" t="s">
        <v>38</v>
      </c>
      <c r="B79" s="430"/>
      <c r="C79" s="432">
        <v>3.0</v>
      </c>
      <c r="D79" s="432">
        <v>4.0</v>
      </c>
      <c r="E79" s="432">
        <v>5.0</v>
      </c>
      <c r="F79" s="432">
        <v>6.0</v>
      </c>
      <c r="G79" s="432">
        <v>7.0</v>
      </c>
      <c r="H79" s="432">
        <v>8.0</v>
      </c>
      <c r="I79" s="432">
        <v>9.0</v>
      </c>
      <c r="J79" s="432">
        <v>10.0</v>
      </c>
      <c r="K79" s="432">
        <v>11.0</v>
      </c>
      <c r="L79" s="432">
        <v>12.0</v>
      </c>
      <c r="M79" s="432">
        <v>13.0</v>
      </c>
      <c r="N79" s="432">
        <v>14.0</v>
      </c>
      <c r="O79" s="432">
        <v>15.0</v>
      </c>
      <c r="P79" s="432">
        <v>16.0</v>
      </c>
      <c r="Q79" s="432">
        <v>17.0</v>
      </c>
      <c r="R79" s="432">
        <v>18.0</v>
      </c>
      <c r="S79" s="432">
        <v>19.0</v>
      </c>
      <c r="T79" s="432">
        <v>20.0</v>
      </c>
      <c r="U79" s="432">
        <v>21.0</v>
      </c>
      <c r="V79" s="432">
        <v>22.0</v>
      </c>
      <c r="W79" s="432">
        <v>23.0</v>
      </c>
      <c r="X79" s="432">
        <v>24.0</v>
      </c>
      <c r="Y79" s="432">
        <v>25.0</v>
      </c>
      <c r="Z79" s="432">
        <v>26.0</v>
      </c>
      <c r="AA79" s="432">
        <v>27.0</v>
      </c>
      <c r="AB79" s="432">
        <v>28.0</v>
      </c>
      <c r="AC79" s="432">
        <v>29.0</v>
      </c>
      <c r="AD79" s="432">
        <v>30.0</v>
      </c>
      <c r="AE79" s="432">
        <v>31.0</v>
      </c>
      <c r="AF79" s="432">
        <v>32.0</v>
      </c>
      <c r="AG79" s="434">
        <v>33.0</v>
      </c>
      <c r="AH79" s="24"/>
      <c r="AI79" s="24"/>
      <c r="AJ79" s="24"/>
      <c r="AK79" s="24"/>
      <c r="AL79" s="24"/>
      <c r="AM79" s="24"/>
      <c r="AN79" s="24"/>
      <c r="AO79" s="24"/>
      <c r="AP79" s="24"/>
      <c r="AQ79" s="24"/>
      <c r="AR79" s="24"/>
      <c r="AS79" s="24"/>
      <c r="AT79" s="24"/>
      <c r="AU79" s="24"/>
      <c r="AV79" s="24"/>
      <c r="AW79" s="24"/>
      <c r="AX79" s="24"/>
      <c r="AY79" s="24"/>
      <c r="AZ79" s="24"/>
      <c r="BA79" s="24"/>
    </row>
    <row r="80" ht="12.75" customHeight="1">
      <c r="A80" s="436" t="s">
        <v>50</v>
      </c>
      <c r="B80" s="438"/>
      <c r="C80" s="440">
        <f t="shared" ref="C80:AG80" si="26">SUM(C83:C112)</f>
        <v>174508</v>
      </c>
      <c r="D80" s="440">
        <f t="shared" si="26"/>
        <v>175104</v>
      </c>
      <c r="E80" s="440">
        <f t="shared" si="26"/>
        <v>176178</v>
      </c>
      <c r="F80" s="440">
        <f t="shared" si="26"/>
        <v>177468</v>
      </c>
      <c r="G80" s="440">
        <f t="shared" si="26"/>
        <v>179408</v>
      </c>
      <c r="H80" s="440">
        <f t="shared" si="26"/>
        <v>180200</v>
      </c>
      <c r="I80" s="440">
        <f t="shared" si="26"/>
        <v>181955</v>
      </c>
      <c r="J80" s="440">
        <f t="shared" si="26"/>
        <v>184107</v>
      </c>
      <c r="K80" s="440">
        <f t="shared" si="26"/>
        <v>187100</v>
      </c>
      <c r="L80" s="440">
        <f t="shared" si="26"/>
        <v>190679</v>
      </c>
      <c r="M80" s="440">
        <f t="shared" si="26"/>
        <v>192872</v>
      </c>
      <c r="N80" s="440">
        <f t="shared" si="26"/>
        <v>194669</v>
      </c>
      <c r="O80" s="440">
        <f t="shared" si="26"/>
        <v>198318</v>
      </c>
      <c r="P80" s="440">
        <f t="shared" si="26"/>
        <v>201671</v>
      </c>
      <c r="Q80" s="440">
        <f t="shared" si="26"/>
        <v>202369</v>
      </c>
      <c r="R80" s="440">
        <f t="shared" si="26"/>
        <v>203672</v>
      </c>
      <c r="S80" s="440">
        <f t="shared" si="26"/>
        <v>202907</v>
      </c>
      <c r="T80" s="440">
        <f t="shared" si="26"/>
        <v>201428</v>
      </c>
      <c r="U80" s="440">
        <f t="shared" si="26"/>
        <v>201213</v>
      </c>
      <c r="V80" s="440">
        <f t="shared" si="26"/>
        <v>0</v>
      </c>
      <c r="W80" s="440">
        <f t="shared" si="26"/>
        <v>0</v>
      </c>
      <c r="X80" s="440">
        <f t="shared" si="26"/>
        <v>0</v>
      </c>
      <c r="Y80" s="440">
        <f t="shared" si="26"/>
        <v>0</v>
      </c>
      <c r="Z80" s="440">
        <f t="shared" si="26"/>
        <v>0</v>
      </c>
      <c r="AA80" s="440">
        <f t="shared" si="26"/>
        <v>0</v>
      </c>
      <c r="AB80" s="440">
        <f t="shared" si="26"/>
        <v>0</v>
      </c>
      <c r="AC80" s="440">
        <f t="shared" si="26"/>
        <v>0</v>
      </c>
      <c r="AD80" s="440">
        <f t="shared" si="26"/>
        <v>0</v>
      </c>
      <c r="AE80" s="440">
        <f t="shared" si="26"/>
        <v>0</v>
      </c>
      <c r="AF80" s="440">
        <f t="shared" si="26"/>
        <v>0</v>
      </c>
      <c r="AG80" s="444">
        <f t="shared" si="26"/>
        <v>0</v>
      </c>
      <c r="AH80" s="24"/>
      <c r="AI80" s="24"/>
      <c r="AJ80" s="24"/>
      <c r="AK80" s="24"/>
      <c r="AL80" s="24"/>
      <c r="AM80" s="24"/>
      <c r="AN80" s="24"/>
      <c r="AO80" s="24"/>
      <c r="AP80" s="24"/>
      <c r="AQ80" s="24"/>
      <c r="AR80" s="24"/>
      <c r="AS80" s="24"/>
      <c r="AT80" s="24"/>
      <c r="AU80" s="24"/>
      <c r="AV80" s="24"/>
      <c r="AW80" s="24"/>
      <c r="AX80" s="24"/>
      <c r="AY80" s="24"/>
      <c r="AZ80" s="24"/>
      <c r="BA80" s="24"/>
    </row>
    <row r="81" ht="12.75" customHeight="1">
      <c r="A81" s="446"/>
      <c r="B81" s="448" t="s">
        <v>48</v>
      </c>
      <c r="C81" s="449">
        <f t="shared" ref="C81:AG81" si="27">SUM(C83:C100,C107:C112)</f>
        <v>168586</v>
      </c>
      <c r="D81" s="449">
        <f t="shared" si="27"/>
        <v>169224</v>
      </c>
      <c r="E81" s="449">
        <f t="shared" si="27"/>
        <v>170289</v>
      </c>
      <c r="F81" s="449">
        <f t="shared" si="27"/>
        <v>171577</v>
      </c>
      <c r="G81" s="449">
        <f t="shared" si="27"/>
        <v>173504</v>
      </c>
      <c r="H81" s="449">
        <f t="shared" si="27"/>
        <v>174313</v>
      </c>
      <c r="I81" s="449">
        <f t="shared" si="27"/>
        <v>176025</v>
      </c>
      <c r="J81" s="449">
        <f t="shared" si="27"/>
        <v>178062</v>
      </c>
      <c r="K81" s="449">
        <f t="shared" si="27"/>
        <v>180972</v>
      </c>
      <c r="L81" s="449">
        <f t="shared" si="27"/>
        <v>184458</v>
      </c>
      <c r="M81" s="449">
        <f t="shared" si="27"/>
        <v>186600</v>
      </c>
      <c r="N81" s="449">
        <f t="shared" si="27"/>
        <v>188256</v>
      </c>
      <c r="O81" s="449">
        <f t="shared" si="27"/>
        <v>191869</v>
      </c>
      <c r="P81" s="449">
        <f t="shared" si="27"/>
        <v>195148</v>
      </c>
      <c r="Q81" s="449">
        <f t="shared" si="27"/>
        <v>195847</v>
      </c>
      <c r="R81" s="449">
        <f t="shared" si="27"/>
        <v>197096</v>
      </c>
      <c r="S81" s="449">
        <f t="shared" si="27"/>
        <v>196279</v>
      </c>
      <c r="T81" s="449">
        <f t="shared" si="27"/>
        <v>194938</v>
      </c>
      <c r="U81" s="449">
        <f t="shared" si="27"/>
        <v>194806</v>
      </c>
      <c r="V81" s="449">
        <f t="shared" si="27"/>
        <v>0</v>
      </c>
      <c r="W81" s="449">
        <f t="shared" si="27"/>
        <v>0</v>
      </c>
      <c r="X81" s="449">
        <f t="shared" si="27"/>
        <v>0</v>
      </c>
      <c r="Y81" s="449">
        <f t="shared" si="27"/>
        <v>0</v>
      </c>
      <c r="Z81" s="449">
        <f t="shared" si="27"/>
        <v>0</v>
      </c>
      <c r="AA81" s="449">
        <f t="shared" si="27"/>
        <v>0</v>
      </c>
      <c r="AB81" s="449">
        <f t="shared" si="27"/>
        <v>0</v>
      </c>
      <c r="AC81" s="449">
        <f t="shared" si="27"/>
        <v>0</v>
      </c>
      <c r="AD81" s="449">
        <f t="shared" si="27"/>
        <v>0</v>
      </c>
      <c r="AE81" s="449">
        <f t="shared" si="27"/>
        <v>0</v>
      </c>
      <c r="AF81" s="449">
        <f t="shared" si="27"/>
        <v>0</v>
      </c>
      <c r="AG81" s="450">
        <f t="shared" si="27"/>
        <v>0</v>
      </c>
      <c r="AH81" s="24"/>
      <c r="AI81" s="24"/>
      <c r="AJ81" s="24"/>
      <c r="AK81" s="24"/>
      <c r="AL81" s="24"/>
      <c r="AM81" s="24"/>
      <c r="AN81" s="24"/>
      <c r="AO81" s="24"/>
      <c r="AP81" s="24"/>
      <c r="AQ81" s="24"/>
      <c r="AR81" s="24"/>
      <c r="AS81" s="24"/>
      <c r="AT81" s="24"/>
      <c r="AU81" s="24"/>
      <c r="AV81" s="24"/>
      <c r="AW81" s="24"/>
      <c r="AX81" s="24"/>
      <c r="AY81" s="24"/>
      <c r="AZ81" s="24"/>
      <c r="BA81" s="24"/>
    </row>
    <row r="82" ht="12.75" customHeight="1">
      <c r="A82" s="446"/>
      <c r="B82" s="448" t="s">
        <v>49</v>
      </c>
      <c r="C82" s="449">
        <f t="shared" ref="C82:AG82" si="28">SUM(C101:C106,C107:C112)</f>
        <v>154258</v>
      </c>
      <c r="D82" s="449">
        <f t="shared" si="28"/>
        <v>154889</v>
      </c>
      <c r="E82" s="449">
        <f t="shared" si="28"/>
        <v>155941</v>
      </c>
      <c r="F82" s="449">
        <f t="shared" si="28"/>
        <v>157237</v>
      </c>
      <c r="G82" s="449">
        <f t="shared" si="28"/>
        <v>159018</v>
      </c>
      <c r="H82" s="449">
        <f t="shared" si="28"/>
        <v>159769</v>
      </c>
      <c r="I82" s="449">
        <f t="shared" si="28"/>
        <v>161368</v>
      </c>
      <c r="J82" s="449">
        <f t="shared" si="28"/>
        <v>163303</v>
      </c>
      <c r="K82" s="449">
        <f t="shared" si="28"/>
        <v>166068</v>
      </c>
      <c r="L82" s="449">
        <f t="shared" si="28"/>
        <v>169381</v>
      </c>
      <c r="M82" s="449">
        <f t="shared" si="28"/>
        <v>171144</v>
      </c>
      <c r="N82" s="449">
        <f t="shared" si="28"/>
        <v>172874</v>
      </c>
      <c r="O82" s="449">
        <f t="shared" si="28"/>
        <v>176334</v>
      </c>
      <c r="P82" s="449">
        <f t="shared" si="28"/>
        <v>179503</v>
      </c>
      <c r="Q82" s="449">
        <f t="shared" si="28"/>
        <v>180142</v>
      </c>
      <c r="R82" s="449">
        <f t="shared" si="28"/>
        <v>181273</v>
      </c>
      <c r="S82" s="449">
        <f t="shared" si="28"/>
        <v>180698</v>
      </c>
      <c r="T82" s="449">
        <f t="shared" si="28"/>
        <v>179341</v>
      </c>
      <c r="U82" s="449">
        <f t="shared" si="28"/>
        <v>179144</v>
      </c>
      <c r="V82" s="449">
        <f t="shared" si="28"/>
        <v>0</v>
      </c>
      <c r="W82" s="449">
        <f t="shared" si="28"/>
        <v>0</v>
      </c>
      <c r="X82" s="449">
        <f t="shared" si="28"/>
        <v>0</v>
      </c>
      <c r="Y82" s="449">
        <f t="shared" si="28"/>
        <v>0</v>
      </c>
      <c r="Z82" s="449">
        <f t="shared" si="28"/>
        <v>0</v>
      </c>
      <c r="AA82" s="449">
        <f t="shared" si="28"/>
        <v>0</v>
      </c>
      <c r="AB82" s="449">
        <f t="shared" si="28"/>
        <v>0</v>
      </c>
      <c r="AC82" s="449">
        <f t="shared" si="28"/>
        <v>0</v>
      </c>
      <c r="AD82" s="449">
        <f t="shared" si="28"/>
        <v>0</v>
      </c>
      <c r="AE82" s="449">
        <f t="shared" si="28"/>
        <v>0</v>
      </c>
      <c r="AF82" s="449">
        <f t="shared" si="28"/>
        <v>0</v>
      </c>
      <c r="AG82" s="450">
        <f t="shared" si="28"/>
        <v>0</v>
      </c>
      <c r="AH82" s="24"/>
      <c r="AI82" s="24"/>
      <c r="AJ82" s="24"/>
      <c r="AK82" s="24"/>
      <c r="AL82" s="24"/>
      <c r="AM82" s="24"/>
      <c r="AN82" s="24"/>
      <c r="AO82" s="24"/>
      <c r="AP82" s="24"/>
      <c r="AQ82" s="24"/>
      <c r="AR82" s="24"/>
      <c r="AS82" s="24"/>
      <c r="AT82" s="24"/>
      <c r="AU82" s="24"/>
      <c r="AV82" s="24"/>
      <c r="AW82" s="24"/>
      <c r="AX82" s="24"/>
      <c r="AY82" s="24"/>
      <c r="AZ82" s="24"/>
      <c r="BA82" s="24"/>
    </row>
    <row r="83" ht="12.75" customHeight="1">
      <c r="A83" s="46" t="s">
        <v>146</v>
      </c>
      <c r="B83" s="51" t="s">
        <v>51</v>
      </c>
      <c r="C83" s="84">
        <f>VLOOKUP($A83,'US Census Population Estimates'!$A$20:$AG$266,C$79,FALSE)</f>
        <v>274</v>
      </c>
      <c r="D83" s="84">
        <f>VLOOKUP($A83,'US Census Population Estimates'!$A$20:$AG$266,D$79,FALSE)</f>
        <v>277</v>
      </c>
      <c r="E83" s="84">
        <f>VLOOKUP($A83,'US Census Population Estimates'!$A$20:$AG$266,E$79,FALSE)</f>
        <v>278</v>
      </c>
      <c r="F83" s="84">
        <f>VLOOKUP($A83,'US Census Population Estimates'!$A$20:$AG$266,F$79,FALSE)</f>
        <v>281</v>
      </c>
      <c r="G83" s="84">
        <f>VLOOKUP($A83,'US Census Population Estimates'!$A$20:$AG$266,G$79,FALSE)</f>
        <v>285</v>
      </c>
      <c r="H83" s="84">
        <f>VLOOKUP($A83,'US Census Population Estimates'!$A$20:$AG$266,H$79,FALSE)</f>
        <v>285</v>
      </c>
      <c r="I83" s="84">
        <f>VLOOKUP($A83,'US Census Population Estimates'!$A$20:$AG$266,I$79,FALSE)</f>
        <v>288</v>
      </c>
      <c r="J83" s="84">
        <f>VLOOKUP($A83,'US Census Population Estimates'!$A$20:$AG$266,J$79,FALSE)</f>
        <v>290</v>
      </c>
      <c r="K83" s="84">
        <f>VLOOKUP($A83,'US Census Population Estimates'!$A$20:$AG$266,K$79,FALSE)</f>
        <v>294</v>
      </c>
      <c r="L83" s="84">
        <f>VLOOKUP($A83,'US Census Population Estimates'!$A$20:$AG$266,L$79,FALSE)</f>
        <v>297</v>
      </c>
      <c r="M83" s="84">
        <f>VLOOKUP($A83,'US Census Population Estimates'!$A$20:$AG$266,M$79,FALSE)</f>
        <v>302</v>
      </c>
      <c r="N83" s="84">
        <f>VLOOKUP($A83,'US Census Population Estimates'!$A$20:$AG$266,N$79,FALSE)</f>
        <v>301</v>
      </c>
      <c r="O83" s="84">
        <f>VLOOKUP($A83,'US Census Population Estimates'!$A$20:$AG$266,O$79,FALSE)</f>
        <v>305</v>
      </c>
      <c r="P83" s="84">
        <f>VLOOKUP($A83,'US Census Population Estimates'!$A$20:$AG$266,P$79,FALSE)</f>
        <v>311</v>
      </c>
      <c r="Q83" s="84">
        <f>VLOOKUP($A83,'US Census Population Estimates'!$A$20:$AG$266,Q$79,FALSE)</f>
        <v>309</v>
      </c>
      <c r="R83" s="84">
        <f>VLOOKUP($A83,'US Census Population Estimates'!$A$20:$AG$266,R$79,FALSE)</f>
        <v>312</v>
      </c>
      <c r="S83" s="84">
        <f>VLOOKUP($A83,'US Census Population Estimates'!$A$20:$AG$266,S$79,FALSE)</f>
        <v>314</v>
      </c>
      <c r="T83" s="84">
        <f>VLOOKUP($A83,'US Census Population Estimates'!$A$20:$AG$266,T$79,FALSE)</f>
        <v>311</v>
      </c>
      <c r="U83" s="84">
        <f>VLOOKUP($A83,'US Census Population Estimates'!$A$20:$AG$266,U$79,FALSE)</f>
        <v>309</v>
      </c>
      <c r="V83" s="84" t="str">
        <f>VLOOKUP($A83,'US Census Population Estimates'!$A$20:$AG$266,V$79,FALSE)</f>
        <v/>
      </c>
      <c r="W83" s="84" t="str">
        <f>VLOOKUP($A83,'US Census Population Estimates'!$A$20:$AG$266,W$79,FALSE)</f>
        <v/>
      </c>
      <c r="X83" s="84" t="str">
        <f>VLOOKUP($A83,'US Census Population Estimates'!$A$20:$AG$266,X$79,FALSE)</f>
        <v/>
      </c>
      <c r="Y83" s="84" t="str">
        <f>VLOOKUP($A83,'US Census Population Estimates'!$A$20:$AG$266,Y$79,FALSE)</f>
        <v/>
      </c>
      <c r="Z83" s="84" t="str">
        <f>VLOOKUP($A83,'US Census Population Estimates'!$A$20:$AG$266,Z$79,FALSE)</f>
        <v/>
      </c>
      <c r="AA83" s="84" t="str">
        <f>VLOOKUP($A83,'US Census Population Estimates'!$A$20:$AG$266,AA$79,FALSE)</f>
        <v/>
      </c>
      <c r="AB83" s="84" t="str">
        <f>VLOOKUP($A83,'US Census Population Estimates'!$A$20:$AG$266,AB$79,FALSE)</f>
        <v/>
      </c>
      <c r="AC83" s="84" t="str">
        <f>VLOOKUP($A83,'US Census Population Estimates'!$A$20:$AG$266,AC$79,FALSE)</f>
        <v/>
      </c>
      <c r="AD83" s="84" t="str">
        <f>VLOOKUP($A83,'US Census Population Estimates'!$A$20:$AG$266,AD$79,FALSE)</f>
        <v/>
      </c>
      <c r="AE83" s="84" t="str">
        <f>VLOOKUP($A83,'US Census Population Estimates'!$A$20:$AG$266,AE$79,FALSE)</f>
        <v/>
      </c>
      <c r="AF83" s="84" t="str">
        <f>VLOOKUP($A83,'US Census Population Estimates'!$A$20:$AG$266,AF$79,FALSE)</f>
        <v/>
      </c>
      <c r="AG83" s="88" t="str">
        <f>VLOOKUP($A83,'US Census Population Estimates'!$A$20:$AG$266,AG$79,FALSE)</f>
        <v/>
      </c>
      <c r="AH83" s="24"/>
      <c r="AI83" s="24"/>
      <c r="AJ83" s="24"/>
      <c r="AK83" s="24"/>
      <c r="AL83" s="24"/>
      <c r="AM83" s="24"/>
      <c r="AN83" s="24"/>
      <c r="AO83" s="24"/>
      <c r="AP83" s="24"/>
      <c r="AQ83" s="24"/>
      <c r="AR83" s="24"/>
      <c r="AS83" s="24"/>
      <c r="AT83" s="24"/>
      <c r="AU83" s="24"/>
      <c r="AV83" s="24"/>
      <c r="AW83" s="24"/>
      <c r="AX83" s="24"/>
      <c r="AY83" s="24"/>
      <c r="AZ83" s="24"/>
      <c r="BA83" s="24"/>
    </row>
    <row r="84" ht="12.75" customHeight="1">
      <c r="A84" s="46" t="s">
        <v>149</v>
      </c>
      <c r="B84" s="51" t="s">
        <v>51</v>
      </c>
      <c r="C84" s="84">
        <f>VLOOKUP($A84,'US Census Population Estimates'!$A$20:$AG$266,C$79,FALSE)</f>
        <v>119</v>
      </c>
      <c r="D84" s="84">
        <f>VLOOKUP($A84,'US Census Population Estimates'!$A$20:$AG$266,D$79,FALSE)</f>
        <v>125</v>
      </c>
      <c r="E84" s="84">
        <f>VLOOKUP($A84,'US Census Population Estimates'!$A$20:$AG$266,E$79,FALSE)</f>
        <v>131</v>
      </c>
      <c r="F84" s="84">
        <f>VLOOKUP($A84,'US Census Population Estimates'!$A$20:$AG$266,F$79,FALSE)</f>
        <v>137</v>
      </c>
      <c r="G84" s="84">
        <f>VLOOKUP($A84,'US Census Population Estimates'!$A$20:$AG$266,G$79,FALSE)</f>
        <v>144</v>
      </c>
      <c r="H84" s="84">
        <f>VLOOKUP($A84,'US Census Population Estimates'!$A$20:$AG$266,H$79,FALSE)</f>
        <v>149</v>
      </c>
      <c r="I84" s="84">
        <f>VLOOKUP($A84,'US Census Population Estimates'!$A$20:$AG$266,I$79,FALSE)</f>
        <v>156</v>
      </c>
      <c r="J84" s="84">
        <f>VLOOKUP($A84,'US Census Population Estimates'!$A$20:$AG$266,J$79,FALSE)</f>
        <v>161</v>
      </c>
      <c r="K84" s="84">
        <f>VLOOKUP($A84,'US Census Population Estimates'!$A$20:$AG$266,K$79,FALSE)</f>
        <v>168</v>
      </c>
      <c r="L84" s="84">
        <f>VLOOKUP($A84,'US Census Population Estimates'!$A$20:$AG$266,L$79,FALSE)</f>
        <v>175</v>
      </c>
      <c r="M84" s="84">
        <f>VLOOKUP($A84,'US Census Population Estimates'!$A$20:$AG$266,M$79,FALSE)</f>
        <v>181</v>
      </c>
      <c r="N84" s="84">
        <f>VLOOKUP($A84,'US Census Population Estimates'!$A$20:$AG$266,N$79,FALSE)</f>
        <v>181</v>
      </c>
      <c r="O84" s="84">
        <f>VLOOKUP($A84,'US Census Population Estimates'!$A$20:$AG$266,O$79,FALSE)</f>
        <v>184</v>
      </c>
      <c r="P84" s="84">
        <f>VLOOKUP($A84,'US Census Population Estimates'!$A$20:$AG$266,P$79,FALSE)</f>
        <v>184</v>
      </c>
      <c r="Q84" s="84">
        <f>VLOOKUP($A84,'US Census Population Estimates'!$A$20:$AG$266,Q$79,FALSE)</f>
        <v>182</v>
      </c>
      <c r="R84" s="84">
        <f>VLOOKUP($A84,'US Census Population Estimates'!$A$20:$AG$266,R$79,FALSE)</f>
        <v>187</v>
      </c>
      <c r="S84" s="84">
        <f>VLOOKUP($A84,'US Census Population Estimates'!$A$20:$AG$266,S$79,FALSE)</f>
        <v>197</v>
      </c>
      <c r="T84" s="84">
        <f>VLOOKUP($A84,'US Census Population Estimates'!$A$20:$AG$266,T$79,FALSE)</f>
        <v>204</v>
      </c>
      <c r="U84" s="84">
        <f>VLOOKUP($A84,'US Census Population Estimates'!$A$20:$AG$266,U$79,FALSE)</f>
        <v>208</v>
      </c>
      <c r="V84" s="84" t="str">
        <f>VLOOKUP($A84,'US Census Population Estimates'!$A$20:$AG$266,V$79,FALSE)</f>
        <v/>
      </c>
      <c r="W84" s="84" t="str">
        <f>VLOOKUP($A84,'US Census Population Estimates'!$A$20:$AG$266,W$79,FALSE)</f>
        <v/>
      </c>
      <c r="X84" s="84" t="str">
        <f>VLOOKUP($A84,'US Census Population Estimates'!$A$20:$AG$266,X$79,FALSE)</f>
        <v/>
      </c>
      <c r="Y84" s="84" t="str">
        <f>VLOOKUP($A84,'US Census Population Estimates'!$A$20:$AG$266,Y$79,FALSE)</f>
        <v/>
      </c>
      <c r="Z84" s="84" t="str">
        <f>VLOOKUP($A84,'US Census Population Estimates'!$A$20:$AG$266,Z$79,FALSE)</f>
        <v/>
      </c>
      <c r="AA84" s="84" t="str">
        <f>VLOOKUP($A84,'US Census Population Estimates'!$A$20:$AG$266,AA$79,FALSE)</f>
        <v/>
      </c>
      <c r="AB84" s="84" t="str">
        <f>VLOOKUP($A84,'US Census Population Estimates'!$A$20:$AG$266,AB$79,FALSE)</f>
        <v/>
      </c>
      <c r="AC84" s="84" t="str">
        <f>VLOOKUP($A84,'US Census Population Estimates'!$A$20:$AG$266,AC$79,FALSE)</f>
        <v/>
      </c>
      <c r="AD84" s="84" t="str">
        <f>VLOOKUP($A84,'US Census Population Estimates'!$A$20:$AG$266,AD$79,FALSE)</f>
        <v/>
      </c>
      <c r="AE84" s="84" t="str">
        <f>VLOOKUP($A84,'US Census Population Estimates'!$A$20:$AG$266,AE$79,FALSE)</f>
        <v/>
      </c>
      <c r="AF84" s="84" t="str">
        <f>VLOOKUP($A84,'US Census Population Estimates'!$A$20:$AG$266,AF$79,FALSE)</f>
        <v/>
      </c>
      <c r="AG84" s="88" t="str">
        <f>VLOOKUP($A84,'US Census Population Estimates'!$A$20:$AG$266,AG$79,FALSE)</f>
        <v/>
      </c>
      <c r="AH84" s="24"/>
      <c r="AI84" s="24"/>
      <c r="AJ84" s="24"/>
      <c r="AK84" s="24"/>
      <c r="AL84" s="24"/>
      <c r="AM84" s="24"/>
      <c r="AN84" s="24"/>
      <c r="AO84" s="24"/>
      <c r="AP84" s="24"/>
      <c r="AQ84" s="24"/>
      <c r="AR84" s="24"/>
      <c r="AS84" s="24"/>
      <c r="AT84" s="24"/>
      <c r="AU84" s="24"/>
      <c r="AV84" s="24"/>
      <c r="AW84" s="24"/>
      <c r="AX84" s="24"/>
      <c r="AY84" s="24"/>
      <c r="AZ84" s="24"/>
      <c r="BA84" s="24"/>
    </row>
    <row r="85" ht="12.75" customHeight="1">
      <c r="A85" s="46" t="s">
        <v>150</v>
      </c>
      <c r="B85" s="51" t="s">
        <v>51</v>
      </c>
      <c r="C85" s="84">
        <f>VLOOKUP($A85,'US Census Population Estimates'!$A$20:$AG$266,C$79,FALSE)</f>
        <v>242</v>
      </c>
      <c r="D85" s="84">
        <f>VLOOKUP($A85,'US Census Population Estimates'!$A$20:$AG$266,D$79,FALSE)</f>
        <v>240</v>
      </c>
      <c r="E85" s="84">
        <f>VLOOKUP($A85,'US Census Population Estimates'!$A$20:$AG$266,E$79,FALSE)</f>
        <v>237</v>
      </c>
      <c r="F85" s="84">
        <f>VLOOKUP($A85,'US Census Population Estimates'!$A$20:$AG$266,F$79,FALSE)</f>
        <v>232</v>
      </c>
      <c r="G85" s="84">
        <f>VLOOKUP($A85,'US Census Population Estimates'!$A$20:$AG$266,G$79,FALSE)</f>
        <v>230</v>
      </c>
      <c r="H85" s="84">
        <f>VLOOKUP($A85,'US Census Population Estimates'!$A$20:$AG$266,H$79,FALSE)</f>
        <v>227</v>
      </c>
      <c r="I85" s="84">
        <f>VLOOKUP($A85,'US Census Population Estimates'!$A$20:$AG$266,I$79,FALSE)</f>
        <v>224</v>
      </c>
      <c r="J85" s="84">
        <f>VLOOKUP($A85,'US Census Population Estimates'!$A$20:$AG$266,J$79,FALSE)</f>
        <v>221</v>
      </c>
      <c r="K85" s="84">
        <f>VLOOKUP($A85,'US Census Population Estimates'!$A$20:$AG$266,K$79,FALSE)</f>
        <v>216</v>
      </c>
      <c r="L85" s="84">
        <f>VLOOKUP($A85,'US Census Population Estimates'!$A$20:$AG$266,L$79,FALSE)</f>
        <v>213</v>
      </c>
      <c r="M85" s="84">
        <f>VLOOKUP($A85,'US Census Population Estimates'!$A$20:$AG$266,M$79,FALSE)</f>
        <v>212</v>
      </c>
      <c r="N85" s="84">
        <f>VLOOKUP($A85,'US Census Population Estimates'!$A$20:$AG$266,N$79,FALSE)</f>
        <v>213</v>
      </c>
      <c r="O85" s="84">
        <f>VLOOKUP($A85,'US Census Population Estimates'!$A$20:$AG$266,O$79,FALSE)</f>
        <v>214</v>
      </c>
      <c r="P85" s="84">
        <f>VLOOKUP($A85,'US Census Population Estimates'!$A$20:$AG$266,P$79,FALSE)</f>
        <v>211</v>
      </c>
      <c r="Q85" s="84">
        <f>VLOOKUP($A85,'US Census Population Estimates'!$A$20:$AG$266,Q$79,FALSE)</f>
        <v>212</v>
      </c>
      <c r="R85" s="84">
        <f>VLOOKUP($A85,'US Census Population Estimates'!$A$20:$AG$266,R$79,FALSE)</f>
        <v>211</v>
      </c>
      <c r="S85" s="84">
        <f>VLOOKUP($A85,'US Census Population Estimates'!$A$20:$AG$266,S$79,FALSE)</f>
        <v>208</v>
      </c>
      <c r="T85" s="84">
        <f>VLOOKUP($A85,'US Census Population Estimates'!$A$20:$AG$266,T$79,FALSE)</f>
        <v>203</v>
      </c>
      <c r="U85" s="84">
        <f>VLOOKUP($A85,'US Census Population Estimates'!$A$20:$AG$266,U$79,FALSE)</f>
        <v>202</v>
      </c>
      <c r="V85" s="84" t="str">
        <f>VLOOKUP($A85,'US Census Population Estimates'!$A$20:$AG$266,V$79,FALSE)</f>
        <v/>
      </c>
      <c r="W85" s="84" t="str">
        <f>VLOOKUP($A85,'US Census Population Estimates'!$A$20:$AG$266,W$79,FALSE)</f>
        <v/>
      </c>
      <c r="X85" s="84" t="str">
        <f>VLOOKUP($A85,'US Census Population Estimates'!$A$20:$AG$266,X$79,FALSE)</f>
        <v/>
      </c>
      <c r="Y85" s="84" t="str">
        <f>VLOOKUP($A85,'US Census Population Estimates'!$A$20:$AG$266,Y$79,FALSE)</f>
        <v/>
      </c>
      <c r="Z85" s="84" t="str">
        <f>VLOOKUP($A85,'US Census Population Estimates'!$A$20:$AG$266,Z$79,FALSE)</f>
        <v/>
      </c>
      <c r="AA85" s="84" t="str">
        <f>VLOOKUP($A85,'US Census Population Estimates'!$A$20:$AG$266,AA$79,FALSE)</f>
        <v/>
      </c>
      <c r="AB85" s="84" t="str">
        <f>VLOOKUP($A85,'US Census Population Estimates'!$A$20:$AG$266,AB$79,FALSE)</f>
        <v/>
      </c>
      <c r="AC85" s="84" t="str">
        <f>VLOOKUP($A85,'US Census Population Estimates'!$A$20:$AG$266,AC$79,FALSE)</f>
        <v/>
      </c>
      <c r="AD85" s="84" t="str">
        <f>VLOOKUP($A85,'US Census Population Estimates'!$A$20:$AG$266,AD$79,FALSE)</f>
        <v/>
      </c>
      <c r="AE85" s="84" t="str">
        <f>VLOOKUP($A85,'US Census Population Estimates'!$A$20:$AG$266,AE$79,FALSE)</f>
        <v/>
      </c>
      <c r="AF85" s="84" t="str">
        <f>VLOOKUP($A85,'US Census Population Estimates'!$A$20:$AG$266,AF$79,FALSE)</f>
        <v/>
      </c>
      <c r="AG85" s="88" t="str">
        <f>VLOOKUP($A85,'US Census Population Estimates'!$A$20:$AG$266,AG$79,FALSE)</f>
        <v/>
      </c>
      <c r="AH85" s="24"/>
      <c r="AI85" s="24"/>
      <c r="AJ85" s="24"/>
      <c r="AK85" s="24"/>
      <c r="AL85" s="24"/>
      <c r="AM85" s="24"/>
      <c r="AN85" s="24"/>
      <c r="AO85" s="24"/>
      <c r="AP85" s="24"/>
      <c r="AQ85" s="24"/>
      <c r="AR85" s="24"/>
      <c r="AS85" s="24"/>
      <c r="AT85" s="24"/>
      <c r="AU85" s="24"/>
      <c r="AV85" s="24"/>
      <c r="AW85" s="24"/>
      <c r="AX85" s="24"/>
      <c r="AY85" s="24"/>
      <c r="AZ85" s="24"/>
      <c r="BA85" s="24"/>
    </row>
    <row r="86" ht="12.75" customHeight="1">
      <c r="A86" s="46" t="s">
        <v>151</v>
      </c>
      <c r="B86" s="51" t="s">
        <v>51</v>
      </c>
      <c r="C86" s="84">
        <f>VLOOKUP($A86,'US Census Population Estimates'!$A$20:$AG$266,C$79,FALSE)</f>
        <v>192</v>
      </c>
      <c r="D86" s="84">
        <f>VLOOKUP($A86,'US Census Population Estimates'!$A$20:$AG$266,D$79,FALSE)</f>
        <v>190</v>
      </c>
      <c r="E86" s="84">
        <f>VLOOKUP($A86,'US Census Population Estimates'!$A$20:$AG$266,E$79,FALSE)</f>
        <v>189</v>
      </c>
      <c r="F86" s="84">
        <f>VLOOKUP($A86,'US Census Population Estimates'!$A$20:$AG$266,F$79,FALSE)</f>
        <v>188</v>
      </c>
      <c r="G86" s="84">
        <f>VLOOKUP($A86,'US Census Population Estimates'!$A$20:$AG$266,G$79,FALSE)</f>
        <v>187</v>
      </c>
      <c r="H86" s="84">
        <f>VLOOKUP($A86,'US Census Population Estimates'!$A$20:$AG$266,H$79,FALSE)</f>
        <v>184</v>
      </c>
      <c r="I86" s="84">
        <f>VLOOKUP($A86,'US Census Population Estimates'!$A$20:$AG$266,I$79,FALSE)</f>
        <v>185</v>
      </c>
      <c r="J86" s="84">
        <f>VLOOKUP($A86,'US Census Population Estimates'!$A$20:$AG$266,J$79,FALSE)</f>
        <v>189</v>
      </c>
      <c r="K86" s="84">
        <f>VLOOKUP($A86,'US Census Population Estimates'!$A$20:$AG$266,K$79,FALSE)</f>
        <v>191</v>
      </c>
      <c r="L86" s="84">
        <f>VLOOKUP($A86,'US Census Population Estimates'!$A$20:$AG$266,L$79,FALSE)</f>
        <v>193</v>
      </c>
      <c r="M86" s="84">
        <f>VLOOKUP($A86,'US Census Population Estimates'!$A$20:$AG$266,M$79,FALSE)</f>
        <v>190</v>
      </c>
      <c r="N86" s="84">
        <f>VLOOKUP($A86,'US Census Population Estimates'!$A$20:$AG$266,N$79,FALSE)</f>
        <v>192</v>
      </c>
      <c r="O86" s="84">
        <f>VLOOKUP($A86,'US Census Population Estimates'!$A$20:$AG$266,O$79,FALSE)</f>
        <v>193</v>
      </c>
      <c r="P86" s="84">
        <f>VLOOKUP($A86,'US Census Population Estimates'!$A$20:$AG$266,P$79,FALSE)</f>
        <v>194</v>
      </c>
      <c r="Q86" s="84">
        <f>VLOOKUP($A86,'US Census Population Estimates'!$A$20:$AG$266,Q$79,FALSE)</f>
        <v>194</v>
      </c>
      <c r="R86" s="84">
        <f>VLOOKUP($A86,'US Census Population Estimates'!$A$20:$AG$266,R$79,FALSE)</f>
        <v>193</v>
      </c>
      <c r="S86" s="84">
        <f>VLOOKUP($A86,'US Census Population Estimates'!$A$20:$AG$266,S$79,FALSE)</f>
        <v>194</v>
      </c>
      <c r="T86" s="84">
        <f>VLOOKUP($A86,'US Census Population Estimates'!$A$20:$AG$266,T$79,FALSE)</f>
        <v>189</v>
      </c>
      <c r="U86" s="84">
        <f>VLOOKUP($A86,'US Census Population Estimates'!$A$20:$AG$266,U$79,FALSE)</f>
        <v>186</v>
      </c>
      <c r="V86" s="84" t="str">
        <f>VLOOKUP($A86,'US Census Population Estimates'!$A$20:$AG$266,V$79,FALSE)</f>
        <v/>
      </c>
      <c r="W86" s="84" t="str">
        <f>VLOOKUP($A86,'US Census Population Estimates'!$A$20:$AG$266,W$79,FALSE)</f>
        <v/>
      </c>
      <c r="X86" s="84" t="str">
        <f>VLOOKUP($A86,'US Census Population Estimates'!$A$20:$AG$266,X$79,FALSE)</f>
        <v/>
      </c>
      <c r="Y86" s="84" t="str">
        <f>VLOOKUP($A86,'US Census Population Estimates'!$A$20:$AG$266,Y$79,FALSE)</f>
        <v/>
      </c>
      <c r="Z86" s="84" t="str">
        <f>VLOOKUP($A86,'US Census Population Estimates'!$A$20:$AG$266,Z$79,FALSE)</f>
        <v/>
      </c>
      <c r="AA86" s="84" t="str">
        <f>VLOOKUP($A86,'US Census Population Estimates'!$A$20:$AG$266,AA$79,FALSE)</f>
        <v/>
      </c>
      <c r="AB86" s="84" t="str">
        <f>VLOOKUP($A86,'US Census Population Estimates'!$A$20:$AG$266,AB$79,FALSE)</f>
        <v/>
      </c>
      <c r="AC86" s="84" t="str">
        <f>VLOOKUP($A86,'US Census Population Estimates'!$A$20:$AG$266,AC$79,FALSE)</f>
        <v/>
      </c>
      <c r="AD86" s="84" t="str">
        <f>VLOOKUP($A86,'US Census Population Estimates'!$A$20:$AG$266,AD$79,FALSE)</f>
        <v/>
      </c>
      <c r="AE86" s="84" t="str">
        <f>VLOOKUP($A86,'US Census Population Estimates'!$A$20:$AG$266,AE$79,FALSE)</f>
        <v/>
      </c>
      <c r="AF86" s="84" t="str">
        <f>VLOOKUP($A86,'US Census Population Estimates'!$A$20:$AG$266,AF$79,FALSE)</f>
        <v/>
      </c>
      <c r="AG86" s="88" t="str">
        <f>VLOOKUP($A86,'US Census Population Estimates'!$A$20:$AG$266,AG$79,FALSE)</f>
        <v/>
      </c>
      <c r="AH86" s="24"/>
      <c r="AI86" s="24"/>
      <c r="AJ86" s="24"/>
      <c r="AK86" s="24"/>
      <c r="AL86" s="24"/>
      <c r="AM86" s="24"/>
      <c r="AN86" s="24"/>
      <c r="AO86" s="24"/>
      <c r="AP86" s="24"/>
      <c r="AQ86" s="24"/>
      <c r="AR86" s="24"/>
      <c r="AS86" s="24"/>
      <c r="AT86" s="24"/>
      <c r="AU86" s="24"/>
      <c r="AV86" s="24"/>
      <c r="AW86" s="24"/>
      <c r="AX86" s="24"/>
      <c r="AY86" s="24"/>
      <c r="AZ86" s="24"/>
      <c r="BA86" s="24"/>
    </row>
    <row r="87" ht="12.75" customHeight="1">
      <c r="A87" s="46" t="s">
        <v>152</v>
      </c>
      <c r="B87" s="51" t="s">
        <v>51</v>
      </c>
      <c r="C87" s="84">
        <f>VLOOKUP($A87,'US Census Population Estimates'!$A$20:$AG$266,C$79,FALSE)</f>
        <v>243</v>
      </c>
      <c r="D87" s="84">
        <f>VLOOKUP($A87,'US Census Population Estimates'!$A$20:$AG$266,D$79,FALSE)</f>
        <v>238</v>
      </c>
      <c r="E87" s="84">
        <f>VLOOKUP($A87,'US Census Population Estimates'!$A$20:$AG$266,E$79,FALSE)</f>
        <v>234</v>
      </c>
      <c r="F87" s="84">
        <f>VLOOKUP($A87,'US Census Population Estimates'!$A$20:$AG$266,F$79,FALSE)</f>
        <v>231</v>
      </c>
      <c r="G87" s="84">
        <f>VLOOKUP($A87,'US Census Population Estimates'!$A$20:$AG$266,G$79,FALSE)</f>
        <v>231</v>
      </c>
      <c r="H87" s="84">
        <f>VLOOKUP($A87,'US Census Population Estimates'!$A$20:$AG$266,H$79,FALSE)</f>
        <v>228</v>
      </c>
      <c r="I87" s="84">
        <f>VLOOKUP($A87,'US Census Population Estimates'!$A$20:$AG$266,I$79,FALSE)</f>
        <v>227</v>
      </c>
      <c r="J87" s="84">
        <f>VLOOKUP($A87,'US Census Population Estimates'!$A$20:$AG$266,J$79,FALSE)</f>
        <v>225</v>
      </c>
      <c r="K87" s="84">
        <f>VLOOKUP($A87,'US Census Population Estimates'!$A$20:$AG$266,K$79,FALSE)</f>
        <v>225</v>
      </c>
      <c r="L87" s="84">
        <f>VLOOKUP($A87,'US Census Population Estimates'!$A$20:$AG$266,L$79,FALSE)</f>
        <v>227</v>
      </c>
      <c r="M87" s="84">
        <f>VLOOKUP($A87,'US Census Population Estimates'!$A$20:$AG$266,M$79,FALSE)</f>
        <v>231</v>
      </c>
      <c r="N87" s="84">
        <f>VLOOKUP($A87,'US Census Population Estimates'!$A$20:$AG$266,N$79,FALSE)</f>
        <v>234</v>
      </c>
      <c r="O87" s="84">
        <f>VLOOKUP($A87,'US Census Population Estimates'!$A$20:$AG$266,O$79,FALSE)</f>
        <v>234</v>
      </c>
      <c r="P87" s="84">
        <f>VLOOKUP($A87,'US Census Population Estimates'!$A$20:$AG$266,P$79,FALSE)</f>
        <v>232</v>
      </c>
      <c r="Q87" s="84">
        <f>VLOOKUP($A87,'US Census Population Estimates'!$A$20:$AG$266,Q$79,FALSE)</f>
        <v>232</v>
      </c>
      <c r="R87" s="84">
        <f>VLOOKUP($A87,'US Census Population Estimates'!$A$20:$AG$266,R$79,FALSE)</f>
        <v>231</v>
      </c>
      <c r="S87" s="84">
        <f>VLOOKUP($A87,'US Census Population Estimates'!$A$20:$AG$266,S$79,FALSE)</f>
        <v>229</v>
      </c>
      <c r="T87" s="84">
        <f>VLOOKUP($A87,'US Census Population Estimates'!$A$20:$AG$266,T$79,FALSE)</f>
        <v>229</v>
      </c>
      <c r="U87" s="84">
        <f>VLOOKUP($A87,'US Census Population Estimates'!$A$20:$AG$266,U$79,FALSE)</f>
        <v>232</v>
      </c>
      <c r="V87" s="84" t="str">
        <f>VLOOKUP($A87,'US Census Population Estimates'!$A$20:$AG$266,V$79,FALSE)</f>
        <v/>
      </c>
      <c r="W87" s="84" t="str">
        <f>VLOOKUP($A87,'US Census Population Estimates'!$A$20:$AG$266,W$79,FALSE)</f>
        <v/>
      </c>
      <c r="X87" s="84" t="str">
        <f>VLOOKUP($A87,'US Census Population Estimates'!$A$20:$AG$266,X$79,FALSE)</f>
        <v/>
      </c>
      <c r="Y87" s="84" t="str">
        <f>VLOOKUP($A87,'US Census Population Estimates'!$A$20:$AG$266,Y$79,FALSE)</f>
        <v/>
      </c>
      <c r="Z87" s="84" t="str">
        <f>VLOOKUP($A87,'US Census Population Estimates'!$A$20:$AG$266,Z$79,FALSE)</f>
        <v/>
      </c>
      <c r="AA87" s="84" t="str">
        <f>VLOOKUP($A87,'US Census Population Estimates'!$A$20:$AG$266,AA$79,FALSE)</f>
        <v/>
      </c>
      <c r="AB87" s="84" t="str">
        <f>VLOOKUP($A87,'US Census Population Estimates'!$A$20:$AG$266,AB$79,FALSE)</f>
        <v/>
      </c>
      <c r="AC87" s="84" t="str">
        <f>VLOOKUP($A87,'US Census Population Estimates'!$A$20:$AG$266,AC$79,FALSE)</f>
        <v/>
      </c>
      <c r="AD87" s="84" t="str">
        <f>VLOOKUP($A87,'US Census Population Estimates'!$A$20:$AG$266,AD$79,FALSE)</f>
        <v/>
      </c>
      <c r="AE87" s="84" t="str">
        <f>VLOOKUP($A87,'US Census Population Estimates'!$A$20:$AG$266,AE$79,FALSE)</f>
        <v/>
      </c>
      <c r="AF87" s="84" t="str">
        <f>VLOOKUP($A87,'US Census Population Estimates'!$A$20:$AG$266,AF$79,FALSE)</f>
        <v/>
      </c>
      <c r="AG87" s="88" t="str">
        <f>VLOOKUP($A87,'US Census Population Estimates'!$A$20:$AG$266,AG$79,FALSE)</f>
        <v/>
      </c>
      <c r="AH87" s="24"/>
      <c r="AI87" s="24"/>
      <c r="AJ87" s="24"/>
      <c r="AK87" s="24"/>
      <c r="AL87" s="24"/>
      <c r="AM87" s="24"/>
      <c r="AN87" s="24"/>
      <c r="AO87" s="24"/>
      <c r="AP87" s="24"/>
      <c r="AQ87" s="24"/>
      <c r="AR87" s="24"/>
      <c r="AS87" s="24"/>
      <c r="AT87" s="24"/>
      <c r="AU87" s="24"/>
      <c r="AV87" s="24"/>
      <c r="AW87" s="24"/>
      <c r="AX87" s="24"/>
      <c r="AY87" s="24"/>
      <c r="AZ87" s="24"/>
      <c r="BA87" s="24"/>
    </row>
    <row r="88" ht="12.75" customHeight="1">
      <c r="A88" s="46" t="s">
        <v>153</v>
      </c>
      <c r="B88" s="51" t="s">
        <v>51</v>
      </c>
      <c r="C88" s="84">
        <f>VLOOKUP($A88,'US Census Population Estimates'!$A$20:$AG$266,C$79,FALSE)</f>
        <v>230</v>
      </c>
      <c r="D88" s="84">
        <f>VLOOKUP($A88,'US Census Population Estimates'!$A$20:$AG$266,D$79,FALSE)</f>
        <v>229</v>
      </c>
      <c r="E88" s="84">
        <f>VLOOKUP($A88,'US Census Population Estimates'!$A$20:$AG$266,E$79,FALSE)</f>
        <v>227</v>
      </c>
      <c r="F88" s="84">
        <f>VLOOKUP($A88,'US Census Population Estimates'!$A$20:$AG$266,F$79,FALSE)</f>
        <v>222</v>
      </c>
      <c r="G88" s="84">
        <f>VLOOKUP($A88,'US Census Population Estimates'!$A$20:$AG$266,G$79,FALSE)</f>
        <v>221</v>
      </c>
      <c r="H88" s="84">
        <f>VLOOKUP($A88,'US Census Population Estimates'!$A$20:$AG$266,H$79,FALSE)</f>
        <v>217</v>
      </c>
      <c r="I88" s="84">
        <f>VLOOKUP($A88,'US Census Population Estimates'!$A$20:$AG$266,I$79,FALSE)</f>
        <v>215</v>
      </c>
      <c r="J88" s="84">
        <f>VLOOKUP($A88,'US Census Population Estimates'!$A$20:$AG$266,J$79,FALSE)</f>
        <v>212</v>
      </c>
      <c r="K88" s="84">
        <f>VLOOKUP($A88,'US Census Population Estimates'!$A$20:$AG$266,K$79,FALSE)</f>
        <v>208</v>
      </c>
      <c r="L88" s="84">
        <f>VLOOKUP($A88,'US Census Population Estimates'!$A$20:$AG$266,L$79,FALSE)</f>
        <v>205</v>
      </c>
      <c r="M88" s="84">
        <f>VLOOKUP($A88,'US Census Population Estimates'!$A$20:$AG$266,M$79,FALSE)</f>
        <v>205</v>
      </c>
      <c r="N88" s="84">
        <f>VLOOKUP($A88,'US Census Population Estimates'!$A$20:$AG$266,N$79,FALSE)</f>
        <v>206</v>
      </c>
      <c r="O88" s="84">
        <f>VLOOKUP($A88,'US Census Population Estimates'!$A$20:$AG$266,O$79,FALSE)</f>
        <v>207</v>
      </c>
      <c r="P88" s="84">
        <f>VLOOKUP($A88,'US Census Population Estimates'!$A$20:$AG$266,P$79,FALSE)</f>
        <v>206</v>
      </c>
      <c r="Q88" s="84">
        <f>VLOOKUP($A88,'US Census Population Estimates'!$A$20:$AG$266,Q$79,FALSE)</f>
        <v>208</v>
      </c>
      <c r="R88" s="84">
        <f>VLOOKUP($A88,'US Census Population Estimates'!$A$20:$AG$266,R$79,FALSE)</f>
        <v>209</v>
      </c>
      <c r="S88" s="84">
        <f>VLOOKUP($A88,'US Census Population Estimates'!$A$20:$AG$266,S$79,FALSE)</f>
        <v>206</v>
      </c>
      <c r="T88" s="84">
        <f>VLOOKUP($A88,'US Census Population Estimates'!$A$20:$AG$266,T$79,FALSE)</f>
        <v>204</v>
      </c>
      <c r="U88" s="84">
        <f>VLOOKUP($A88,'US Census Population Estimates'!$A$20:$AG$266,U$79,FALSE)</f>
        <v>205</v>
      </c>
      <c r="V88" s="84" t="str">
        <f>VLOOKUP($A88,'US Census Population Estimates'!$A$20:$AG$266,V$79,FALSE)</f>
        <v/>
      </c>
      <c r="W88" s="84" t="str">
        <f>VLOOKUP($A88,'US Census Population Estimates'!$A$20:$AG$266,W$79,FALSE)</f>
        <v/>
      </c>
      <c r="X88" s="84" t="str">
        <f>VLOOKUP($A88,'US Census Population Estimates'!$A$20:$AG$266,X$79,FALSE)</f>
        <v/>
      </c>
      <c r="Y88" s="84" t="str">
        <f>VLOOKUP($A88,'US Census Population Estimates'!$A$20:$AG$266,Y$79,FALSE)</f>
        <v/>
      </c>
      <c r="Z88" s="84" t="str">
        <f>VLOOKUP($A88,'US Census Population Estimates'!$A$20:$AG$266,Z$79,FALSE)</f>
        <v/>
      </c>
      <c r="AA88" s="84" t="str">
        <f>VLOOKUP($A88,'US Census Population Estimates'!$A$20:$AG$266,AA$79,FALSE)</f>
        <v/>
      </c>
      <c r="AB88" s="84" t="str">
        <f>VLOOKUP($A88,'US Census Population Estimates'!$A$20:$AG$266,AB$79,FALSE)</f>
        <v/>
      </c>
      <c r="AC88" s="84" t="str">
        <f>VLOOKUP($A88,'US Census Population Estimates'!$A$20:$AG$266,AC$79,FALSE)</f>
        <v/>
      </c>
      <c r="AD88" s="84" t="str">
        <f>VLOOKUP($A88,'US Census Population Estimates'!$A$20:$AG$266,AD$79,FALSE)</f>
        <v/>
      </c>
      <c r="AE88" s="84" t="str">
        <f>VLOOKUP($A88,'US Census Population Estimates'!$A$20:$AG$266,AE$79,FALSE)</f>
        <v/>
      </c>
      <c r="AF88" s="84" t="str">
        <f>VLOOKUP($A88,'US Census Population Estimates'!$A$20:$AG$266,AF$79,FALSE)</f>
        <v/>
      </c>
      <c r="AG88" s="88" t="str">
        <f>VLOOKUP($A88,'US Census Population Estimates'!$A$20:$AG$266,AG$79,FALSE)</f>
        <v/>
      </c>
      <c r="AH88" s="24"/>
      <c r="AI88" s="24"/>
      <c r="AJ88" s="24"/>
      <c r="AK88" s="24"/>
      <c r="AL88" s="24"/>
      <c r="AM88" s="24"/>
      <c r="AN88" s="24"/>
      <c r="AO88" s="24"/>
      <c r="AP88" s="24"/>
      <c r="AQ88" s="24"/>
      <c r="AR88" s="24"/>
      <c r="AS88" s="24"/>
      <c r="AT88" s="24"/>
      <c r="AU88" s="24"/>
      <c r="AV88" s="24"/>
      <c r="AW88" s="24"/>
      <c r="AX88" s="24"/>
      <c r="AY88" s="24"/>
      <c r="AZ88" s="24"/>
      <c r="BA88" s="24"/>
    </row>
    <row r="89" ht="12.75" customHeight="1">
      <c r="A89" s="46" t="s">
        <v>154</v>
      </c>
      <c r="B89" s="51" t="s">
        <v>51</v>
      </c>
      <c r="C89" s="84">
        <f>VLOOKUP($A89,'US Census Population Estimates'!$A$20:$AG$266,C$79,FALSE)</f>
        <v>2257</v>
      </c>
      <c r="D89" s="84">
        <f>VLOOKUP($A89,'US Census Population Estimates'!$A$20:$AG$266,D$79,FALSE)</f>
        <v>2239</v>
      </c>
      <c r="E89" s="84">
        <f>VLOOKUP($A89,'US Census Population Estimates'!$A$20:$AG$266,E$79,FALSE)</f>
        <v>2275</v>
      </c>
      <c r="F89" s="84">
        <f>VLOOKUP($A89,'US Census Population Estimates'!$A$20:$AG$266,F$79,FALSE)</f>
        <v>2281</v>
      </c>
      <c r="G89" s="84">
        <f>VLOOKUP($A89,'US Census Population Estimates'!$A$20:$AG$266,G$79,FALSE)</f>
        <v>2303</v>
      </c>
      <c r="H89" s="84">
        <f>VLOOKUP($A89,'US Census Population Estimates'!$A$20:$AG$266,H$79,FALSE)</f>
        <v>2348</v>
      </c>
      <c r="I89" s="84">
        <f>VLOOKUP($A89,'US Census Population Estimates'!$A$20:$AG$266,I$79,FALSE)</f>
        <v>2385</v>
      </c>
      <c r="J89" s="84">
        <f>VLOOKUP($A89,'US Census Population Estimates'!$A$20:$AG$266,J$79,FALSE)</f>
        <v>2436</v>
      </c>
      <c r="K89" s="84">
        <f>VLOOKUP($A89,'US Census Population Estimates'!$A$20:$AG$266,K$79,FALSE)</f>
        <v>2513</v>
      </c>
      <c r="L89" s="84">
        <f>VLOOKUP($A89,'US Census Population Estimates'!$A$20:$AG$266,L$79,FALSE)</f>
        <v>2577</v>
      </c>
      <c r="M89" s="84">
        <f>VLOOKUP($A89,'US Census Population Estimates'!$A$20:$AG$266,M$79,FALSE)</f>
        <v>2646</v>
      </c>
      <c r="N89" s="84">
        <f>VLOOKUP($A89,'US Census Population Estimates'!$A$20:$AG$266,N$79,FALSE)</f>
        <v>2622</v>
      </c>
      <c r="O89" s="84">
        <f>VLOOKUP($A89,'US Census Population Estimates'!$A$20:$AG$266,O$79,FALSE)</f>
        <v>2660</v>
      </c>
      <c r="P89" s="84">
        <f>VLOOKUP($A89,'US Census Population Estimates'!$A$20:$AG$266,P$79,FALSE)</f>
        <v>2716</v>
      </c>
      <c r="Q89" s="84">
        <f>VLOOKUP($A89,'US Census Population Estimates'!$A$20:$AG$266,Q$79,FALSE)</f>
        <v>2676</v>
      </c>
      <c r="R89" s="84">
        <f>VLOOKUP($A89,'US Census Population Estimates'!$A$20:$AG$266,R$79,FALSE)</f>
        <v>2685</v>
      </c>
      <c r="S89" s="84">
        <f>VLOOKUP($A89,'US Census Population Estimates'!$A$20:$AG$266,S$79,FALSE)</f>
        <v>2649</v>
      </c>
      <c r="T89" s="84">
        <f>VLOOKUP($A89,'US Census Population Estimates'!$A$20:$AG$266,T$79,FALSE)</f>
        <v>2591</v>
      </c>
      <c r="U89" s="84">
        <f>VLOOKUP($A89,'US Census Population Estimates'!$A$20:$AG$266,U$79,FALSE)</f>
        <v>2554</v>
      </c>
      <c r="V89" s="84" t="str">
        <f>VLOOKUP($A89,'US Census Population Estimates'!$A$20:$AG$266,V$79,FALSE)</f>
        <v/>
      </c>
      <c r="W89" s="84" t="str">
        <f>VLOOKUP($A89,'US Census Population Estimates'!$A$20:$AG$266,W$79,FALSE)</f>
        <v/>
      </c>
      <c r="X89" s="84" t="str">
        <f>VLOOKUP($A89,'US Census Population Estimates'!$A$20:$AG$266,X$79,FALSE)</f>
        <v/>
      </c>
      <c r="Y89" s="84" t="str">
        <f>VLOOKUP($A89,'US Census Population Estimates'!$A$20:$AG$266,Y$79,FALSE)</f>
        <v/>
      </c>
      <c r="Z89" s="84" t="str">
        <f>VLOOKUP($A89,'US Census Population Estimates'!$A$20:$AG$266,Z$79,FALSE)</f>
        <v/>
      </c>
      <c r="AA89" s="84" t="str">
        <f>VLOOKUP($A89,'US Census Population Estimates'!$A$20:$AG$266,AA$79,FALSE)</f>
        <v/>
      </c>
      <c r="AB89" s="84" t="str">
        <f>VLOOKUP($A89,'US Census Population Estimates'!$A$20:$AG$266,AB$79,FALSE)</f>
        <v/>
      </c>
      <c r="AC89" s="84" t="str">
        <f>VLOOKUP($A89,'US Census Population Estimates'!$A$20:$AG$266,AC$79,FALSE)</f>
        <v/>
      </c>
      <c r="AD89" s="84" t="str">
        <f>VLOOKUP($A89,'US Census Population Estimates'!$A$20:$AG$266,AD$79,FALSE)</f>
        <v/>
      </c>
      <c r="AE89" s="84" t="str">
        <f>VLOOKUP($A89,'US Census Population Estimates'!$A$20:$AG$266,AE$79,FALSE)</f>
        <v/>
      </c>
      <c r="AF89" s="84" t="str">
        <f>VLOOKUP($A89,'US Census Population Estimates'!$A$20:$AG$266,AF$79,FALSE)</f>
        <v/>
      </c>
      <c r="AG89" s="88" t="str">
        <f>VLOOKUP($A89,'US Census Population Estimates'!$A$20:$AG$266,AG$79,FALSE)</f>
        <v/>
      </c>
      <c r="AH89" s="24"/>
      <c r="AI89" s="24"/>
      <c r="AJ89" s="24"/>
      <c r="AK89" s="24"/>
      <c r="AL89" s="24"/>
      <c r="AM89" s="24"/>
      <c r="AN89" s="24"/>
      <c r="AO89" s="24"/>
      <c r="AP89" s="24"/>
      <c r="AQ89" s="24"/>
      <c r="AR89" s="24"/>
      <c r="AS89" s="24"/>
      <c r="AT89" s="24"/>
      <c r="AU89" s="24"/>
      <c r="AV89" s="24"/>
      <c r="AW89" s="24"/>
      <c r="AX89" s="24"/>
      <c r="AY89" s="24"/>
      <c r="AZ89" s="24"/>
      <c r="BA89" s="24"/>
    </row>
    <row r="90" ht="12.75" customHeight="1">
      <c r="A90" s="46" t="s">
        <v>155</v>
      </c>
      <c r="B90" s="51" t="s">
        <v>51</v>
      </c>
      <c r="C90" s="84">
        <f>VLOOKUP($A90,'US Census Population Estimates'!$A$20:$AG$266,C$79,FALSE)</f>
        <v>1141</v>
      </c>
      <c r="D90" s="84">
        <f>VLOOKUP($A90,'US Census Population Estimates'!$A$20:$AG$266,D$79,FALSE)</f>
        <v>1147</v>
      </c>
      <c r="E90" s="84">
        <f>VLOOKUP($A90,'US Census Population Estimates'!$A$20:$AG$266,E$79,FALSE)</f>
        <v>1149</v>
      </c>
      <c r="F90" s="84">
        <f>VLOOKUP($A90,'US Census Population Estimates'!$A$20:$AG$266,F$79,FALSE)</f>
        <v>1141</v>
      </c>
      <c r="G90" s="84">
        <f>VLOOKUP($A90,'US Census Population Estimates'!$A$20:$AG$266,G$79,FALSE)</f>
        <v>1148</v>
      </c>
      <c r="H90" s="84">
        <f>VLOOKUP($A90,'US Census Population Estimates'!$A$20:$AG$266,H$79,FALSE)</f>
        <v>1143</v>
      </c>
      <c r="I90" s="84">
        <f>VLOOKUP($A90,'US Census Population Estimates'!$A$20:$AG$266,I$79,FALSE)</f>
        <v>1146</v>
      </c>
      <c r="J90" s="84">
        <f>VLOOKUP($A90,'US Census Population Estimates'!$A$20:$AG$266,J$79,FALSE)</f>
        <v>1146</v>
      </c>
      <c r="K90" s="84">
        <f>VLOOKUP($A90,'US Census Population Estimates'!$A$20:$AG$266,K$79,FALSE)</f>
        <v>1139</v>
      </c>
      <c r="L90" s="84">
        <f>VLOOKUP($A90,'US Census Population Estimates'!$A$20:$AG$266,L$79,FALSE)</f>
        <v>1138</v>
      </c>
      <c r="M90" s="84">
        <f>VLOOKUP($A90,'US Census Population Estimates'!$A$20:$AG$266,M$79,FALSE)</f>
        <v>1148</v>
      </c>
      <c r="N90" s="84">
        <f>VLOOKUP($A90,'US Census Population Estimates'!$A$20:$AG$266,N$79,FALSE)</f>
        <v>1163</v>
      </c>
      <c r="O90" s="84">
        <f>VLOOKUP($A90,'US Census Population Estimates'!$A$20:$AG$266,O$79,FALSE)</f>
        <v>1169</v>
      </c>
      <c r="P90" s="84">
        <f>VLOOKUP($A90,'US Census Population Estimates'!$A$20:$AG$266,P$79,FALSE)</f>
        <v>1180</v>
      </c>
      <c r="Q90" s="84">
        <f>VLOOKUP($A90,'US Census Population Estimates'!$A$20:$AG$266,Q$79,FALSE)</f>
        <v>1192</v>
      </c>
      <c r="R90" s="84">
        <f>VLOOKUP($A90,'US Census Population Estimates'!$A$20:$AG$266,R$79,FALSE)</f>
        <v>1197</v>
      </c>
      <c r="S90" s="84">
        <f>VLOOKUP($A90,'US Census Population Estimates'!$A$20:$AG$266,S$79,FALSE)</f>
        <v>1174</v>
      </c>
      <c r="T90" s="84">
        <f>VLOOKUP($A90,'US Census Population Estimates'!$A$20:$AG$266,T$79,FALSE)</f>
        <v>1151</v>
      </c>
      <c r="U90" s="84">
        <f>VLOOKUP($A90,'US Census Population Estimates'!$A$20:$AG$266,U$79,FALSE)</f>
        <v>1148</v>
      </c>
      <c r="V90" s="84" t="str">
        <f>VLOOKUP($A90,'US Census Population Estimates'!$A$20:$AG$266,V$79,FALSE)</f>
        <v/>
      </c>
      <c r="W90" s="84" t="str">
        <f>VLOOKUP($A90,'US Census Population Estimates'!$A$20:$AG$266,W$79,FALSE)</f>
        <v/>
      </c>
      <c r="X90" s="84" t="str">
        <f>VLOOKUP($A90,'US Census Population Estimates'!$A$20:$AG$266,X$79,FALSE)</f>
        <v/>
      </c>
      <c r="Y90" s="84" t="str">
        <f>VLOOKUP($A90,'US Census Population Estimates'!$A$20:$AG$266,Y$79,FALSE)</f>
        <v/>
      </c>
      <c r="Z90" s="84" t="str">
        <f>VLOOKUP($A90,'US Census Population Estimates'!$A$20:$AG$266,Z$79,FALSE)</f>
        <v/>
      </c>
      <c r="AA90" s="84" t="str">
        <f>VLOOKUP($A90,'US Census Population Estimates'!$A$20:$AG$266,AA$79,FALSE)</f>
        <v/>
      </c>
      <c r="AB90" s="84" t="str">
        <f>VLOOKUP($A90,'US Census Population Estimates'!$A$20:$AG$266,AB$79,FALSE)</f>
        <v/>
      </c>
      <c r="AC90" s="84" t="str">
        <f>VLOOKUP($A90,'US Census Population Estimates'!$A$20:$AG$266,AC$79,FALSE)</f>
        <v/>
      </c>
      <c r="AD90" s="84" t="str">
        <f>VLOOKUP($A90,'US Census Population Estimates'!$A$20:$AG$266,AD$79,FALSE)</f>
        <v/>
      </c>
      <c r="AE90" s="84" t="str">
        <f>VLOOKUP($A90,'US Census Population Estimates'!$A$20:$AG$266,AE$79,FALSE)</f>
        <v/>
      </c>
      <c r="AF90" s="84" t="str">
        <f>VLOOKUP($A90,'US Census Population Estimates'!$A$20:$AG$266,AF$79,FALSE)</f>
        <v/>
      </c>
      <c r="AG90" s="88" t="str">
        <f>VLOOKUP($A90,'US Census Population Estimates'!$A$20:$AG$266,AG$79,FALSE)</f>
        <v/>
      </c>
      <c r="AH90" s="24"/>
      <c r="AI90" s="24"/>
      <c r="AJ90" s="24"/>
      <c r="AK90" s="24"/>
      <c r="AL90" s="24"/>
      <c r="AM90" s="24"/>
      <c r="AN90" s="24"/>
      <c r="AO90" s="24"/>
      <c r="AP90" s="24"/>
      <c r="AQ90" s="24"/>
      <c r="AR90" s="24"/>
      <c r="AS90" s="24"/>
      <c r="AT90" s="24"/>
      <c r="AU90" s="24"/>
      <c r="AV90" s="24"/>
      <c r="AW90" s="24"/>
      <c r="AX90" s="24"/>
      <c r="AY90" s="24"/>
      <c r="AZ90" s="24"/>
      <c r="BA90" s="24"/>
    </row>
    <row r="91" ht="12.75" customHeight="1">
      <c r="A91" s="46" t="s">
        <v>156</v>
      </c>
      <c r="B91" s="51" t="s">
        <v>51</v>
      </c>
      <c r="C91" s="84">
        <f>VLOOKUP($A91,'US Census Population Estimates'!$A$20:$AG$266,C$79,FALSE)</f>
        <v>75</v>
      </c>
      <c r="D91" s="84">
        <f>VLOOKUP($A91,'US Census Population Estimates'!$A$20:$AG$266,D$79,FALSE)</f>
        <v>74</v>
      </c>
      <c r="E91" s="84">
        <f>VLOOKUP($A91,'US Census Population Estimates'!$A$20:$AG$266,E$79,FALSE)</f>
        <v>73</v>
      </c>
      <c r="F91" s="84">
        <f>VLOOKUP($A91,'US Census Population Estimates'!$A$20:$AG$266,F$79,FALSE)</f>
        <v>71</v>
      </c>
      <c r="G91" s="84">
        <f>VLOOKUP($A91,'US Census Population Estimates'!$A$20:$AG$266,G$79,FALSE)</f>
        <v>70</v>
      </c>
      <c r="H91" s="84">
        <f>VLOOKUP($A91,'US Census Population Estimates'!$A$20:$AG$266,H$79,FALSE)</f>
        <v>68</v>
      </c>
      <c r="I91" s="84">
        <f>VLOOKUP($A91,'US Census Population Estimates'!$A$20:$AG$266,I$79,FALSE)</f>
        <v>67</v>
      </c>
      <c r="J91" s="84">
        <f>VLOOKUP($A91,'US Census Population Estimates'!$A$20:$AG$266,J$79,FALSE)</f>
        <v>66</v>
      </c>
      <c r="K91" s="84">
        <f>VLOOKUP($A91,'US Census Population Estimates'!$A$20:$AG$266,K$79,FALSE)</f>
        <v>64</v>
      </c>
      <c r="L91" s="84">
        <f>VLOOKUP($A91,'US Census Population Estimates'!$A$20:$AG$266,L$79,FALSE)</f>
        <v>63</v>
      </c>
      <c r="M91" s="84">
        <f>VLOOKUP($A91,'US Census Population Estimates'!$A$20:$AG$266,M$79,FALSE)</f>
        <v>62</v>
      </c>
      <c r="N91" s="84">
        <f>VLOOKUP($A91,'US Census Population Estimates'!$A$20:$AG$266,N$79,FALSE)</f>
        <v>62</v>
      </c>
      <c r="O91" s="84">
        <f>VLOOKUP($A91,'US Census Population Estimates'!$A$20:$AG$266,O$79,FALSE)</f>
        <v>62</v>
      </c>
      <c r="P91" s="84">
        <f>VLOOKUP($A91,'US Census Population Estimates'!$A$20:$AG$266,P$79,FALSE)</f>
        <v>63</v>
      </c>
      <c r="Q91" s="84">
        <f>VLOOKUP($A91,'US Census Population Estimates'!$A$20:$AG$266,Q$79,FALSE)</f>
        <v>63</v>
      </c>
      <c r="R91" s="84">
        <f>VLOOKUP($A91,'US Census Population Estimates'!$A$20:$AG$266,R$79,FALSE)</f>
        <v>63</v>
      </c>
      <c r="S91" s="84">
        <f>VLOOKUP($A91,'US Census Population Estimates'!$A$20:$AG$266,S$79,FALSE)</f>
        <v>62</v>
      </c>
      <c r="T91" s="84">
        <f>VLOOKUP($A91,'US Census Population Estimates'!$A$20:$AG$266,T$79,FALSE)</f>
        <v>61</v>
      </c>
      <c r="U91" s="84">
        <f>VLOOKUP($A91,'US Census Population Estimates'!$A$20:$AG$266,U$79,FALSE)</f>
        <v>61</v>
      </c>
      <c r="V91" s="84" t="str">
        <f>VLOOKUP($A91,'US Census Population Estimates'!$A$20:$AG$266,V$79,FALSE)</f>
        <v/>
      </c>
      <c r="W91" s="84" t="str">
        <f>VLOOKUP($A91,'US Census Population Estimates'!$A$20:$AG$266,W$79,FALSE)</f>
        <v/>
      </c>
      <c r="X91" s="84" t="str">
        <f>VLOOKUP($A91,'US Census Population Estimates'!$A$20:$AG$266,X$79,FALSE)</f>
        <v/>
      </c>
      <c r="Y91" s="84" t="str">
        <f>VLOOKUP($A91,'US Census Population Estimates'!$A$20:$AG$266,Y$79,FALSE)</f>
        <v/>
      </c>
      <c r="Z91" s="84" t="str">
        <f>VLOOKUP($A91,'US Census Population Estimates'!$A$20:$AG$266,Z$79,FALSE)</f>
        <v/>
      </c>
      <c r="AA91" s="84" t="str">
        <f>VLOOKUP($A91,'US Census Population Estimates'!$A$20:$AG$266,AA$79,FALSE)</f>
        <v/>
      </c>
      <c r="AB91" s="84" t="str">
        <f>VLOOKUP($A91,'US Census Population Estimates'!$A$20:$AG$266,AB$79,FALSE)</f>
        <v/>
      </c>
      <c r="AC91" s="84" t="str">
        <f>VLOOKUP($A91,'US Census Population Estimates'!$A$20:$AG$266,AC$79,FALSE)</f>
        <v/>
      </c>
      <c r="AD91" s="84" t="str">
        <f>VLOOKUP($A91,'US Census Population Estimates'!$A$20:$AG$266,AD$79,FALSE)</f>
        <v/>
      </c>
      <c r="AE91" s="84" t="str">
        <f>VLOOKUP($A91,'US Census Population Estimates'!$A$20:$AG$266,AE$79,FALSE)</f>
        <v/>
      </c>
      <c r="AF91" s="84" t="str">
        <f>VLOOKUP($A91,'US Census Population Estimates'!$A$20:$AG$266,AF$79,FALSE)</f>
        <v/>
      </c>
      <c r="AG91" s="88" t="str">
        <f>VLOOKUP($A91,'US Census Population Estimates'!$A$20:$AG$266,AG$79,FALSE)</f>
        <v/>
      </c>
      <c r="AH91" s="24"/>
      <c r="AI91" s="24"/>
      <c r="AJ91" s="24"/>
      <c r="AK91" s="24"/>
      <c r="AL91" s="24"/>
      <c r="AM91" s="24"/>
      <c r="AN91" s="24"/>
      <c r="AO91" s="24"/>
      <c r="AP91" s="24"/>
      <c r="AQ91" s="24"/>
      <c r="AR91" s="24"/>
      <c r="AS91" s="24"/>
      <c r="AT91" s="24"/>
      <c r="AU91" s="24"/>
      <c r="AV91" s="24"/>
      <c r="AW91" s="24"/>
      <c r="AX91" s="24"/>
      <c r="AY91" s="24"/>
      <c r="AZ91" s="24"/>
      <c r="BA91" s="24"/>
    </row>
    <row r="92" ht="12.75" customHeight="1">
      <c r="A92" s="46" t="s">
        <v>157</v>
      </c>
      <c r="B92" s="51" t="s">
        <v>51</v>
      </c>
      <c r="C92" s="84">
        <f>VLOOKUP($A92,'US Census Population Estimates'!$A$20:$AG$266,C$79,FALSE)</f>
        <v>344</v>
      </c>
      <c r="D92" s="84">
        <f>VLOOKUP($A92,'US Census Population Estimates'!$A$20:$AG$266,D$79,FALSE)</f>
        <v>352</v>
      </c>
      <c r="E92" s="84">
        <f>VLOOKUP($A92,'US Census Population Estimates'!$A$20:$AG$266,E$79,FALSE)</f>
        <v>359</v>
      </c>
      <c r="F92" s="84">
        <f>VLOOKUP($A92,'US Census Population Estimates'!$A$20:$AG$266,F$79,FALSE)</f>
        <v>366</v>
      </c>
      <c r="G92" s="84">
        <f>VLOOKUP($A92,'US Census Population Estimates'!$A$20:$AG$266,G$79,FALSE)</f>
        <v>377</v>
      </c>
      <c r="H92" s="84">
        <f>VLOOKUP($A92,'US Census Population Estimates'!$A$20:$AG$266,H$79,FALSE)</f>
        <v>381</v>
      </c>
      <c r="I92" s="84">
        <f>VLOOKUP($A92,'US Census Population Estimates'!$A$20:$AG$266,I$79,FALSE)</f>
        <v>393</v>
      </c>
      <c r="J92" s="84">
        <f>VLOOKUP($A92,'US Census Population Estimates'!$A$20:$AG$266,J$79,FALSE)</f>
        <v>410</v>
      </c>
      <c r="K92" s="84">
        <f>VLOOKUP($A92,'US Census Population Estimates'!$A$20:$AG$266,K$79,FALSE)</f>
        <v>423</v>
      </c>
      <c r="L92" s="84">
        <f>VLOOKUP($A92,'US Census Population Estimates'!$A$20:$AG$266,L$79,FALSE)</f>
        <v>434</v>
      </c>
      <c r="M92" s="84">
        <f>VLOOKUP($A92,'US Census Population Estimates'!$A$20:$AG$266,M$79,FALSE)</f>
        <v>450</v>
      </c>
      <c r="N92" s="84">
        <f>VLOOKUP($A92,'US Census Population Estimates'!$A$20:$AG$266,N$79,FALSE)</f>
        <v>454</v>
      </c>
      <c r="O92" s="84">
        <f>VLOOKUP($A92,'US Census Population Estimates'!$A$20:$AG$266,O$79,FALSE)</f>
        <v>455</v>
      </c>
      <c r="P92" s="84">
        <f>VLOOKUP($A92,'US Census Population Estimates'!$A$20:$AG$266,P$79,FALSE)</f>
        <v>452</v>
      </c>
      <c r="Q92" s="84">
        <f>VLOOKUP($A92,'US Census Population Estimates'!$A$20:$AG$266,Q$79,FALSE)</f>
        <v>453</v>
      </c>
      <c r="R92" s="84">
        <f>VLOOKUP($A92,'US Census Population Estimates'!$A$20:$AG$266,R$79,FALSE)</f>
        <v>450</v>
      </c>
      <c r="S92" s="84">
        <f>VLOOKUP($A92,'US Census Population Estimates'!$A$20:$AG$266,S$79,FALSE)</f>
        <v>445</v>
      </c>
      <c r="T92" s="84">
        <f>VLOOKUP($A92,'US Census Population Estimates'!$A$20:$AG$266,T$79,FALSE)</f>
        <v>445</v>
      </c>
      <c r="U92" s="84">
        <f>VLOOKUP($A92,'US Census Population Estimates'!$A$20:$AG$266,U$79,FALSE)</f>
        <v>444</v>
      </c>
      <c r="V92" s="84" t="str">
        <f>VLOOKUP($A92,'US Census Population Estimates'!$A$20:$AG$266,V$79,FALSE)</f>
        <v/>
      </c>
      <c r="W92" s="84" t="str">
        <f>VLOOKUP($A92,'US Census Population Estimates'!$A$20:$AG$266,W$79,FALSE)</f>
        <v/>
      </c>
      <c r="X92" s="84" t="str">
        <f>VLOOKUP($A92,'US Census Population Estimates'!$A$20:$AG$266,X$79,FALSE)</f>
        <v/>
      </c>
      <c r="Y92" s="84" t="str">
        <f>VLOOKUP($A92,'US Census Population Estimates'!$A$20:$AG$266,Y$79,FALSE)</f>
        <v/>
      </c>
      <c r="Z92" s="84" t="str">
        <f>VLOOKUP($A92,'US Census Population Estimates'!$A$20:$AG$266,Z$79,FALSE)</f>
        <v/>
      </c>
      <c r="AA92" s="84" t="str">
        <f>VLOOKUP($A92,'US Census Population Estimates'!$A$20:$AG$266,AA$79,FALSE)</f>
        <v/>
      </c>
      <c r="AB92" s="84" t="str">
        <f>VLOOKUP($A92,'US Census Population Estimates'!$A$20:$AG$266,AB$79,FALSE)</f>
        <v/>
      </c>
      <c r="AC92" s="84" t="str">
        <f>VLOOKUP($A92,'US Census Population Estimates'!$A$20:$AG$266,AC$79,FALSE)</f>
        <v/>
      </c>
      <c r="AD92" s="84" t="str">
        <f>VLOOKUP($A92,'US Census Population Estimates'!$A$20:$AG$266,AD$79,FALSE)</f>
        <v/>
      </c>
      <c r="AE92" s="84" t="str">
        <f>VLOOKUP($A92,'US Census Population Estimates'!$A$20:$AG$266,AE$79,FALSE)</f>
        <v/>
      </c>
      <c r="AF92" s="84" t="str">
        <f>VLOOKUP($A92,'US Census Population Estimates'!$A$20:$AG$266,AF$79,FALSE)</f>
        <v/>
      </c>
      <c r="AG92" s="88" t="str">
        <f>VLOOKUP($A92,'US Census Population Estimates'!$A$20:$AG$266,AG$79,FALSE)</f>
        <v/>
      </c>
      <c r="AH92" s="24"/>
      <c r="AI92" s="24"/>
      <c r="AJ92" s="24"/>
      <c r="AK92" s="24"/>
      <c r="AL92" s="24"/>
      <c r="AM92" s="24"/>
      <c r="AN92" s="24"/>
      <c r="AO92" s="24"/>
      <c r="AP92" s="24"/>
      <c r="AQ92" s="24"/>
      <c r="AR92" s="24"/>
      <c r="AS92" s="24"/>
      <c r="AT92" s="24"/>
      <c r="AU92" s="24"/>
      <c r="AV92" s="24"/>
      <c r="AW92" s="24"/>
      <c r="AX92" s="24"/>
      <c r="AY92" s="24"/>
      <c r="AZ92" s="24"/>
      <c r="BA92" s="24"/>
    </row>
    <row r="93" ht="12.75" customHeight="1">
      <c r="A93" s="46" t="s">
        <v>158</v>
      </c>
      <c r="B93" s="51" t="s">
        <v>51</v>
      </c>
      <c r="C93" s="84">
        <f>VLOOKUP($A93,'US Census Population Estimates'!$A$20:$AG$266,C$79,FALSE)</f>
        <v>512</v>
      </c>
      <c r="D93" s="84">
        <f>VLOOKUP($A93,'US Census Population Estimates'!$A$20:$AG$266,D$79,FALSE)</f>
        <v>501</v>
      </c>
      <c r="E93" s="84">
        <f>VLOOKUP($A93,'US Census Population Estimates'!$A$20:$AG$266,E$79,FALSE)</f>
        <v>489</v>
      </c>
      <c r="F93" s="84">
        <f>VLOOKUP($A93,'US Census Population Estimates'!$A$20:$AG$266,F$79,FALSE)</f>
        <v>482</v>
      </c>
      <c r="G93" s="84">
        <f>VLOOKUP($A93,'US Census Population Estimates'!$A$20:$AG$266,G$79,FALSE)</f>
        <v>479</v>
      </c>
      <c r="H93" s="84">
        <f>VLOOKUP($A93,'US Census Population Estimates'!$A$20:$AG$266,H$79,FALSE)</f>
        <v>473</v>
      </c>
      <c r="I93" s="84">
        <f>VLOOKUP($A93,'US Census Population Estimates'!$A$20:$AG$266,I$79,FALSE)</f>
        <v>468</v>
      </c>
      <c r="J93" s="84">
        <f>VLOOKUP($A93,'US Census Population Estimates'!$A$20:$AG$266,J$79,FALSE)</f>
        <v>463</v>
      </c>
      <c r="K93" s="84">
        <f>VLOOKUP($A93,'US Census Population Estimates'!$A$20:$AG$266,K$79,FALSE)</f>
        <v>462</v>
      </c>
      <c r="L93" s="84">
        <f>VLOOKUP($A93,'US Census Population Estimates'!$A$20:$AG$266,L$79,FALSE)</f>
        <v>463</v>
      </c>
      <c r="M93" s="84">
        <f>VLOOKUP($A93,'US Census Population Estimates'!$A$20:$AG$266,M$79,FALSE)</f>
        <v>471</v>
      </c>
      <c r="N93" s="84">
        <f>VLOOKUP($A93,'US Census Population Estimates'!$A$20:$AG$266,N$79,FALSE)</f>
        <v>476</v>
      </c>
      <c r="O93" s="84">
        <f>VLOOKUP($A93,'US Census Population Estimates'!$A$20:$AG$266,O$79,FALSE)</f>
        <v>477</v>
      </c>
      <c r="P93" s="84">
        <f>VLOOKUP($A93,'US Census Population Estimates'!$A$20:$AG$266,P$79,FALSE)</f>
        <v>472</v>
      </c>
      <c r="Q93" s="84">
        <f>VLOOKUP($A93,'US Census Population Estimates'!$A$20:$AG$266,Q$79,FALSE)</f>
        <v>472</v>
      </c>
      <c r="R93" s="84">
        <f>VLOOKUP($A93,'US Census Population Estimates'!$A$20:$AG$266,R$79,FALSE)</f>
        <v>470</v>
      </c>
      <c r="S93" s="84">
        <f>VLOOKUP($A93,'US Census Population Estimates'!$A$20:$AG$266,S$79,FALSE)</f>
        <v>462</v>
      </c>
      <c r="T93" s="84">
        <f>VLOOKUP($A93,'US Census Population Estimates'!$A$20:$AG$266,T$79,FALSE)</f>
        <v>463</v>
      </c>
      <c r="U93" s="84">
        <f>VLOOKUP($A93,'US Census Population Estimates'!$A$20:$AG$266,U$79,FALSE)</f>
        <v>462</v>
      </c>
      <c r="V93" s="84" t="str">
        <f>VLOOKUP($A93,'US Census Population Estimates'!$A$20:$AG$266,V$79,FALSE)</f>
        <v/>
      </c>
      <c r="W93" s="84" t="str">
        <f>VLOOKUP($A93,'US Census Population Estimates'!$A$20:$AG$266,W$79,FALSE)</f>
        <v/>
      </c>
      <c r="X93" s="84" t="str">
        <f>VLOOKUP($A93,'US Census Population Estimates'!$A$20:$AG$266,X$79,FALSE)</f>
        <v/>
      </c>
      <c r="Y93" s="84" t="str">
        <f>VLOOKUP($A93,'US Census Population Estimates'!$A$20:$AG$266,Y$79,FALSE)</f>
        <v/>
      </c>
      <c r="Z93" s="84" t="str">
        <f>VLOOKUP($A93,'US Census Population Estimates'!$A$20:$AG$266,Z$79,FALSE)</f>
        <v/>
      </c>
      <c r="AA93" s="84" t="str">
        <f>VLOOKUP($A93,'US Census Population Estimates'!$A$20:$AG$266,AA$79,FALSE)</f>
        <v/>
      </c>
      <c r="AB93" s="84" t="str">
        <f>VLOOKUP($A93,'US Census Population Estimates'!$A$20:$AG$266,AB$79,FALSE)</f>
        <v/>
      </c>
      <c r="AC93" s="84" t="str">
        <f>VLOOKUP($A93,'US Census Population Estimates'!$A$20:$AG$266,AC$79,FALSE)</f>
        <v/>
      </c>
      <c r="AD93" s="84" t="str">
        <f>VLOOKUP($A93,'US Census Population Estimates'!$A$20:$AG$266,AD$79,FALSE)</f>
        <v/>
      </c>
      <c r="AE93" s="84" t="str">
        <f>VLOOKUP($A93,'US Census Population Estimates'!$A$20:$AG$266,AE$79,FALSE)</f>
        <v/>
      </c>
      <c r="AF93" s="84" t="str">
        <f>VLOOKUP($A93,'US Census Population Estimates'!$A$20:$AG$266,AF$79,FALSE)</f>
        <v/>
      </c>
      <c r="AG93" s="88" t="str">
        <f>VLOOKUP($A93,'US Census Population Estimates'!$A$20:$AG$266,AG$79,FALSE)</f>
        <v/>
      </c>
      <c r="AH93" s="24"/>
      <c r="AI93" s="24"/>
      <c r="AJ93" s="24"/>
      <c r="AK93" s="24"/>
      <c r="AL93" s="24"/>
      <c r="AM93" s="24"/>
      <c r="AN93" s="24"/>
      <c r="AO93" s="24"/>
      <c r="AP93" s="24"/>
      <c r="AQ93" s="24"/>
      <c r="AR93" s="24"/>
      <c r="AS93" s="24"/>
      <c r="AT93" s="24"/>
      <c r="AU93" s="24"/>
      <c r="AV93" s="24"/>
      <c r="AW93" s="24"/>
      <c r="AX93" s="24"/>
      <c r="AY93" s="24"/>
      <c r="AZ93" s="24"/>
      <c r="BA93" s="24"/>
    </row>
    <row r="94" ht="12.75" customHeight="1">
      <c r="A94" s="46" t="s">
        <v>159</v>
      </c>
      <c r="B94" s="51" t="s">
        <v>51</v>
      </c>
      <c r="C94" s="84">
        <f>VLOOKUP($A94,'US Census Population Estimates'!$A$20:$AG$266,C$79,FALSE)</f>
        <v>273</v>
      </c>
      <c r="D94" s="84">
        <f>VLOOKUP($A94,'US Census Population Estimates'!$A$20:$AG$266,D$79,FALSE)</f>
        <v>271</v>
      </c>
      <c r="E94" s="84">
        <f>VLOOKUP($A94,'US Census Population Estimates'!$A$20:$AG$266,E$79,FALSE)</f>
        <v>271</v>
      </c>
      <c r="F94" s="84">
        <f>VLOOKUP($A94,'US Census Population Estimates'!$A$20:$AG$266,F$79,FALSE)</f>
        <v>270</v>
      </c>
      <c r="G94" s="84">
        <f>VLOOKUP($A94,'US Census Population Estimates'!$A$20:$AG$266,G$79,FALSE)</f>
        <v>270</v>
      </c>
      <c r="H94" s="84">
        <f>VLOOKUP($A94,'US Census Population Estimates'!$A$20:$AG$266,H$79,FALSE)</f>
        <v>268</v>
      </c>
      <c r="I94" s="84">
        <f>VLOOKUP($A94,'US Census Population Estimates'!$A$20:$AG$266,I$79,FALSE)</f>
        <v>271</v>
      </c>
      <c r="J94" s="84">
        <f>VLOOKUP($A94,'US Census Population Estimates'!$A$20:$AG$266,J$79,FALSE)</f>
        <v>277</v>
      </c>
      <c r="K94" s="84">
        <f>VLOOKUP($A94,'US Census Population Estimates'!$A$20:$AG$266,K$79,FALSE)</f>
        <v>282</v>
      </c>
      <c r="L94" s="84">
        <f>VLOOKUP($A94,'US Census Population Estimates'!$A$20:$AG$266,L$79,FALSE)</f>
        <v>285</v>
      </c>
      <c r="M94" s="84">
        <f>VLOOKUP($A94,'US Census Population Estimates'!$A$20:$AG$266,M$79,FALSE)</f>
        <v>283</v>
      </c>
      <c r="N94" s="84">
        <f>VLOOKUP($A94,'US Census Population Estimates'!$A$20:$AG$266,N$79,FALSE)</f>
        <v>282</v>
      </c>
      <c r="O94" s="84">
        <f>VLOOKUP($A94,'US Census Population Estimates'!$A$20:$AG$266,O$79,FALSE)</f>
        <v>280</v>
      </c>
      <c r="P94" s="84">
        <f>VLOOKUP($A94,'US Census Population Estimates'!$A$20:$AG$266,P$79,FALSE)</f>
        <v>281</v>
      </c>
      <c r="Q94" s="84">
        <f>VLOOKUP($A94,'US Census Population Estimates'!$A$20:$AG$266,Q$79,FALSE)</f>
        <v>281</v>
      </c>
      <c r="R94" s="84">
        <f>VLOOKUP($A94,'US Census Population Estimates'!$A$20:$AG$266,R$79,FALSE)</f>
        <v>275</v>
      </c>
      <c r="S94" s="84">
        <f>VLOOKUP($A94,'US Census Population Estimates'!$A$20:$AG$266,S$79,FALSE)</f>
        <v>275</v>
      </c>
      <c r="T94" s="84">
        <f>VLOOKUP($A94,'US Census Population Estimates'!$A$20:$AG$266,T$79,FALSE)</f>
        <v>267</v>
      </c>
      <c r="U94" s="84">
        <f>VLOOKUP($A94,'US Census Population Estimates'!$A$20:$AG$266,U$79,FALSE)</f>
        <v>261</v>
      </c>
      <c r="V94" s="84" t="str">
        <f>VLOOKUP($A94,'US Census Population Estimates'!$A$20:$AG$266,V$79,FALSE)</f>
        <v/>
      </c>
      <c r="W94" s="84" t="str">
        <f>VLOOKUP($A94,'US Census Population Estimates'!$A$20:$AG$266,W$79,FALSE)</f>
        <v/>
      </c>
      <c r="X94" s="84" t="str">
        <f>VLOOKUP($A94,'US Census Population Estimates'!$A$20:$AG$266,X$79,FALSE)</f>
        <v/>
      </c>
      <c r="Y94" s="84" t="str">
        <f>VLOOKUP($A94,'US Census Population Estimates'!$A$20:$AG$266,Y$79,FALSE)</f>
        <v/>
      </c>
      <c r="Z94" s="84" t="str">
        <f>VLOOKUP($A94,'US Census Population Estimates'!$A$20:$AG$266,Z$79,FALSE)</f>
        <v/>
      </c>
      <c r="AA94" s="84" t="str">
        <f>VLOOKUP($A94,'US Census Population Estimates'!$A$20:$AG$266,AA$79,FALSE)</f>
        <v/>
      </c>
      <c r="AB94" s="84" t="str">
        <f>VLOOKUP($A94,'US Census Population Estimates'!$A$20:$AG$266,AB$79,FALSE)</f>
        <v/>
      </c>
      <c r="AC94" s="84" t="str">
        <f>VLOOKUP($A94,'US Census Population Estimates'!$A$20:$AG$266,AC$79,FALSE)</f>
        <v/>
      </c>
      <c r="AD94" s="84" t="str">
        <f>VLOOKUP($A94,'US Census Population Estimates'!$A$20:$AG$266,AD$79,FALSE)</f>
        <v/>
      </c>
      <c r="AE94" s="84" t="str">
        <f>VLOOKUP($A94,'US Census Population Estimates'!$A$20:$AG$266,AE$79,FALSE)</f>
        <v/>
      </c>
      <c r="AF94" s="84" t="str">
        <f>VLOOKUP($A94,'US Census Population Estimates'!$A$20:$AG$266,AF$79,FALSE)</f>
        <v/>
      </c>
      <c r="AG94" s="88" t="str">
        <f>VLOOKUP($A94,'US Census Population Estimates'!$A$20:$AG$266,AG$79,FALSE)</f>
        <v/>
      </c>
      <c r="AH94" s="24"/>
      <c r="AI94" s="24"/>
      <c r="AJ94" s="24"/>
      <c r="AK94" s="24"/>
      <c r="AL94" s="24"/>
      <c r="AM94" s="24"/>
      <c r="AN94" s="24"/>
      <c r="AO94" s="24"/>
      <c r="AP94" s="24"/>
      <c r="AQ94" s="24"/>
      <c r="AR94" s="24"/>
      <c r="AS94" s="24"/>
      <c r="AT94" s="24"/>
      <c r="AU94" s="24"/>
      <c r="AV94" s="24"/>
      <c r="AW94" s="24"/>
      <c r="AX94" s="24"/>
      <c r="AY94" s="24"/>
      <c r="AZ94" s="24"/>
      <c r="BA94" s="24"/>
    </row>
    <row r="95" ht="12.75" customHeight="1">
      <c r="A95" s="46" t="s">
        <v>177</v>
      </c>
      <c r="B95" s="51" t="s">
        <v>51</v>
      </c>
      <c r="C95" s="84">
        <f>VLOOKUP($A95,'US Census Population Estimates'!$A$20:$AG$266,C$79,FALSE)</f>
        <v>3195</v>
      </c>
      <c r="D95" s="84">
        <f>VLOOKUP($A95,'US Census Population Estimates'!$A$20:$AG$266,D$79,FALSE)</f>
        <v>3195</v>
      </c>
      <c r="E95" s="84">
        <f>VLOOKUP($A95,'US Census Population Estimates'!$A$20:$AG$266,E$79,FALSE)</f>
        <v>3207</v>
      </c>
      <c r="F95" s="84">
        <f>VLOOKUP($A95,'US Census Population Estimates'!$A$20:$AG$266,F$79,FALSE)</f>
        <v>3224</v>
      </c>
      <c r="G95" s="84">
        <f>VLOOKUP($A95,'US Census Population Estimates'!$A$20:$AG$266,G$79,FALSE)</f>
        <v>3247</v>
      </c>
      <c r="H95" s="84">
        <f>VLOOKUP($A95,'US Census Population Estimates'!$A$20:$AG$266,H$79,FALSE)</f>
        <v>3273</v>
      </c>
      <c r="I95" s="84">
        <f>VLOOKUP($A95,'US Census Population Estimates'!$A$20:$AG$266,I$79,FALSE)</f>
        <v>3298</v>
      </c>
      <c r="J95" s="84">
        <f>VLOOKUP($A95,'US Census Population Estimates'!$A$20:$AG$266,J$79,FALSE)</f>
        <v>3357</v>
      </c>
      <c r="K95" s="84">
        <f>VLOOKUP($A95,'US Census Population Estimates'!$A$20:$AG$266,K$79,FALSE)</f>
        <v>3404</v>
      </c>
      <c r="L95" s="84">
        <f>VLOOKUP($A95,'US Census Population Estimates'!$A$20:$AG$266,L$79,FALSE)</f>
        <v>3462</v>
      </c>
      <c r="M95" s="84">
        <f>VLOOKUP($A95,'US Census Population Estimates'!$A$20:$AG$266,M$79,FALSE)</f>
        <v>3465</v>
      </c>
      <c r="N95" s="84">
        <f>VLOOKUP($A95,'US Census Population Estimates'!$A$20:$AG$266,N$79,FALSE)</f>
        <v>3446</v>
      </c>
      <c r="O95" s="84">
        <f>VLOOKUP($A95,'US Census Population Estimates'!$A$20:$AG$266,O$79,FALSE)</f>
        <v>3513</v>
      </c>
      <c r="P95" s="84">
        <f>VLOOKUP($A95,'US Census Population Estimates'!$A$20:$AG$266,P$79,FALSE)</f>
        <v>3649</v>
      </c>
      <c r="Q95" s="84">
        <f>VLOOKUP($A95,'US Census Population Estimates'!$A$20:$AG$266,Q$79,FALSE)</f>
        <v>3745</v>
      </c>
      <c r="R95" s="84">
        <f>VLOOKUP($A95,'US Census Population Estimates'!$A$20:$AG$266,R$79,FALSE)</f>
        <v>3853</v>
      </c>
      <c r="S95" s="84">
        <f>VLOOKUP($A95,'US Census Population Estimates'!$A$20:$AG$266,S$79,FALSE)</f>
        <v>3888</v>
      </c>
      <c r="T95" s="84">
        <f>VLOOKUP($A95,'US Census Population Estimates'!$A$20:$AG$266,T$79,FALSE)</f>
        <v>3899</v>
      </c>
      <c r="U95" s="84">
        <f>VLOOKUP($A95,'US Census Population Estimates'!$A$20:$AG$266,U$79,FALSE)</f>
        <v>3915</v>
      </c>
      <c r="V95" s="84" t="str">
        <f>VLOOKUP($A95,'US Census Population Estimates'!$A$20:$AG$266,V$79,FALSE)</f>
        <v/>
      </c>
      <c r="W95" s="84" t="str">
        <f>VLOOKUP($A95,'US Census Population Estimates'!$A$20:$AG$266,W$79,FALSE)</f>
        <v/>
      </c>
      <c r="X95" s="84" t="str">
        <f>VLOOKUP($A95,'US Census Population Estimates'!$A$20:$AG$266,X$79,FALSE)</f>
        <v/>
      </c>
      <c r="Y95" s="84" t="str">
        <f>VLOOKUP($A95,'US Census Population Estimates'!$A$20:$AG$266,Y$79,FALSE)</f>
        <v/>
      </c>
      <c r="Z95" s="84" t="str">
        <f>VLOOKUP($A95,'US Census Population Estimates'!$A$20:$AG$266,Z$79,FALSE)</f>
        <v/>
      </c>
      <c r="AA95" s="84" t="str">
        <f>VLOOKUP($A95,'US Census Population Estimates'!$A$20:$AG$266,AA$79,FALSE)</f>
        <v/>
      </c>
      <c r="AB95" s="84" t="str">
        <f>VLOOKUP($A95,'US Census Population Estimates'!$A$20:$AG$266,AB$79,FALSE)</f>
        <v/>
      </c>
      <c r="AC95" s="84" t="str">
        <f>VLOOKUP($A95,'US Census Population Estimates'!$A$20:$AG$266,AC$79,FALSE)</f>
        <v/>
      </c>
      <c r="AD95" s="84" t="str">
        <f>VLOOKUP($A95,'US Census Population Estimates'!$A$20:$AG$266,AD$79,FALSE)</f>
        <v/>
      </c>
      <c r="AE95" s="84" t="str">
        <f>VLOOKUP($A95,'US Census Population Estimates'!$A$20:$AG$266,AE$79,FALSE)</f>
        <v/>
      </c>
      <c r="AF95" s="84" t="str">
        <f>VLOOKUP($A95,'US Census Population Estimates'!$A$20:$AG$266,AF$79,FALSE)</f>
        <v/>
      </c>
      <c r="AG95" s="88" t="str">
        <f>VLOOKUP($A95,'US Census Population Estimates'!$A$20:$AG$266,AG$79,FALSE)</f>
        <v/>
      </c>
      <c r="AH95" s="24"/>
      <c r="AI95" s="24"/>
      <c r="AJ95" s="24"/>
      <c r="AK95" s="24"/>
      <c r="AL95" s="24"/>
      <c r="AM95" s="24"/>
      <c r="AN95" s="24"/>
      <c r="AO95" s="24"/>
      <c r="AP95" s="24"/>
      <c r="AQ95" s="24"/>
      <c r="AR95" s="24"/>
      <c r="AS95" s="24"/>
      <c r="AT95" s="24"/>
      <c r="AU95" s="24"/>
      <c r="AV95" s="24"/>
      <c r="AW95" s="24"/>
      <c r="AX95" s="24"/>
      <c r="AY95" s="24"/>
      <c r="AZ95" s="24"/>
      <c r="BA95" s="24"/>
    </row>
    <row r="96" ht="12.75" customHeight="1">
      <c r="A96" s="46" t="s">
        <v>160</v>
      </c>
      <c r="B96" s="51" t="s">
        <v>51</v>
      </c>
      <c r="C96" s="84">
        <f>VLOOKUP($A96,'US Census Population Estimates'!$A$20:$AG$266,C$79,FALSE)</f>
        <v>1112</v>
      </c>
      <c r="D96" s="84">
        <f>VLOOKUP($A96,'US Census Population Estimates'!$A$20:$AG$266,D$79,FALSE)</f>
        <v>1111</v>
      </c>
      <c r="E96" s="84">
        <f>VLOOKUP($A96,'US Census Population Estimates'!$A$20:$AG$266,E$79,FALSE)</f>
        <v>1109</v>
      </c>
      <c r="F96" s="84">
        <f>VLOOKUP($A96,'US Census Population Estimates'!$A$20:$AG$266,F$79,FALSE)</f>
        <v>1109</v>
      </c>
      <c r="G96" s="84">
        <f>VLOOKUP($A96,'US Census Population Estimates'!$A$20:$AG$266,G$79,FALSE)</f>
        <v>1115</v>
      </c>
      <c r="H96" s="84">
        <f>VLOOKUP($A96,'US Census Population Estimates'!$A$20:$AG$266,H$79,FALSE)</f>
        <v>1108</v>
      </c>
      <c r="I96" s="84">
        <f>VLOOKUP($A96,'US Census Population Estimates'!$A$20:$AG$266,I$79,FALSE)</f>
        <v>1109</v>
      </c>
      <c r="J96" s="84">
        <f>VLOOKUP($A96,'US Census Population Estimates'!$A$20:$AG$266,J$79,FALSE)</f>
        <v>1108</v>
      </c>
      <c r="K96" s="84">
        <f>VLOOKUP($A96,'US Census Population Estimates'!$A$20:$AG$266,K$79,FALSE)</f>
        <v>1115</v>
      </c>
      <c r="L96" s="84">
        <f>VLOOKUP($A96,'US Census Population Estimates'!$A$20:$AG$266,L$79,FALSE)</f>
        <v>1121</v>
      </c>
      <c r="M96" s="84">
        <f>VLOOKUP($A96,'US Census Population Estimates'!$A$20:$AG$266,M$79,FALSE)</f>
        <v>1133</v>
      </c>
      <c r="N96" s="84">
        <f>VLOOKUP($A96,'US Census Population Estimates'!$A$20:$AG$266,N$79,FALSE)</f>
        <v>1131</v>
      </c>
      <c r="O96" s="84">
        <f>VLOOKUP($A96,'US Census Population Estimates'!$A$20:$AG$266,O$79,FALSE)</f>
        <v>1148</v>
      </c>
      <c r="P96" s="84">
        <f>VLOOKUP($A96,'US Census Population Estimates'!$A$20:$AG$266,P$79,FALSE)</f>
        <v>1153</v>
      </c>
      <c r="Q96" s="84">
        <f>VLOOKUP($A96,'US Census Population Estimates'!$A$20:$AG$266,Q$79,FALSE)</f>
        <v>1141</v>
      </c>
      <c r="R96" s="84">
        <f>VLOOKUP($A96,'US Census Population Estimates'!$A$20:$AG$266,R$79,FALSE)</f>
        <v>1144</v>
      </c>
      <c r="S96" s="84">
        <f>VLOOKUP($A96,'US Census Population Estimates'!$A$20:$AG$266,S$79,FALSE)</f>
        <v>1146</v>
      </c>
      <c r="T96" s="84">
        <f>VLOOKUP($A96,'US Census Population Estimates'!$A$20:$AG$266,T$79,FALSE)</f>
        <v>1142</v>
      </c>
      <c r="U96" s="84">
        <f>VLOOKUP($A96,'US Census Population Estimates'!$A$20:$AG$266,U$79,FALSE)</f>
        <v>1169</v>
      </c>
      <c r="V96" s="84" t="str">
        <f>VLOOKUP($A96,'US Census Population Estimates'!$A$20:$AG$266,V$79,FALSE)</f>
        <v/>
      </c>
      <c r="W96" s="84" t="str">
        <f>VLOOKUP($A96,'US Census Population Estimates'!$A$20:$AG$266,W$79,FALSE)</f>
        <v/>
      </c>
      <c r="X96" s="84" t="str">
        <f>VLOOKUP($A96,'US Census Population Estimates'!$A$20:$AG$266,X$79,FALSE)</f>
        <v/>
      </c>
      <c r="Y96" s="84" t="str">
        <f>VLOOKUP($A96,'US Census Population Estimates'!$A$20:$AG$266,Y$79,FALSE)</f>
        <v/>
      </c>
      <c r="Z96" s="84" t="str">
        <f>VLOOKUP($A96,'US Census Population Estimates'!$A$20:$AG$266,Z$79,FALSE)</f>
        <v/>
      </c>
      <c r="AA96" s="84" t="str">
        <f>VLOOKUP($A96,'US Census Population Estimates'!$A$20:$AG$266,AA$79,FALSE)</f>
        <v/>
      </c>
      <c r="AB96" s="84" t="str">
        <f>VLOOKUP($A96,'US Census Population Estimates'!$A$20:$AG$266,AB$79,FALSE)</f>
        <v/>
      </c>
      <c r="AC96" s="84" t="str">
        <f>VLOOKUP($A96,'US Census Population Estimates'!$A$20:$AG$266,AC$79,FALSE)</f>
        <v/>
      </c>
      <c r="AD96" s="84" t="str">
        <f>VLOOKUP($A96,'US Census Population Estimates'!$A$20:$AG$266,AD$79,FALSE)</f>
        <v/>
      </c>
      <c r="AE96" s="84" t="str">
        <f>VLOOKUP($A96,'US Census Population Estimates'!$A$20:$AG$266,AE$79,FALSE)</f>
        <v/>
      </c>
      <c r="AF96" s="84" t="str">
        <f>VLOOKUP($A96,'US Census Population Estimates'!$A$20:$AG$266,AF$79,FALSE)</f>
        <v/>
      </c>
      <c r="AG96" s="88" t="str">
        <f>VLOOKUP($A96,'US Census Population Estimates'!$A$20:$AG$266,AG$79,FALSE)</f>
        <v/>
      </c>
      <c r="AH96" s="24"/>
      <c r="AI96" s="24"/>
      <c r="AJ96" s="24"/>
      <c r="AK96" s="24"/>
      <c r="AL96" s="24"/>
      <c r="AM96" s="24"/>
      <c r="AN96" s="24"/>
      <c r="AO96" s="24"/>
      <c r="AP96" s="24"/>
      <c r="AQ96" s="24"/>
      <c r="AR96" s="24"/>
      <c r="AS96" s="24"/>
      <c r="AT96" s="24"/>
      <c r="AU96" s="24"/>
      <c r="AV96" s="24"/>
      <c r="AW96" s="24"/>
      <c r="AX96" s="24"/>
      <c r="AY96" s="24"/>
      <c r="AZ96" s="24"/>
      <c r="BA96" s="24"/>
    </row>
    <row r="97" ht="12.75" customHeight="1">
      <c r="A97" s="46" t="s">
        <v>161</v>
      </c>
      <c r="B97" s="51" t="s">
        <v>51</v>
      </c>
      <c r="C97" s="84">
        <f>VLOOKUP($A97,'US Census Population Estimates'!$A$20:$AG$266,C$79,FALSE)</f>
        <v>440</v>
      </c>
      <c r="D97" s="84">
        <f>VLOOKUP($A97,'US Census Population Estimates'!$A$20:$AG$266,D$79,FALSE)</f>
        <v>430</v>
      </c>
      <c r="E97" s="84">
        <f>VLOOKUP($A97,'US Census Population Estimates'!$A$20:$AG$266,E$79,FALSE)</f>
        <v>431</v>
      </c>
      <c r="F97" s="84">
        <f>VLOOKUP($A97,'US Census Population Estimates'!$A$20:$AG$266,F$79,FALSE)</f>
        <v>426</v>
      </c>
      <c r="G97" s="84">
        <f>VLOOKUP($A97,'US Census Population Estimates'!$A$20:$AG$266,G$79,FALSE)</f>
        <v>424</v>
      </c>
      <c r="H97" s="84">
        <f>VLOOKUP($A97,'US Census Population Estimates'!$A$20:$AG$266,H$79,FALSE)</f>
        <v>427</v>
      </c>
      <c r="I97" s="84">
        <f>VLOOKUP($A97,'US Census Population Estimates'!$A$20:$AG$266,I$79,FALSE)</f>
        <v>428</v>
      </c>
      <c r="J97" s="84">
        <f>VLOOKUP($A97,'US Census Population Estimates'!$A$20:$AG$266,J$79,FALSE)</f>
        <v>431</v>
      </c>
      <c r="K97" s="84">
        <f>VLOOKUP($A97,'US Census Population Estimates'!$A$20:$AG$266,K$79,FALSE)</f>
        <v>439</v>
      </c>
      <c r="L97" s="84">
        <f>VLOOKUP($A97,'US Census Population Estimates'!$A$20:$AG$266,L$79,FALSE)</f>
        <v>444</v>
      </c>
      <c r="M97" s="84">
        <f>VLOOKUP($A97,'US Census Population Estimates'!$A$20:$AG$266,M$79,FALSE)</f>
        <v>437</v>
      </c>
      <c r="N97" s="84">
        <f>VLOOKUP($A97,'US Census Population Estimates'!$A$20:$AG$266,N$79,FALSE)</f>
        <v>433</v>
      </c>
      <c r="O97" s="84">
        <f>VLOOKUP($A97,'US Census Population Estimates'!$A$20:$AG$266,O$79,FALSE)</f>
        <v>438</v>
      </c>
      <c r="P97" s="84">
        <f>VLOOKUP($A97,'US Census Population Estimates'!$A$20:$AG$266,P$79,FALSE)</f>
        <v>445</v>
      </c>
      <c r="Q97" s="84">
        <f>VLOOKUP($A97,'US Census Population Estimates'!$A$20:$AG$266,Q$79,FALSE)</f>
        <v>437</v>
      </c>
      <c r="R97" s="84">
        <f>VLOOKUP($A97,'US Census Population Estimates'!$A$20:$AG$266,R$79,FALSE)</f>
        <v>437</v>
      </c>
      <c r="S97" s="84">
        <f>VLOOKUP($A97,'US Census Population Estimates'!$A$20:$AG$266,S$79,FALSE)</f>
        <v>429</v>
      </c>
      <c r="T97" s="84">
        <f>VLOOKUP($A97,'US Census Population Estimates'!$A$20:$AG$266,T$79,FALSE)</f>
        <v>419</v>
      </c>
      <c r="U97" s="84">
        <f>VLOOKUP($A97,'US Census Population Estimates'!$A$20:$AG$266,U$79,FALSE)</f>
        <v>406</v>
      </c>
      <c r="V97" s="84" t="str">
        <f>VLOOKUP($A97,'US Census Population Estimates'!$A$20:$AG$266,V$79,FALSE)</f>
        <v/>
      </c>
      <c r="W97" s="84" t="str">
        <f>VLOOKUP($A97,'US Census Population Estimates'!$A$20:$AG$266,W$79,FALSE)</f>
        <v/>
      </c>
      <c r="X97" s="84" t="str">
        <f>VLOOKUP($A97,'US Census Population Estimates'!$A$20:$AG$266,X$79,FALSE)</f>
        <v/>
      </c>
      <c r="Y97" s="84" t="str">
        <f>VLOOKUP($A97,'US Census Population Estimates'!$A$20:$AG$266,Y$79,FALSE)</f>
        <v/>
      </c>
      <c r="Z97" s="84" t="str">
        <f>VLOOKUP($A97,'US Census Population Estimates'!$A$20:$AG$266,Z$79,FALSE)</f>
        <v/>
      </c>
      <c r="AA97" s="84" t="str">
        <f>VLOOKUP($A97,'US Census Population Estimates'!$A$20:$AG$266,AA$79,FALSE)</f>
        <v/>
      </c>
      <c r="AB97" s="84" t="str">
        <f>VLOOKUP($A97,'US Census Population Estimates'!$A$20:$AG$266,AB$79,FALSE)</f>
        <v/>
      </c>
      <c r="AC97" s="84" t="str">
        <f>VLOOKUP($A97,'US Census Population Estimates'!$A$20:$AG$266,AC$79,FALSE)</f>
        <v/>
      </c>
      <c r="AD97" s="84" t="str">
        <f>VLOOKUP($A97,'US Census Population Estimates'!$A$20:$AG$266,AD$79,FALSE)</f>
        <v/>
      </c>
      <c r="AE97" s="84" t="str">
        <f>VLOOKUP($A97,'US Census Population Estimates'!$A$20:$AG$266,AE$79,FALSE)</f>
        <v/>
      </c>
      <c r="AF97" s="84" t="str">
        <f>VLOOKUP($A97,'US Census Population Estimates'!$A$20:$AG$266,AF$79,FALSE)</f>
        <v/>
      </c>
      <c r="AG97" s="88" t="str">
        <f>VLOOKUP($A97,'US Census Population Estimates'!$A$20:$AG$266,AG$79,FALSE)</f>
        <v/>
      </c>
      <c r="AH97" s="24"/>
      <c r="AI97" s="24"/>
      <c r="AJ97" s="24"/>
      <c r="AK97" s="24"/>
      <c r="AL97" s="24"/>
      <c r="AM97" s="24"/>
      <c r="AN97" s="24"/>
      <c r="AO97" s="24"/>
      <c r="AP97" s="24"/>
      <c r="AQ97" s="24"/>
      <c r="AR97" s="24"/>
      <c r="AS97" s="24"/>
      <c r="AT97" s="24"/>
      <c r="AU97" s="24"/>
      <c r="AV97" s="24"/>
      <c r="AW97" s="24"/>
      <c r="AX97" s="24"/>
      <c r="AY97" s="24"/>
      <c r="AZ97" s="24"/>
      <c r="BA97" s="24"/>
    </row>
    <row r="98" ht="12.75" customHeight="1">
      <c r="A98" s="46" t="s">
        <v>162</v>
      </c>
      <c r="B98" s="51" t="s">
        <v>51</v>
      </c>
      <c r="C98" s="84">
        <f>VLOOKUP("Riverside town",'US Census Population Estimates'!$A$20:$AG$266,C$79,FALSE)</f>
        <v>60</v>
      </c>
      <c r="D98" s="84">
        <f>VLOOKUP("Riverside town",'US Census Population Estimates'!$A$20:$AG$266,D$79,FALSE)</f>
        <v>58</v>
      </c>
      <c r="E98" s="84">
        <f>VLOOKUP("Riverside town",'US Census Population Estimates'!$A$20:$AG$266,E$79,FALSE)</f>
        <v>57</v>
      </c>
      <c r="F98" s="84">
        <f>VLOOKUP("Riverside town",'US Census Population Estimates'!$A$20:$AG$266,F$79,FALSE)</f>
        <v>56</v>
      </c>
      <c r="G98" s="84">
        <f>VLOOKUP("Riverside town",'US Census Population Estimates'!$A$20:$AG$266,G$79,FALSE)</f>
        <v>55</v>
      </c>
      <c r="H98" s="84">
        <f>VLOOKUP("Riverside town",'US Census Population Estimates'!$A$20:$AG$266,H$79,FALSE)</f>
        <v>53</v>
      </c>
      <c r="I98" s="84">
        <f>VLOOKUP("Riverside town",'US Census Population Estimates'!$A$20:$AG$266,I$79,FALSE)</f>
        <v>53</v>
      </c>
      <c r="J98" s="84">
        <f>VLOOKUP("Riverside town",'US Census Population Estimates'!$A$20:$AG$266,J$79,FALSE)</f>
        <v>53</v>
      </c>
      <c r="K98" s="84">
        <f>VLOOKUP("Riverside town",'US Census Population Estimates'!$A$20:$AG$266,K$79,FALSE)</f>
        <v>53</v>
      </c>
      <c r="L98" s="84">
        <f>VLOOKUP("Riverside town",'US Census Population Estimates'!$A$20:$AG$266,L$79,FALSE)</f>
        <v>53</v>
      </c>
      <c r="M98" s="84">
        <f>VLOOKUP("Riverside town",'US Census Population Estimates'!$A$20:$AG$266,M$79,FALSE)</f>
        <v>52</v>
      </c>
      <c r="N98" s="84">
        <f>VLOOKUP("Riverside town",'US Census Population Estimates'!$A$20:$AG$266,N$79,FALSE)</f>
        <v>52</v>
      </c>
      <c r="O98" s="84">
        <f>VLOOKUP("Riverside town",'US Census Population Estimates'!$A$20:$AG$266,O$79,FALSE)</f>
        <v>51</v>
      </c>
      <c r="P98" s="84">
        <f>VLOOKUP("Riverside town",'US Census Population Estimates'!$A$20:$AG$266,P$79,FALSE)</f>
        <v>52</v>
      </c>
      <c r="Q98" s="84">
        <f>VLOOKUP("Riverside town",'US Census Population Estimates'!$A$20:$AG$266,Q$79,FALSE)</f>
        <v>52</v>
      </c>
      <c r="R98" s="84">
        <f>VLOOKUP("Riverside town",'US Census Population Estimates'!$A$20:$AG$266,R$79,FALSE)</f>
        <v>52</v>
      </c>
      <c r="S98" s="84">
        <f>VLOOKUP("Riverside town",'US Census Population Estimates'!$A$20:$AG$266,S$79,FALSE)</f>
        <v>54</v>
      </c>
      <c r="T98" s="84">
        <f>VLOOKUP("Riverside town",'US Census Population Estimates'!$A$20:$AG$266,T$79,FALSE)</f>
        <v>53</v>
      </c>
      <c r="U98" s="84">
        <f>VLOOKUP("Riverside town",'US Census Population Estimates'!$A$20:$AG$266,U$79,FALSE)</f>
        <v>53</v>
      </c>
      <c r="V98" s="84" t="str">
        <f>VLOOKUP("Riverside town",'US Census Population Estimates'!$A$20:$AG$266,V$79,FALSE)</f>
        <v/>
      </c>
      <c r="W98" s="84" t="str">
        <f>VLOOKUP("Riverside town",'US Census Population Estimates'!$A$20:$AG$266,W$79,FALSE)</f>
        <v/>
      </c>
      <c r="X98" s="84" t="str">
        <f>VLOOKUP("Riverside town",'US Census Population Estimates'!$A$20:$AG$266,X$79,FALSE)</f>
        <v/>
      </c>
      <c r="Y98" s="84" t="str">
        <f>VLOOKUP("Riverside town",'US Census Population Estimates'!$A$20:$AG$266,Y$79,FALSE)</f>
        <v/>
      </c>
      <c r="Z98" s="84" t="str">
        <f>VLOOKUP("Riverside town",'US Census Population Estimates'!$A$20:$AG$266,Z$79,FALSE)</f>
        <v/>
      </c>
      <c r="AA98" s="84" t="str">
        <f>VLOOKUP("Riverside town",'US Census Population Estimates'!$A$20:$AG$266,AA$79,FALSE)</f>
        <v/>
      </c>
      <c r="AB98" s="84" t="str">
        <f>VLOOKUP("Riverside town",'US Census Population Estimates'!$A$20:$AG$266,AB$79,FALSE)</f>
        <v/>
      </c>
      <c r="AC98" s="84" t="str">
        <f>VLOOKUP("Riverside town",'US Census Population Estimates'!$A$20:$AG$266,AC$79,FALSE)</f>
        <v/>
      </c>
      <c r="AD98" s="84" t="str">
        <f>VLOOKUP("Riverside town",'US Census Population Estimates'!$A$20:$AG$266,AD$79,FALSE)</f>
        <v/>
      </c>
      <c r="AE98" s="84" t="str">
        <f>VLOOKUP("Riverside town",'US Census Population Estimates'!$A$20:$AG$266,AE$79,FALSE)</f>
        <v/>
      </c>
      <c r="AF98" s="84" t="str">
        <f>VLOOKUP("Riverside town",'US Census Population Estimates'!$A$20:$AG$266,AF$79,FALSE)</f>
        <v/>
      </c>
      <c r="AG98" s="88" t="str">
        <f>VLOOKUP("Riverside town",'US Census Population Estimates'!$A$20:$AG$266,AG$79,FALSE)</f>
        <v/>
      </c>
      <c r="AH98" s="24"/>
      <c r="AI98" s="24"/>
      <c r="AJ98" s="24"/>
      <c r="AK98" s="24"/>
      <c r="AL98" s="24"/>
      <c r="AM98" s="24"/>
      <c r="AN98" s="24"/>
      <c r="AO98" s="24"/>
      <c r="AP98" s="24"/>
      <c r="AQ98" s="24"/>
      <c r="AR98" s="24"/>
      <c r="AS98" s="24"/>
      <c r="AT98" s="24"/>
      <c r="AU98" s="24"/>
      <c r="AV98" s="24"/>
      <c r="AW98" s="24"/>
      <c r="AX98" s="24"/>
      <c r="AY98" s="24"/>
      <c r="AZ98" s="24"/>
      <c r="BA98" s="24"/>
    </row>
    <row r="99" ht="12.75" customHeight="1">
      <c r="A99" s="46" t="s">
        <v>163</v>
      </c>
      <c r="B99" s="51" t="s">
        <v>51</v>
      </c>
      <c r="C99" s="84">
        <f>VLOOKUP($A99,'US Census Population Estimates'!$A$20:$AG$266,C$79,FALSE)</f>
        <v>5999</v>
      </c>
      <c r="D99" s="84">
        <f>VLOOKUP($A99,'US Census Population Estimates'!$A$20:$AG$266,D$79,FALSE)</f>
        <v>5979</v>
      </c>
      <c r="E99" s="84">
        <f>VLOOKUP($A99,'US Census Population Estimates'!$A$20:$AG$266,E$79,FALSE)</f>
        <v>5953</v>
      </c>
      <c r="F99" s="84">
        <f>VLOOKUP($A99,'US Census Population Estimates'!$A$20:$AG$266,F$79,FALSE)</f>
        <v>5966</v>
      </c>
      <c r="G99" s="84">
        <f>VLOOKUP($A99,'US Census Population Estimates'!$A$20:$AG$266,G$79,FALSE)</f>
        <v>6028</v>
      </c>
      <c r="H99" s="84">
        <f>VLOOKUP($A99,'US Census Population Estimates'!$A$20:$AG$266,H$79,FALSE)</f>
        <v>6031</v>
      </c>
      <c r="I99" s="84">
        <f>VLOOKUP($A99,'US Census Population Estimates'!$A$20:$AG$266,I$79,FALSE)</f>
        <v>6090</v>
      </c>
      <c r="J99" s="84">
        <f>VLOOKUP($A99,'US Census Population Estimates'!$A$20:$AG$266,J$79,FALSE)</f>
        <v>6165</v>
      </c>
      <c r="K99" s="84">
        <f>VLOOKUP($A99,'US Census Population Estimates'!$A$20:$AG$266,K$79,FALSE)</f>
        <v>6252</v>
      </c>
      <c r="L99" s="84">
        <f>VLOOKUP($A99,'US Census Population Estimates'!$A$20:$AG$266,L$79,FALSE)</f>
        <v>6356</v>
      </c>
      <c r="M99" s="84">
        <f>VLOOKUP($A99,'US Census Population Estimates'!$A$20:$AG$266,M$79,FALSE)</f>
        <v>6637</v>
      </c>
      <c r="N99" s="84">
        <f>VLOOKUP($A99,'US Census Population Estimates'!$A$20:$AG$266,N$79,FALSE)</f>
        <v>6725</v>
      </c>
      <c r="O99" s="84">
        <f>VLOOKUP($A99,'US Census Population Estimates'!$A$20:$AG$266,O$79,FALSE)</f>
        <v>6765</v>
      </c>
      <c r="P99" s="84">
        <f>VLOOKUP($A99,'US Census Population Estimates'!$A$20:$AG$266,P$79,FALSE)</f>
        <v>6742</v>
      </c>
      <c r="Q99" s="84">
        <f>VLOOKUP($A99,'US Census Population Estimates'!$A$20:$AG$266,Q$79,FALSE)</f>
        <v>6732</v>
      </c>
      <c r="R99" s="84">
        <f>VLOOKUP($A99,'US Census Population Estimates'!$A$20:$AG$266,R$79,FALSE)</f>
        <v>6780</v>
      </c>
      <c r="S99" s="84">
        <f>VLOOKUP($A99,'US Census Population Estimates'!$A$20:$AG$266,S$79,FALSE)</f>
        <v>6679</v>
      </c>
      <c r="T99" s="84">
        <f>VLOOKUP($A99,'US Census Population Estimates'!$A$20:$AG$266,T$79,FALSE)</f>
        <v>6691</v>
      </c>
      <c r="U99" s="84">
        <f>VLOOKUP($A99,'US Census Population Estimates'!$A$20:$AG$266,U$79,FALSE)</f>
        <v>6701</v>
      </c>
      <c r="V99" s="84" t="str">
        <f>VLOOKUP($A99,'US Census Population Estimates'!$A$20:$AG$266,V$79,FALSE)</f>
        <v/>
      </c>
      <c r="W99" s="84" t="str">
        <f>VLOOKUP($A99,'US Census Population Estimates'!$A$20:$AG$266,W$79,FALSE)</f>
        <v/>
      </c>
      <c r="X99" s="84" t="str">
        <f>VLOOKUP($A99,'US Census Population Estimates'!$A$20:$AG$266,X$79,FALSE)</f>
        <v/>
      </c>
      <c r="Y99" s="84" t="str">
        <f>VLOOKUP($A99,'US Census Population Estimates'!$A$20:$AG$266,Y$79,FALSE)</f>
        <v/>
      </c>
      <c r="Z99" s="84" t="str">
        <f>VLOOKUP($A99,'US Census Population Estimates'!$A$20:$AG$266,Z$79,FALSE)</f>
        <v/>
      </c>
      <c r="AA99" s="84" t="str">
        <f>VLOOKUP($A99,'US Census Population Estimates'!$A$20:$AG$266,AA$79,FALSE)</f>
        <v/>
      </c>
      <c r="AB99" s="84" t="str">
        <f>VLOOKUP($A99,'US Census Population Estimates'!$A$20:$AG$266,AB$79,FALSE)</f>
        <v/>
      </c>
      <c r="AC99" s="84" t="str">
        <f>VLOOKUP($A99,'US Census Population Estimates'!$A$20:$AG$266,AC$79,FALSE)</f>
        <v/>
      </c>
      <c r="AD99" s="84" t="str">
        <f>VLOOKUP($A99,'US Census Population Estimates'!$A$20:$AG$266,AD$79,FALSE)</f>
        <v/>
      </c>
      <c r="AE99" s="84" t="str">
        <f>VLOOKUP($A99,'US Census Population Estimates'!$A$20:$AG$266,AE$79,FALSE)</f>
        <v/>
      </c>
      <c r="AF99" s="84" t="str">
        <f>VLOOKUP($A99,'US Census Population Estimates'!$A$20:$AG$266,AF$79,FALSE)</f>
        <v/>
      </c>
      <c r="AG99" s="88" t="str">
        <f>VLOOKUP($A99,'US Census Population Estimates'!$A$20:$AG$266,AG$79,FALSE)</f>
        <v/>
      </c>
      <c r="AH99" s="24"/>
      <c r="AI99" s="24"/>
      <c r="AJ99" s="24"/>
      <c r="AK99" s="24"/>
      <c r="AL99" s="24"/>
      <c r="AM99" s="24"/>
      <c r="AN99" s="24"/>
      <c r="AO99" s="24"/>
      <c r="AP99" s="24"/>
      <c r="AQ99" s="24"/>
      <c r="AR99" s="24"/>
      <c r="AS99" s="24"/>
      <c r="AT99" s="24"/>
      <c r="AU99" s="24"/>
      <c r="AV99" s="24"/>
      <c r="AW99" s="24"/>
      <c r="AX99" s="24"/>
      <c r="AY99" s="24"/>
      <c r="AZ99" s="24"/>
      <c r="BA99" s="24"/>
    </row>
    <row r="100" ht="12.75" customHeight="1">
      <c r="A100" s="46" t="s">
        <v>164</v>
      </c>
      <c r="B100" s="51" t="s">
        <v>51</v>
      </c>
      <c r="C100" s="84">
        <f>VLOOKUP($A100,'US Census Population Estimates'!$A$20:$AG$266,C$79,FALSE)</f>
        <v>3542</v>
      </c>
      <c r="D100" s="84">
        <f>VLOOKUP($A100,'US Census Population Estimates'!$A$20:$AG$266,D$79,FALSE)</f>
        <v>3559</v>
      </c>
      <c r="E100" s="84">
        <f>VLOOKUP($A100,'US Census Population Estimates'!$A$20:$AG$266,E$79,FALSE)</f>
        <v>3568</v>
      </c>
      <c r="F100" s="84">
        <f>VLOOKUP($A100,'US Census Population Estimates'!$A$20:$AG$266,F$79,FALSE)</f>
        <v>3548</v>
      </c>
      <c r="G100" s="84">
        <f>VLOOKUP($A100,'US Census Population Estimates'!$A$20:$AG$266,G$79,FALSE)</f>
        <v>3576</v>
      </c>
      <c r="H100" s="84">
        <f>VLOOKUP($A100,'US Census Population Estimates'!$A$20:$AG$266,H$79,FALSE)</f>
        <v>3568</v>
      </c>
      <c r="I100" s="84">
        <f>VLOOKUP($A100,'US Census Population Estimates'!$A$20:$AG$266,I$79,FALSE)</f>
        <v>3584</v>
      </c>
      <c r="J100" s="84">
        <f>VLOOKUP($A100,'US Census Population Estimates'!$A$20:$AG$266,J$79,FALSE)</f>
        <v>3594</v>
      </c>
      <c r="K100" s="84">
        <f>VLOOKUP($A100,'US Census Population Estimates'!$A$20:$AG$266,K$79,FALSE)</f>
        <v>3584</v>
      </c>
      <c r="L100" s="84">
        <f>VLOOKUP($A100,'US Census Population Estimates'!$A$20:$AG$266,L$79,FALSE)</f>
        <v>3592</v>
      </c>
      <c r="M100" s="84">
        <f>VLOOKUP($A100,'US Census Population Estimates'!$A$20:$AG$266,M$79,FALSE)</f>
        <v>3623</v>
      </c>
      <c r="N100" s="84">
        <f>VLOOKUP($A100,'US Census Population Estimates'!$A$20:$AG$266,N$79,FALSE)</f>
        <v>3622</v>
      </c>
      <c r="O100" s="84">
        <f>VLOOKUP($A100,'US Census Population Estimates'!$A$20:$AG$266,O$79,FALSE)</f>
        <v>3629</v>
      </c>
      <c r="P100" s="84">
        <f>VLOOKUP($A100,'US Census Population Estimates'!$A$20:$AG$266,P$79,FALSE)</f>
        <v>3625</v>
      </c>
      <c r="Q100" s="84">
        <f>VLOOKUP($A100,'US Census Population Estimates'!$A$20:$AG$266,Q$79,FALSE)</f>
        <v>3646</v>
      </c>
      <c r="R100" s="84">
        <f>VLOOKUP($A100,'US Census Population Estimates'!$A$20:$AG$266,R$79,FALSE)</f>
        <v>3650</v>
      </c>
      <c r="S100" s="84">
        <f>VLOOKUP($A100,'US Census Population Estimates'!$A$20:$AG$266,S$79,FALSE)</f>
        <v>3598</v>
      </c>
      <c r="T100" s="84">
        <f>VLOOKUP($A100,'US Census Population Estimates'!$A$20:$AG$266,T$79,FALSE)</f>
        <v>3565</v>
      </c>
      <c r="U100" s="84">
        <f>VLOOKUP($A100,'US Census Population Estimates'!$A$20:$AG$266,U$79,FALSE)</f>
        <v>3553</v>
      </c>
      <c r="V100" s="84" t="str">
        <f>VLOOKUP($A100,'US Census Population Estimates'!$A$20:$AG$266,V$79,FALSE)</f>
        <v/>
      </c>
      <c r="W100" s="84" t="str">
        <f>VLOOKUP($A100,'US Census Population Estimates'!$A$20:$AG$266,W$79,FALSE)</f>
        <v/>
      </c>
      <c r="X100" s="84" t="str">
        <f>VLOOKUP($A100,'US Census Population Estimates'!$A$20:$AG$266,X$79,FALSE)</f>
        <v/>
      </c>
      <c r="Y100" s="84" t="str">
        <f>VLOOKUP($A100,'US Census Population Estimates'!$A$20:$AG$266,Y$79,FALSE)</f>
        <v/>
      </c>
      <c r="Z100" s="84" t="str">
        <f>VLOOKUP($A100,'US Census Population Estimates'!$A$20:$AG$266,Z$79,FALSE)</f>
        <v/>
      </c>
      <c r="AA100" s="84" t="str">
        <f>VLOOKUP($A100,'US Census Population Estimates'!$A$20:$AG$266,AA$79,FALSE)</f>
        <v/>
      </c>
      <c r="AB100" s="84" t="str">
        <f>VLOOKUP($A100,'US Census Population Estimates'!$A$20:$AG$266,AB$79,FALSE)</f>
        <v/>
      </c>
      <c r="AC100" s="84" t="str">
        <f>VLOOKUP($A100,'US Census Population Estimates'!$A$20:$AG$266,AC$79,FALSE)</f>
        <v/>
      </c>
      <c r="AD100" s="84" t="str">
        <f>VLOOKUP($A100,'US Census Population Estimates'!$A$20:$AG$266,AD$79,FALSE)</f>
        <v/>
      </c>
      <c r="AE100" s="84" t="str">
        <f>VLOOKUP($A100,'US Census Population Estimates'!$A$20:$AG$266,AE$79,FALSE)</f>
        <v/>
      </c>
      <c r="AF100" s="84" t="str">
        <f>VLOOKUP($A100,'US Census Population Estimates'!$A$20:$AG$266,AF$79,FALSE)</f>
        <v/>
      </c>
      <c r="AG100" s="88" t="str">
        <f>VLOOKUP($A100,'US Census Population Estimates'!$A$20:$AG$266,AG$79,FALSE)</f>
        <v/>
      </c>
      <c r="AH100" s="24"/>
      <c r="AI100" s="24"/>
      <c r="AJ100" s="24"/>
      <c r="AK100" s="24"/>
      <c r="AL100" s="24"/>
      <c r="AM100" s="24"/>
      <c r="AN100" s="24"/>
      <c r="AO100" s="24"/>
      <c r="AP100" s="24"/>
      <c r="AQ100" s="24"/>
      <c r="AR100" s="24"/>
      <c r="AS100" s="24"/>
      <c r="AT100" s="24"/>
      <c r="AU100" s="24"/>
      <c r="AV100" s="24"/>
      <c r="AW100" s="24"/>
      <c r="AX100" s="24"/>
      <c r="AY100" s="24"/>
      <c r="AZ100" s="24"/>
      <c r="BA100" s="24"/>
    </row>
    <row r="101" ht="12.75" customHeight="1">
      <c r="A101" s="46" t="s">
        <v>165</v>
      </c>
      <c r="B101" s="51" t="s">
        <v>52</v>
      </c>
      <c r="C101" s="84">
        <f>VLOOKUP($A101,'US Census Population Estimates'!$A$20:$AG$266,C$79,FALSE)</f>
        <v>440</v>
      </c>
      <c r="D101" s="84">
        <f>VLOOKUP($A101,'US Census Population Estimates'!$A$20:$AG$266,D$79,FALSE)</f>
        <v>435</v>
      </c>
      <c r="E101" s="84">
        <f>VLOOKUP($A101,'US Census Population Estimates'!$A$20:$AG$266,E$79,FALSE)</f>
        <v>435</v>
      </c>
      <c r="F101" s="84">
        <f>VLOOKUP($A101,'US Census Population Estimates'!$A$20:$AG$266,F$79,FALSE)</f>
        <v>433</v>
      </c>
      <c r="G101" s="84">
        <f>VLOOKUP($A101,'US Census Population Estimates'!$A$20:$AG$266,G$79,FALSE)</f>
        <v>433</v>
      </c>
      <c r="H101" s="84">
        <f>VLOOKUP($A101,'US Census Population Estimates'!$A$20:$AG$266,H$79,FALSE)</f>
        <v>428</v>
      </c>
      <c r="I101" s="84">
        <f>VLOOKUP($A101,'US Census Population Estimates'!$A$20:$AG$266,I$79,FALSE)</f>
        <v>432</v>
      </c>
      <c r="J101" s="84">
        <f>VLOOKUP($A101,'US Census Population Estimates'!$A$20:$AG$266,J$79,FALSE)</f>
        <v>441</v>
      </c>
      <c r="K101" s="84">
        <f>VLOOKUP($A101,'US Census Population Estimates'!$A$20:$AG$266,K$79,FALSE)</f>
        <v>447</v>
      </c>
      <c r="L101" s="84">
        <f>VLOOKUP($A101,'US Census Population Estimates'!$A$20:$AG$266,L$79,FALSE)</f>
        <v>453</v>
      </c>
      <c r="M101" s="84">
        <f>VLOOKUP($A101,'US Census Population Estimates'!$A$20:$AG$266,M$79,FALSE)</f>
        <v>449</v>
      </c>
      <c r="N101" s="84">
        <f>VLOOKUP($A101,'US Census Population Estimates'!$A$20:$AG$266,N$79,FALSE)</f>
        <v>449</v>
      </c>
      <c r="O101" s="84">
        <f>VLOOKUP($A101,'US Census Population Estimates'!$A$20:$AG$266,O$79,FALSE)</f>
        <v>446</v>
      </c>
      <c r="P101" s="84">
        <f>VLOOKUP($A101,'US Census Population Estimates'!$A$20:$AG$266,P$79,FALSE)</f>
        <v>448</v>
      </c>
      <c r="Q101" s="84">
        <f>VLOOKUP($A101,'US Census Population Estimates'!$A$20:$AG$266,Q$79,FALSE)</f>
        <v>449</v>
      </c>
      <c r="R101" s="84">
        <f>VLOOKUP($A101,'US Census Population Estimates'!$A$20:$AG$266,R$79,FALSE)</f>
        <v>440</v>
      </c>
      <c r="S101" s="84">
        <f>VLOOKUP($A101,'US Census Population Estimates'!$A$20:$AG$266,S$79,FALSE)</f>
        <v>445</v>
      </c>
      <c r="T101" s="84">
        <f>VLOOKUP($A101,'US Census Population Estimates'!$A$20:$AG$266,T$79,FALSE)</f>
        <v>436</v>
      </c>
      <c r="U101" s="84">
        <f>VLOOKUP($A101,'US Census Population Estimates'!$A$20:$AG$266,U$79,FALSE)</f>
        <v>427</v>
      </c>
      <c r="V101" s="84" t="str">
        <f>VLOOKUP($A101,'US Census Population Estimates'!$A$20:$AG$266,V$79,FALSE)</f>
        <v/>
      </c>
      <c r="W101" s="84" t="str">
        <f>VLOOKUP($A101,'US Census Population Estimates'!$A$20:$AG$266,W$79,FALSE)</f>
        <v/>
      </c>
      <c r="X101" s="84" t="str">
        <f>VLOOKUP($A101,'US Census Population Estimates'!$A$20:$AG$266,X$79,FALSE)</f>
        <v/>
      </c>
      <c r="Y101" s="84" t="str">
        <f>VLOOKUP($A101,'US Census Population Estimates'!$A$20:$AG$266,Y$79,FALSE)</f>
        <v/>
      </c>
      <c r="Z101" s="84" t="str">
        <f>VLOOKUP($A101,'US Census Population Estimates'!$A$20:$AG$266,Z$79,FALSE)</f>
        <v/>
      </c>
      <c r="AA101" s="84" t="str">
        <f>VLOOKUP($A101,'US Census Population Estimates'!$A$20:$AG$266,AA$79,FALSE)</f>
        <v/>
      </c>
      <c r="AB101" s="84" t="str">
        <f>VLOOKUP($A101,'US Census Population Estimates'!$A$20:$AG$266,AB$79,FALSE)</f>
        <v/>
      </c>
      <c r="AC101" s="84" t="str">
        <f>VLOOKUP($A101,'US Census Population Estimates'!$A$20:$AG$266,AC$79,FALSE)</f>
        <v/>
      </c>
      <c r="AD101" s="84" t="str">
        <f>VLOOKUP($A101,'US Census Population Estimates'!$A$20:$AG$266,AD$79,FALSE)</f>
        <v/>
      </c>
      <c r="AE101" s="84" t="str">
        <f>VLOOKUP($A101,'US Census Population Estimates'!$A$20:$AG$266,AE$79,FALSE)</f>
        <v/>
      </c>
      <c r="AF101" s="84" t="str">
        <f>VLOOKUP($A101,'US Census Population Estimates'!$A$20:$AG$266,AF$79,FALSE)</f>
        <v/>
      </c>
      <c r="AG101" s="88" t="str">
        <f>VLOOKUP($A101,'US Census Population Estimates'!$A$20:$AG$266,AG$79,FALSE)</f>
        <v/>
      </c>
      <c r="AH101" s="24"/>
      <c r="AI101" s="24"/>
      <c r="AJ101" s="24"/>
      <c r="AK101" s="24"/>
      <c r="AL101" s="24"/>
      <c r="AM101" s="24"/>
      <c r="AN101" s="24"/>
      <c r="AO101" s="24"/>
      <c r="AP101" s="24"/>
      <c r="AQ101" s="24"/>
      <c r="AR101" s="24"/>
      <c r="AS101" s="24"/>
      <c r="AT101" s="24"/>
      <c r="AU101" s="24"/>
      <c r="AV101" s="24"/>
      <c r="AW101" s="24"/>
      <c r="AX101" s="24"/>
      <c r="AY101" s="24"/>
      <c r="AZ101" s="24"/>
      <c r="BA101" s="24"/>
    </row>
    <row r="102" ht="12.75" customHeight="1">
      <c r="A102" s="46" t="s">
        <v>167</v>
      </c>
      <c r="B102" s="51" t="s">
        <v>52</v>
      </c>
      <c r="C102" s="84">
        <f>VLOOKUP($A102,'US Census Population Estimates'!$A$20:$AG$266,C$79,FALSE)</f>
        <v>2251</v>
      </c>
      <c r="D102" s="84">
        <f>VLOOKUP($A102,'US Census Population Estimates'!$A$20:$AG$266,D$79,FALSE)</f>
        <v>2263</v>
      </c>
      <c r="E102" s="84">
        <f>VLOOKUP($A102,'US Census Population Estimates'!$A$20:$AG$266,E$79,FALSE)</f>
        <v>2282</v>
      </c>
      <c r="F102" s="84">
        <f>VLOOKUP($A102,'US Census Population Estimates'!$A$20:$AG$266,F$79,FALSE)</f>
        <v>2304</v>
      </c>
      <c r="G102" s="84">
        <f>VLOOKUP($A102,'US Census Population Estimates'!$A$20:$AG$266,G$79,FALSE)</f>
        <v>2330</v>
      </c>
      <c r="H102" s="84">
        <f>VLOOKUP($A102,'US Census Population Estimates'!$A$20:$AG$266,H$79,FALSE)</f>
        <v>2359</v>
      </c>
      <c r="I102" s="84">
        <f>VLOOKUP($A102,'US Census Population Estimates'!$A$20:$AG$266,I$79,FALSE)</f>
        <v>2387</v>
      </c>
      <c r="J102" s="84">
        <f>VLOOKUP($A102,'US Census Population Estimates'!$A$20:$AG$266,J$79,FALSE)</f>
        <v>2440</v>
      </c>
      <c r="K102" s="84">
        <f>VLOOKUP($A102,'US Census Population Estimates'!$A$20:$AG$266,K$79,FALSE)</f>
        <v>2485</v>
      </c>
      <c r="L102" s="84">
        <f>VLOOKUP($A102,'US Census Population Estimates'!$A$20:$AG$266,L$79,FALSE)</f>
        <v>2537</v>
      </c>
      <c r="M102" s="84">
        <f>VLOOKUP($A102,'US Census Population Estimates'!$A$20:$AG$266,M$79,FALSE)</f>
        <v>2619</v>
      </c>
      <c r="N102" s="84">
        <f>VLOOKUP($A102,'US Census Population Estimates'!$A$20:$AG$266,N$79,FALSE)</f>
        <v>2766</v>
      </c>
      <c r="O102" s="84">
        <f>VLOOKUP($A102,'US Census Population Estimates'!$A$20:$AG$266,O$79,FALSE)</f>
        <v>2829</v>
      </c>
      <c r="P102" s="84">
        <f>VLOOKUP($A102,'US Census Population Estimates'!$A$20:$AG$266,P$79,FALSE)</f>
        <v>2886</v>
      </c>
      <c r="Q102" s="84">
        <f>VLOOKUP($A102,'US Census Population Estimates'!$A$20:$AG$266,Q$79,FALSE)</f>
        <v>2864</v>
      </c>
      <c r="R102" s="84">
        <f>VLOOKUP($A102,'US Census Population Estimates'!$A$20:$AG$266,R$79,FALSE)</f>
        <v>2969</v>
      </c>
      <c r="S102" s="84">
        <f>VLOOKUP($A102,'US Census Population Estimates'!$A$20:$AG$266,S$79,FALSE)</f>
        <v>2997</v>
      </c>
      <c r="T102" s="84">
        <f>VLOOKUP($A102,'US Census Population Estimates'!$A$20:$AG$266,T$79,FALSE)</f>
        <v>2950</v>
      </c>
      <c r="U102" s="84">
        <f>VLOOKUP($A102,'US Census Population Estimates'!$A$20:$AG$266,U$79,FALSE)</f>
        <v>2934</v>
      </c>
      <c r="V102" s="84" t="str">
        <f>VLOOKUP($A102,'US Census Population Estimates'!$A$20:$AG$266,V$79,FALSE)</f>
        <v/>
      </c>
      <c r="W102" s="84" t="str">
        <f>VLOOKUP($A102,'US Census Population Estimates'!$A$20:$AG$266,W$79,FALSE)</f>
        <v/>
      </c>
      <c r="X102" s="84" t="str">
        <f>VLOOKUP($A102,'US Census Population Estimates'!$A$20:$AG$266,X$79,FALSE)</f>
        <v/>
      </c>
      <c r="Y102" s="84" t="str">
        <f>VLOOKUP($A102,'US Census Population Estimates'!$A$20:$AG$266,Y$79,FALSE)</f>
        <v/>
      </c>
      <c r="Z102" s="84" t="str">
        <f>VLOOKUP($A102,'US Census Population Estimates'!$A$20:$AG$266,Z$79,FALSE)</f>
        <v/>
      </c>
      <c r="AA102" s="84" t="str">
        <f>VLOOKUP($A102,'US Census Population Estimates'!$A$20:$AG$266,AA$79,FALSE)</f>
        <v/>
      </c>
      <c r="AB102" s="84" t="str">
        <f>VLOOKUP($A102,'US Census Population Estimates'!$A$20:$AG$266,AB$79,FALSE)</f>
        <v/>
      </c>
      <c r="AC102" s="84" t="str">
        <f>VLOOKUP($A102,'US Census Population Estimates'!$A$20:$AG$266,AC$79,FALSE)</f>
        <v/>
      </c>
      <c r="AD102" s="84" t="str">
        <f>VLOOKUP($A102,'US Census Population Estimates'!$A$20:$AG$266,AD$79,FALSE)</f>
        <v/>
      </c>
      <c r="AE102" s="84" t="str">
        <f>VLOOKUP($A102,'US Census Population Estimates'!$A$20:$AG$266,AE$79,FALSE)</f>
        <v/>
      </c>
      <c r="AF102" s="84" t="str">
        <f>VLOOKUP($A102,'US Census Population Estimates'!$A$20:$AG$266,AF$79,FALSE)</f>
        <v/>
      </c>
      <c r="AG102" s="88" t="str">
        <f>VLOOKUP($A102,'US Census Population Estimates'!$A$20:$AG$266,AG$79,FALSE)</f>
        <v/>
      </c>
      <c r="AH102" s="24"/>
      <c r="AI102" s="24"/>
      <c r="AJ102" s="24"/>
      <c r="AK102" s="24"/>
      <c r="AL102" s="24"/>
      <c r="AM102" s="24"/>
      <c r="AN102" s="24"/>
      <c r="AO102" s="24"/>
      <c r="AP102" s="24"/>
      <c r="AQ102" s="24"/>
      <c r="AR102" s="24"/>
      <c r="AS102" s="24"/>
      <c r="AT102" s="24"/>
      <c r="AU102" s="24"/>
      <c r="AV102" s="24"/>
      <c r="AW102" s="24"/>
      <c r="AX102" s="24"/>
      <c r="AY102" s="24"/>
      <c r="AZ102" s="24"/>
      <c r="BA102" s="24"/>
    </row>
    <row r="103" ht="12.75" customHeight="1">
      <c r="A103" s="46" t="s">
        <v>168</v>
      </c>
      <c r="B103" s="51" t="s">
        <v>52</v>
      </c>
      <c r="C103" s="84">
        <f>VLOOKUP($A103,'US Census Population Estimates'!$A$20:$AG$266,C$79,FALSE)</f>
        <v>874</v>
      </c>
      <c r="D103" s="84">
        <f>VLOOKUP($A103,'US Census Population Estimates'!$A$20:$AG$266,D$79,FALSE)</f>
        <v>859</v>
      </c>
      <c r="E103" s="84">
        <f>VLOOKUP($A103,'US Census Population Estimates'!$A$20:$AG$266,E$79,FALSE)</f>
        <v>854</v>
      </c>
      <c r="F103" s="84">
        <f>VLOOKUP($A103,'US Census Population Estimates'!$A$20:$AG$266,F$79,FALSE)</f>
        <v>844</v>
      </c>
      <c r="G103" s="84">
        <f>VLOOKUP($A103,'US Census Population Estimates'!$A$20:$AG$266,G$79,FALSE)</f>
        <v>838</v>
      </c>
      <c r="H103" s="84">
        <f>VLOOKUP($A103,'US Census Population Estimates'!$A$20:$AG$266,H$79,FALSE)</f>
        <v>824</v>
      </c>
      <c r="I103" s="84">
        <f>VLOOKUP($A103,'US Census Population Estimates'!$A$20:$AG$266,I$79,FALSE)</f>
        <v>826</v>
      </c>
      <c r="J103" s="84">
        <f>VLOOKUP($A103,'US Census Population Estimates'!$A$20:$AG$266,J$79,FALSE)</f>
        <v>839</v>
      </c>
      <c r="K103" s="84">
        <f>VLOOKUP($A103,'US Census Population Estimates'!$A$20:$AG$266,K$79,FALSE)</f>
        <v>845</v>
      </c>
      <c r="L103" s="84">
        <f>VLOOKUP($A103,'US Census Population Estimates'!$A$20:$AG$266,L$79,FALSE)</f>
        <v>850</v>
      </c>
      <c r="M103" s="84">
        <f>VLOOKUP($A103,'US Census Population Estimates'!$A$20:$AG$266,M$79,FALSE)</f>
        <v>839</v>
      </c>
      <c r="N103" s="84">
        <f>VLOOKUP($A103,'US Census Population Estimates'!$A$20:$AG$266,N$79,FALSE)</f>
        <v>837</v>
      </c>
      <c r="O103" s="84">
        <f>VLOOKUP($A103,'US Census Population Estimates'!$A$20:$AG$266,O$79,FALSE)</f>
        <v>830</v>
      </c>
      <c r="P103" s="84">
        <f>VLOOKUP($A103,'US Census Population Estimates'!$A$20:$AG$266,P$79,FALSE)</f>
        <v>833</v>
      </c>
      <c r="Q103" s="84">
        <f>VLOOKUP($A103,'US Census Population Estimates'!$A$20:$AG$266,Q$79,FALSE)</f>
        <v>833</v>
      </c>
      <c r="R103" s="84">
        <f>VLOOKUP($A103,'US Census Population Estimates'!$A$20:$AG$266,R$79,FALSE)</f>
        <v>816</v>
      </c>
      <c r="S103" s="84">
        <f>VLOOKUP($A103,'US Census Population Estimates'!$A$20:$AG$266,S$79,FALSE)</f>
        <v>819</v>
      </c>
      <c r="T103" s="84">
        <f>VLOOKUP($A103,'US Census Population Estimates'!$A$20:$AG$266,T$79,FALSE)</f>
        <v>793</v>
      </c>
      <c r="U103" s="84">
        <f>VLOOKUP($A103,'US Census Population Estimates'!$A$20:$AG$266,U$79,FALSE)</f>
        <v>774</v>
      </c>
      <c r="V103" s="84" t="str">
        <f>VLOOKUP($A103,'US Census Population Estimates'!$A$20:$AG$266,V$79,FALSE)</f>
        <v/>
      </c>
      <c r="W103" s="84" t="str">
        <f>VLOOKUP($A103,'US Census Population Estimates'!$A$20:$AG$266,W$79,FALSE)</f>
        <v/>
      </c>
      <c r="X103" s="84" t="str">
        <f>VLOOKUP($A103,'US Census Population Estimates'!$A$20:$AG$266,X$79,FALSE)</f>
        <v/>
      </c>
      <c r="Y103" s="84" t="str">
        <f>VLOOKUP($A103,'US Census Population Estimates'!$A$20:$AG$266,Y$79,FALSE)</f>
        <v/>
      </c>
      <c r="Z103" s="84" t="str">
        <f>VLOOKUP($A103,'US Census Population Estimates'!$A$20:$AG$266,Z$79,FALSE)</f>
        <v/>
      </c>
      <c r="AA103" s="84" t="str">
        <f>VLOOKUP($A103,'US Census Population Estimates'!$A$20:$AG$266,AA$79,FALSE)</f>
        <v/>
      </c>
      <c r="AB103" s="84" t="str">
        <f>VLOOKUP($A103,'US Census Population Estimates'!$A$20:$AG$266,AB$79,FALSE)</f>
        <v/>
      </c>
      <c r="AC103" s="84" t="str">
        <f>VLOOKUP($A103,'US Census Population Estimates'!$A$20:$AG$266,AC$79,FALSE)</f>
        <v/>
      </c>
      <c r="AD103" s="84" t="str">
        <f>VLOOKUP($A103,'US Census Population Estimates'!$A$20:$AG$266,AD$79,FALSE)</f>
        <v/>
      </c>
      <c r="AE103" s="84" t="str">
        <f>VLOOKUP($A103,'US Census Population Estimates'!$A$20:$AG$266,AE$79,FALSE)</f>
        <v/>
      </c>
      <c r="AF103" s="84" t="str">
        <f>VLOOKUP($A103,'US Census Population Estimates'!$A$20:$AG$266,AF$79,FALSE)</f>
        <v/>
      </c>
      <c r="AG103" s="88" t="str">
        <f>VLOOKUP($A103,'US Census Population Estimates'!$A$20:$AG$266,AG$79,FALSE)</f>
        <v/>
      </c>
      <c r="AH103" s="24"/>
      <c r="AI103" s="24"/>
      <c r="AJ103" s="24"/>
      <c r="AK103" s="24"/>
      <c r="AL103" s="24"/>
      <c r="AM103" s="24"/>
      <c r="AN103" s="24"/>
      <c r="AO103" s="24"/>
      <c r="AP103" s="24"/>
      <c r="AQ103" s="24"/>
      <c r="AR103" s="24"/>
      <c r="AS103" s="24"/>
      <c r="AT103" s="24"/>
      <c r="AU103" s="24"/>
      <c r="AV103" s="24"/>
      <c r="AW103" s="24"/>
      <c r="AX103" s="24"/>
      <c r="AY103" s="24"/>
      <c r="AZ103" s="24"/>
      <c r="BA103" s="24"/>
    </row>
    <row r="104" ht="12.75" customHeight="1">
      <c r="A104" s="46" t="s">
        <v>169</v>
      </c>
      <c r="B104" s="51" t="s">
        <v>52</v>
      </c>
      <c r="C104" s="84">
        <f>VLOOKUP($A104,'US Census Population Estimates'!$A$20:$AG$266,C$79,FALSE)</f>
        <v>230</v>
      </c>
      <c r="D104" s="84">
        <f>VLOOKUP($A104,'US Census Population Estimates'!$A$20:$AG$266,D$79,FALSE)</f>
        <v>231</v>
      </c>
      <c r="E104" s="84">
        <f>VLOOKUP($A104,'US Census Population Estimates'!$A$20:$AG$266,E$79,FALSE)</f>
        <v>231</v>
      </c>
      <c r="F104" s="84">
        <f>VLOOKUP($A104,'US Census Population Estimates'!$A$20:$AG$266,F$79,FALSE)</f>
        <v>233</v>
      </c>
      <c r="G104" s="84">
        <f>VLOOKUP($A104,'US Census Population Estimates'!$A$20:$AG$266,G$79,FALSE)</f>
        <v>235</v>
      </c>
      <c r="H104" s="84">
        <f>VLOOKUP($A104,'US Census Population Estimates'!$A$20:$AG$266,H$79,FALSE)</f>
        <v>234</v>
      </c>
      <c r="I104" s="84">
        <f>VLOOKUP($A104,'US Census Population Estimates'!$A$20:$AG$266,I$79,FALSE)</f>
        <v>234</v>
      </c>
      <c r="J104" s="84">
        <f>VLOOKUP($A104,'US Census Population Estimates'!$A$20:$AG$266,J$79,FALSE)</f>
        <v>232</v>
      </c>
      <c r="K104" s="84">
        <f>VLOOKUP($A104,'US Census Population Estimates'!$A$20:$AG$266,K$79,FALSE)</f>
        <v>236</v>
      </c>
      <c r="L104" s="84">
        <f>VLOOKUP($A104,'US Census Population Estimates'!$A$20:$AG$266,L$79,FALSE)</f>
        <v>242</v>
      </c>
      <c r="M104" s="84">
        <f>VLOOKUP($A104,'US Census Population Estimates'!$A$20:$AG$266,M$79,FALSE)</f>
        <v>246</v>
      </c>
      <c r="N104" s="84">
        <f>VLOOKUP($A104,'US Census Population Estimates'!$A$20:$AG$266,N$79,FALSE)</f>
        <v>246</v>
      </c>
      <c r="O104" s="84">
        <f>VLOOKUP($A104,'US Census Population Estimates'!$A$20:$AG$266,O$79,FALSE)</f>
        <v>247</v>
      </c>
      <c r="P104" s="84">
        <f>VLOOKUP($A104,'US Census Population Estimates'!$A$20:$AG$266,P$79,FALSE)</f>
        <v>248</v>
      </c>
      <c r="Q104" s="84">
        <f>VLOOKUP($A104,'US Census Population Estimates'!$A$20:$AG$266,Q$79,FALSE)</f>
        <v>248</v>
      </c>
      <c r="R104" s="84">
        <f>VLOOKUP($A104,'US Census Population Estimates'!$A$20:$AG$266,R$79,FALSE)</f>
        <v>247</v>
      </c>
      <c r="S104" s="84">
        <f>VLOOKUP($A104,'US Census Population Estimates'!$A$20:$AG$266,S$79,FALSE)</f>
        <v>248</v>
      </c>
      <c r="T104" s="84">
        <f>VLOOKUP($A104,'US Census Population Estimates'!$A$20:$AG$266,T$79,FALSE)</f>
        <v>249</v>
      </c>
      <c r="U104" s="84">
        <f>VLOOKUP($A104,'US Census Population Estimates'!$A$20:$AG$266,U$79,FALSE)</f>
        <v>252</v>
      </c>
      <c r="V104" s="84" t="str">
        <f>VLOOKUP($A104,'US Census Population Estimates'!$A$20:$AG$266,V$79,FALSE)</f>
        <v/>
      </c>
      <c r="W104" s="84" t="str">
        <f>VLOOKUP($A104,'US Census Population Estimates'!$A$20:$AG$266,W$79,FALSE)</f>
        <v/>
      </c>
      <c r="X104" s="84" t="str">
        <f>VLOOKUP($A104,'US Census Population Estimates'!$A$20:$AG$266,X$79,FALSE)</f>
        <v/>
      </c>
      <c r="Y104" s="84" t="str">
        <f>VLOOKUP($A104,'US Census Population Estimates'!$A$20:$AG$266,Y$79,FALSE)</f>
        <v/>
      </c>
      <c r="Z104" s="84" t="str">
        <f>VLOOKUP($A104,'US Census Population Estimates'!$A$20:$AG$266,Z$79,FALSE)</f>
        <v/>
      </c>
      <c r="AA104" s="84" t="str">
        <f>VLOOKUP($A104,'US Census Population Estimates'!$A$20:$AG$266,AA$79,FALSE)</f>
        <v/>
      </c>
      <c r="AB104" s="84" t="str">
        <f>VLOOKUP($A104,'US Census Population Estimates'!$A$20:$AG$266,AB$79,FALSE)</f>
        <v/>
      </c>
      <c r="AC104" s="84" t="str">
        <f>VLOOKUP($A104,'US Census Population Estimates'!$A$20:$AG$266,AC$79,FALSE)</f>
        <v/>
      </c>
      <c r="AD104" s="84" t="str">
        <f>VLOOKUP($A104,'US Census Population Estimates'!$A$20:$AG$266,AD$79,FALSE)</f>
        <v/>
      </c>
      <c r="AE104" s="84" t="str">
        <f>VLOOKUP($A104,'US Census Population Estimates'!$A$20:$AG$266,AE$79,FALSE)</f>
        <v/>
      </c>
      <c r="AF104" s="84" t="str">
        <f>VLOOKUP($A104,'US Census Population Estimates'!$A$20:$AG$266,AF$79,FALSE)</f>
        <v/>
      </c>
      <c r="AG104" s="88" t="str">
        <f>VLOOKUP($A104,'US Census Population Estimates'!$A$20:$AG$266,AG$79,FALSE)</f>
        <v/>
      </c>
      <c r="AH104" s="24"/>
      <c r="AI104" s="24"/>
      <c r="AJ104" s="24"/>
      <c r="AK104" s="24"/>
      <c r="AL104" s="24"/>
      <c r="AM104" s="24"/>
      <c r="AN104" s="24"/>
      <c r="AO104" s="24"/>
      <c r="AP104" s="24"/>
      <c r="AQ104" s="24"/>
      <c r="AR104" s="24"/>
      <c r="AS104" s="24"/>
      <c r="AT104" s="24"/>
      <c r="AU104" s="24"/>
      <c r="AV104" s="24"/>
      <c r="AW104" s="24"/>
      <c r="AX104" s="24"/>
      <c r="AY104" s="24"/>
      <c r="AZ104" s="24"/>
      <c r="BA104" s="24"/>
    </row>
    <row r="105" ht="12.75" customHeight="1">
      <c r="A105" s="46" t="s">
        <v>170</v>
      </c>
      <c r="B105" s="51" t="s">
        <v>52</v>
      </c>
      <c r="C105" s="84">
        <f>VLOOKUP($A105,'US Census Population Estimates'!$A$20:$AG$266,C$79,FALSE)</f>
        <v>1711</v>
      </c>
      <c r="D105" s="84">
        <f>VLOOKUP($A105,'US Census Population Estimates'!$A$20:$AG$266,D$79,FALSE)</f>
        <v>1680</v>
      </c>
      <c r="E105" s="84">
        <f>VLOOKUP($A105,'US Census Population Estimates'!$A$20:$AG$266,E$79,FALSE)</f>
        <v>1674</v>
      </c>
      <c r="F105" s="84">
        <f>VLOOKUP($A105,'US Census Population Estimates'!$A$20:$AG$266,F$79,FALSE)</f>
        <v>1665</v>
      </c>
      <c r="G105" s="84">
        <f>VLOOKUP($A105,'US Census Population Estimates'!$A$20:$AG$266,G$79,FALSE)</f>
        <v>1656</v>
      </c>
      <c r="H105" s="84">
        <f>VLOOKUP($A105,'US Census Population Estimates'!$A$20:$AG$266,H$79,FALSE)</f>
        <v>1633</v>
      </c>
      <c r="I105" s="84">
        <f>VLOOKUP($A105,'US Census Population Estimates'!$A$20:$AG$266,I$79,FALSE)</f>
        <v>1639</v>
      </c>
      <c r="J105" s="84">
        <f>VLOOKUP($A105,'US Census Population Estimates'!$A$20:$AG$266,J$79,FALSE)</f>
        <v>1670</v>
      </c>
      <c r="K105" s="84">
        <f>VLOOKUP($A105,'US Census Population Estimates'!$A$20:$AG$266,K$79,FALSE)</f>
        <v>1686</v>
      </c>
      <c r="L105" s="84">
        <f>VLOOKUP($A105,'US Census Population Estimates'!$A$20:$AG$266,L$79,FALSE)</f>
        <v>1704</v>
      </c>
      <c r="M105" s="84">
        <f>VLOOKUP($A105,'US Census Population Estimates'!$A$20:$AG$266,M$79,FALSE)</f>
        <v>1687</v>
      </c>
      <c r="N105" s="84">
        <f>VLOOKUP($A105,'US Census Population Estimates'!$A$20:$AG$266,N$79,FALSE)</f>
        <v>1684</v>
      </c>
      <c r="O105" s="84">
        <f>VLOOKUP($A105,'US Census Population Estimates'!$A$20:$AG$266,O$79,FALSE)</f>
        <v>1671</v>
      </c>
      <c r="P105" s="84">
        <f>VLOOKUP($A105,'US Census Population Estimates'!$A$20:$AG$266,P$79,FALSE)</f>
        <v>1680</v>
      </c>
      <c r="Q105" s="84">
        <f>VLOOKUP($A105,'US Census Population Estimates'!$A$20:$AG$266,Q$79,FALSE)</f>
        <v>1700</v>
      </c>
      <c r="R105" s="84">
        <f>VLOOKUP($A105,'US Census Population Estimates'!$A$20:$AG$266,R$79,FALSE)</f>
        <v>1685</v>
      </c>
      <c r="S105" s="84">
        <f>VLOOKUP($A105,'US Census Population Estimates'!$A$20:$AG$266,S$79,FALSE)</f>
        <v>1697</v>
      </c>
      <c r="T105" s="84">
        <f>VLOOKUP($A105,'US Census Population Estimates'!$A$20:$AG$266,T$79,FALSE)</f>
        <v>1655</v>
      </c>
      <c r="U105" s="84">
        <f>VLOOKUP($A105,'US Census Population Estimates'!$A$20:$AG$266,U$79,FALSE)</f>
        <v>1623</v>
      </c>
      <c r="V105" s="84" t="str">
        <f>VLOOKUP($A105,'US Census Population Estimates'!$A$20:$AG$266,V$79,FALSE)</f>
        <v/>
      </c>
      <c r="W105" s="84" t="str">
        <f>VLOOKUP($A105,'US Census Population Estimates'!$A$20:$AG$266,W$79,FALSE)</f>
        <v/>
      </c>
      <c r="X105" s="84" t="str">
        <f>VLOOKUP($A105,'US Census Population Estimates'!$A$20:$AG$266,X$79,FALSE)</f>
        <v/>
      </c>
      <c r="Y105" s="84" t="str">
        <f>VLOOKUP($A105,'US Census Population Estimates'!$A$20:$AG$266,Y$79,FALSE)</f>
        <v/>
      </c>
      <c r="Z105" s="84" t="str">
        <f>VLOOKUP($A105,'US Census Population Estimates'!$A$20:$AG$266,Z$79,FALSE)</f>
        <v/>
      </c>
      <c r="AA105" s="84" t="str">
        <f>VLOOKUP($A105,'US Census Population Estimates'!$A$20:$AG$266,AA$79,FALSE)</f>
        <v/>
      </c>
      <c r="AB105" s="84" t="str">
        <f>VLOOKUP($A105,'US Census Population Estimates'!$A$20:$AG$266,AB$79,FALSE)</f>
        <v/>
      </c>
      <c r="AC105" s="84" t="str">
        <f>VLOOKUP($A105,'US Census Population Estimates'!$A$20:$AG$266,AC$79,FALSE)</f>
        <v/>
      </c>
      <c r="AD105" s="84" t="str">
        <f>VLOOKUP($A105,'US Census Population Estimates'!$A$20:$AG$266,AD$79,FALSE)</f>
        <v/>
      </c>
      <c r="AE105" s="84" t="str">
        <f>VLOOKUP($A105,'US Census Population Estimates'!$A$20:$AG$266,AE$79,FALSE)</f>
        <v/>
      </c>
      <c r="AF105" s="84" t="str">
        <f>VLOOKUP($A105,'US Census Population Estimates'!$A$20:$AG$266,AF$79,FALSE)</f>
        <v/>
      </c>
      <c r="AG105" s="88" t="str">
        <f>VLOOKUP($A105,'US Census Population Estimates'!$A$20:$AG$266,AG$79,FALSE)</f>
        <v/>
      </c>
      <c r="AH105" s="24"/>
      <c r="AI105" s="24"/>
      <c r="AJ105" s="24"/>
      <c r="AK105" s="24"/>
      <c r="AL105" s="24"/>
      <c r="AM105" s="24"/>
      <c r="AN105" s="24"/>
      <c r="AO105" s="24"/>
      <c r="AP105" s="24"/>
      <c r="AQ105" s="24"/>
      <c r="AR105" s="24"/>
      <c r="AS105" s="24"/>
      <c r="AT105" s="24"/>
      <c r="AU105" s="24"/>
      <c r="AV105" s="24"/>
      <c r="AW105" s="24"/>
      <c r="AX105" s="24"/>
      <c r="AY105" s="24"/>
      <c r="AZ105" s="24"/>
      <c r="BA105" s="24"/>
    </row>
    <row r="106" ht="12.75" customHeight="1">
      <c r="A106" s="46" t="s">
        <v>171</v>
      </c>
      <c r="B106" s="51" t="s">
        <v>52</v>
      </c>
      <c r="C106" s="84">
        <f>VLOOKUP($A106,'US Census Population Estimates'!$A$20:$AG$266,C$79,FALSE)</f>
        <v>416</v>
      </c>
      <c r="D106" s="84">
        <f>VLOOKUP($A106,'US Census Population Estimates'!$A$20:$AG$266,D$79,FALSE)</f>
        <v>412</v>
      </c>
      <c r="E106" s="84">
        <f>VLOOKUP($A106,'US Census Population Estimates'!$A$20:$AG$266,E$79,FALSE)</f>
        <v>413</v>
      </c>
      <c r="F106" s="84">
        <f>VLOOKUP($A106,'US Census Population Estimates'!$A$20:$AG$266,F$79,FALSE)</f>
        <v>412</v>
      </c>
      <c r="G106" s="84">
        <f>VLOOKUP($A106,'US Census Population Estimates'!$A$20:$AG$266,G$79,FALSE)</f>
        <v>412</v>
      </c>
      <c r="H106" s="84">
        <f>VLOOKUP($A106,'US Census Population Estimates'!$A$20:$AG$266,H$79,FALSE)</f>
        <v>409</v>
      </c>
      <c r="I106" s="84">
        <f>VLOOKUP($A106,'US Census Population Estimates'!$A$20:$AG$266,I$79,FALSE)</f>
        <v>412</v>
      </c>
      <c r="J106" s="84">
        <f>VLOOKUP($A106,'US Census Population Estimates'!$A$20:$AG$266,J$79,FALSE)</f>
        <v>423</v>
      </c>
      <c r="K106" s="84">
        <f>VLOOKUP($A106,'US Census Population Estimates'!$A$20:$AG$266,K$79,FALSE)</f>
        <v>429</v>
      </c>
      <c r="L106" s="84">
        <f>VLOOKUP($A106,'US Census Population Estimates'!$A$20:$AG$266,L$79,FALSE)</f>
        <v>435</v>
      </c>
      <c r="M106" s="84">
        <f>VLOOKUP($A106,'US Census Population Estimates'!$A$20:$AG$266,M$79,FALSE)</f>
        <v>432</v>
      </c>
      <c r="N106" s="84">
        <f>VLOOKUP($A106,'US Census Population Estimates'!$A$20:$AG$266,N$79,FALSE)</f>
        <v>431</v>
      </c>
      <c r="O106" s="84">
        <f>VLOOKUP($A106,'US Census Population Estimates'!$A$20:$AG$266,O$79,FALSE)</f>
        <v>426</v>
      </c>
      <c r="P106" s="84">
        <f>VLOOKUP($A106,'US Census Population Estimates'!$A$20:$AG$266,P$79,FALSE)</f>
        <v>428</v>
      </c>
      <c r="Q106" s="84">
        <f>VLOOKUP($A106,'US Census Population Estimates'!$A$20:$AG$266,Q$79,FALSE)</f>
        <v>428</v>
      </c>
      <c r="R106" s="84">
        <f>VLOOKUP($A106,'US Census Population Estimates'!$A$20:$AG$266,R$79,FALSE)</f>
        <v>419</v>
      </c>
      <c r="S106" s="84">
        <f>VLOOKUP($A106,'US Census Population Estimates'!$A$20:$AG$266,S$79,FALSE)</f>
        <v>422</v>
      </c>
      <c r="T106" s="84">
        <f>VLOOKUP($A106,'US Census Population Estimates'!$A$20:$AG$266,T$79,FALSE)</f>
        <v>407</v>
      </c>
      <c r="U106" s="84">
        <f>VLOOKUP($A106,'US Census Population Estimates'!$A$20:$AG$266,U$79,FALSE)</f>
        <v>397</v>
      </c>
      <c r="V106" s="84" t="str">
        <f>VLOOKUP($A106,'US Census Population Estimates'!$A$20:$AG$266,V$79,FALSE)</f>
        <v/>
      </c>
      <c r="W106" s="84" t="str">
        <f>VLOOKUP($A106,'US Census Population Estimates'!$A$20:$AG$266,W$79,FALSE)</f>
        <v/>
      </c>
      <c r="X106" s="84" t="str">
        <f>VLOOKUP($A106,'US Census Population Estimates'!$A$20:$AG$266,X$79,FALSE)</f>
        <v/>
      </c>
      <c r="Y106" s="84" t="str">
        <f>VLOOKUP($A106,'US Census Population Estimates'!$A$20:$AG$266,Y$79,FALSE)</f>
        <v/>
      </c>
      <c r="Z106" s="84" t="str">
        <f>VLOOKUP($A106,'US Census Population Estimates'!$A$20:$AG$266,Z$79,FALSE)</f>
        <v/>
      </c>
      <c r="AA106" s="84" t="str">
        <f>VLOOKUP($A106,'US Census Population Estimates'!$A$20:$AG$266,AA$79,FALSE)</f>
        <v/>
      </c>
      <c r="AB106" s="84" t="str">
        <f>VLOOKUP($A106,'US Census Population Estimates'!$A$20:$AG$266,AB$79,FALSE)</f>
        <v/>
      </c>
      <c r="AC106" s="84" t="str">
        <f>VLOOKUP($A106,'US Census Population Estimates'!$A$20:$AG$266,AC$79,FALSE)</f>
        <v/>
      </c>
      <c r="AD106" s="84" t="str">
        <f>VLOOKUP($A106,'US Census Population Estimates'!$A$20:$AG$266,AD$79,FALSE)</f>
        <v/>
      </c>
      <c r="AE106" s="84" t="str">
        <f>VLOOKUP($A106,'US Census Population Estimates'!$A$20:$AG$266,AE$79,FALSE)</f>
        <v/>
      </c>
      <c r="AF106" s="84" t="str">
        <f>VLOOKUP($A106,'US Census Population Estimates'!$A$20:$AG$266,AF$79,FALSE)</f>
        <v/>
      </c>
      <c r="AG106" s="88" t="str">
        <f>VLOOKUP($A106,'US Census Population Estimates'!$A$20:$AG$266,AG$79,FALSE)</f>
        <v/>
      </c>
      <c r="AH106" s="24"/>
      <c r="AI106" s="24"/>
      <c r="AJ106" s="24"/>
      <c r="AK106" s="24"/>
      <c r="AL106" s="24"/>
      <c r="AM106" s="24"/>
      <c r="AN106" s="24"/>
      <c r="AO106" s="24"/>
      <c r="AP106" s="24"/>
      <c r="AQ106" s="24"/>
      <c r="AR106" s="24"/>
      <c r="AS106" s="24"/>
      <c r="AT106" s="24"/>
      <c r="AU106" s="24"/>
      <c r="AV106" s="24"/>
      <c r="AW106" s="24"/>
      <c r="AX106" s="24"/>
      <c r="AY106" s="24"/>
      <c r="AZ106" s="24"/>
      <c r="BA106" s="24"/>
    </row>
    <row r="107" ht="12.75" customHeight="1">
      <c r="A107" s="46" t="s">
        <v>172</v>
      </c>
      <c r="B107" s="51" t="s">
        <v>173</v>
      </c>
      <c r="C107" s="84">
        <f>VLOOKUP($A107,'US Census Population Estimates'!$A$20:$AG$266,C$79,FALSE)</f>
        <v>50042</v>
      </c>
      <c r="D107" s="84">
        <f>VLOOKUP($A107,'US Census Population Estimates'!$A$20:$AG$266,D$79,FALSE)</f>
        <v>50187</v>
      </c>
      <c r="E107" s="84">
        <f>VLOOKUP($A107,'US Census Population Estimates'!$A$20:$AG$266,E$79,FALSE)</f>
        <v>50480</v>
      </c>
      <c r="F107" s="84">
        <f>VLOOKUP($A107,'US Census Population Estimates'!$A$20:$AG$266,F$79,FALSE)</f>
        <v>50863</v>
      </c>
      <c r="G107" s="84">
        <f>VLOOKUP($A107,'US Census Population Estimates'!$A$20:$AG$266,G$79,FALSE)</f>
        <v>51315</v>
      </c>
      <c r="H107" s="84">
        <f>VLOOKUP($A107,'US Census Population Estimates'!$A$20:$AG$266,H$79,FALSE)</f>
        <v>51844</v>
      </c>
      <c r="I107" s="84">
        <f>VLOOKUP($A107,'US Census Population Estimates'!$A$20:$AG$266,I$79,FALSE)</f>
        <v>52370</v>
      </c>
      <c r="J107" s="84">
        <f>VLOOKUP($A107,'US Census Population Estimates'!$A$20:$AG$266,J$79,FALSE)</f>
        <v>53392</v>
      </c>
      <c r="K107" s="84">
        <f>VLOOKUP($A107,'US Census Population Estimates'!$A$20:$AG$266,K$79,FALSE)</f>
        <v>54235</v>
      </c>
      <c r="L107" s="84">
        <f>VLOOKUP($A107,'US Census Population Estimates'!$A$20:$AG$266,L$79,FALSE)</f>
        <v>55255</v>
      </c>
      <c r="M107" s="84">
        <f>VLOOKUP($A107,'US Census Population Estimates'!$A$20:$AG$266,M$79,FALSE)</f>
        <v>55249</v>
      </c>
      <c r="N107" s="84">
        <f>VLOOKUP($A107,'US Census Population Estimates'!$A$20:$AG$266,N$79,FALSE)</f>
        <v>56104</v>
      </c>
      <c r="O107" s="84">
        <f>VLOOKUP($A107,'US Census Population Estimates'!$A$20:$AG$266,O$79,FALSE)</f>
        <v>57692</v>
      </c>
      <c r="P107" s="84">
        <f>VLOOKUP($A107,'US Census Population Estimates'!$A$20:$AG$266,P$79,FALSE)</f>
        <v>59480</v>
      </c>
      <c r="Q107" s="84">
        <f>VLOOKUP($A107,'US Census Population Estimates'!$A$20:$AG$266,Q$79,FALSE)</f>
        <v>59711</v>
      </c>
      <c r="R107" s="84">
        <f>VLOOKUP($A107,'US Census Population Estimates'!$A$20:$AG$266,R$79,FALSE)</f>
        <v>59999</v>
      </c>
      <c r="S107" s="84">
        <f>VLOOKUP($A107,'US Census Population Estimates'!$A$20:$AG$266,S$79,FALSE)</f>
        <v>58906</v>
      </c>
      <c r="T107" s="84">
        <f>VLOOKUP($A107,'US Census Population Estimates'!$A$20:$AG$266,T$79,FALSE)</f>
        <v>57814</v>
      </c>
      <c r="U107" s="84">
        <f>VLOOKUP($A107,'US Census Population Estimates'!$A$20:$AG$266,U$79,FALSE)</f>
        <v>57461</v>
      </c>
      <c r="V107" s="84" t="str">
        <f>VLOOKUP($A107,'US Census Population Estimates'!$A$20:$AG$266,V$79,FALSE)</f>
        <v/>
      </c>
      <c r="W107" s="84" t="str">
        <f>VLOOKUP($A107,'US Census Population Estimates'!$A$20:$AG$266,W$79,FALSE)</f>
        <v/>
      </c>
      <c r="X107" s="84" t="str">
        <f>VLOOKUP($A107,'US Census Population Estimates'!$A$20:$AG$266,X$79,FALSE)</f>
        <v/>
      </c>
      <c r="Y107" s="84" t="str">
        <f>VLOOKUP($A107,'US Census Population Estimates'!$A$20:$AG$266,Y$79,FALSE)</f>
        <v/>
      </c>
      <c r="Z107" s="84" t="str">
        <f>VLOOKUP($A107,'US Census Population Estimates'!$A$20:$AG$266,Z$79,FALSE)</f>
        <v/>
      </c>
      <c r="AA107" s="84" t="str">
        <f>VLOOKUP($A107,'US Census Population Estimates'!$A$20:$AG$266,AA$79,FALSE)</f>
        <v/>
      </c>
      <c r="AB107" s="84" t="str">
        <f>VLOOKUP($A107,'US Census Population Estimates'!$A$20:$AG$266,AB$79,FALSE)</f>
        <v/>
      </c>
      <c r="AC107" s="84" t="str">
        <f>VLOOKUP($A107,'US Census Population Estimates'!$A$20:$AG$266,AC$79,FALSE)</f>
        <v/>
      </c>
      <c r="AD107" s="84" t="str">
        <f>VLOOKUP($A107,'US Census Population Estimates'!$A$20:$AG$266,AD$79,FALSE)</f>
        <v/>
      </c>
      <c r="AE107" s="84" t="str">
        <f>VLOOKUP($A107,'US Census Population Estimates'!$A$20:$AG$266,AE$79,FALSE)</f>
        <v/>
      </c>
      <c r="AF107" s="84" t="str">
        <f>VLOOKUP($A107,'US Census Population Estimates'!$A$20:$AG$266,AF$79,FALSE)</f>
        <v/>
      </c>
      <c r="AG107" s="88" t="str">
        <f>VLOOKUP($A107,'US Census Population Estimates'!$A$20:$AG$266,AG$79,FALSE)</f>
        <v/>
      </c>
      <c r="AH107" s="24"/>
      <c r="AI107" s="24"/>
      <c r="AJ107" s="24"/>
      <c r="AK107" s="24"/>
      <c r="AL107" s="24"/>
      <c r="AM107" s="24"/>
      <c r="AN107" s="24"/>
      <c r="AO107" s="24"/>
      <c r="AP107" s="24"/>
      <c r="AQ107" s="24"/>
      <c r="AR107" s="24"/>
      <c r="AS107" s="24"/>
      <c r="AT107" s="24"/>
      <c r="AU107" s="24"/>
      <c r="AV107" s="24"/>
      <c r="AW107" s="24"/>
      <c r="AX107" s="24"/>
      <c r="AY107" s="24"/>
      <c r="AZ107" s="24"/>
      <c r="BA107" s="24"/>
    </row>
    <row r="108" ht="12.75" customHeight="1">
      <c r="A108" s="46" t="s">
        <v>81</v>
      </c>
      <c r="B108" s="51" t="s">
        <v>173</v>
      </c>
      <c r="C108" s="84">
        <f>VLOOKUP($A108,'US Census Population Estimates'!$A$20:$AG$266,C$79,FALSE)</f>
        <v>53474</v>
      </c>
      <c r="D108" s="84">
        <f>VLOOKUP($A108,'US Census Population Estimates'!$A$20:$AG$266,D$79,FALSE)</f>
        <v>53934</v>
      </c>
      <c r="E108" s="84">
        <f>VLOOKUP($A108,'US Census Population Estimates'!$A$20:$AG$266,E$79,FALSE)</f>
        <v>54332</v>
      </c>
      <c r="F108" s="84">
        <f>VLOOKUP($A108,'US Census Population Estimates'!$A$20:$AG$266,F$79,FALSE)</f>
        <v>54852</v>
      </c>
      <c r="G108" s="84">
        <f>VLOOKUP($A108,'US Census Population Estimates'!$A$20:$AG$266,G$79,FALSE)</f>
        <v>55693</v>
      </c>
      <c r="H108" s="84">
        <f>VLOOKUP($A108,'US Census Population Estimates'!$A$20:$AG$266,H$79,FALSE)</f>
        <v>55845</v>
      </c>
      <c r="I108" s="84">
        <f>VLOOKUP($A108,'US Census Population Estimates'!$A$20:$AG$266,I$79,FALSE)</f>
        <v>56468</v>
      </c>
      <c r="J108" s="84">
        <f>VLOOKUP($A108,'US Census Population Estimates'!$A$20:$AG$266,J$79,FALSE)</f>
        <v>56958</v>
      </c>
      <c r="K108" s="84">
        <f>VLOOKUP($A108,'US Census Population Estimates'!$A$20:$AG$266,K$79,FALSE)</f>
        <v>57829</v>
      </c>
      <c r="L108" s="84">
        <f>VLOOKUP($A108,'US Census Population Estimates'!$A$20:$AG$266,L$79,FALSE)</f>
        <v>58658</v>
      </c>
      <c r="M108" s="84">
        <f>VLOOKUP($A108,'US Census Population Estimates'!$A$20:$AG$266,M$79,FALSE)</f>
        <v>59884</v>
      </c>
      <c r="N108" s="84">
        <f>VLOOKUP($A108,'US Census Population Estimates'!$A$20:$AG$266,N$79,FALSE)</f>
        <v>60299</v>
      </c>
      <c r="O108" s="84">
        <f>VLOOKUP($A108,'US Census Population Estimates'!$A$20:$AG$266,O$79,FALSE)</f>
        <v>61555</v>
      </c>
      <c r="P108" s="84">
        <f>VLOOKUP($A108,'US Census Population Estimates'!$A$20:$AG$266,P$79,FALSE)</f>
        <v>62245</v>
      </c>
      <c r="Q108" s="84">
        <f>VLOOKUP($A108,'US Census Population Estimates'!$A$20:$AG$266,Q$79,FALSE)</f>
        <v>62440</v>
      </c>
      <c r="R108" s="84">
        <f>VLOOKUP($A108,'US Census Population Estimates'!$A$20:$AG$266,R$79,FALSE)</f>
        <v>63026</v>
      </c>
      <c r="S108" s="84">
        <f>VLOOKUP($A108,'US Census Population Estimates'!$A$20:$AG$266,S$79,FALSE)</f>
        <v>63601</v>
      </c>
      <c r="T108" s="84">
        <f>VLOOKUP($A108,'US Census Population Estimates'!$A$20:$AG$266,T$79,FALSE)</f>
        <v>63624</v>
      </c>
      <c r="U108" s="84">
        <f>VLOOKUP($A108,'US Census Population Estimates'!$A$20:$AG$266,U$79,FALSE)</f>
        <v>63957</v>
      </c>
      <c r="V108" s="84" t="str">
        <f>VLOOKUP($A108,'US Census Population Estimates'!$A$20:$AG$266,V$79,FALSE)</f>
        <v/>
      </c>
      <c r="W108" s="84" t="str">
        <f>VLOOKUP($A108,'US Census Population Estimates'!$A$20:$AG$266,W$79,FALSE)</f>
        <v/>
      </c>
      <c r="X108" s="84" t="str">
        <f>VLOOKUP($A108,'US Census Population Estimates'!$A$20:$AG$266,X$79,FALSE)</f>
        <v/>
      </c>
      <c r="Y108" s="84" t="str">
        <f>VLOOKUP($A108,'US Census Population Estimates'!$A$20:$AG$266,Y$79,FALSE)</f>
        <v/>
      </c>
      <c r="Z108" s="84" t="str">
        <f>VLOOKUP($A108,'US Census Population Estimates'!$A$20:$AG$266,Z$79,FALSE)</f>
        <v/>
      </c>
      <c r="AA108" s="84" t="str">
        <f>VLOOKUP($A108,'US Census Population Estimates'!$A$20:$AG$266,AA$79,FALSE)</f>
        <v/>
      </c>
      <c r="AB108" s="84" t="str">
        <f>VLOOKUP($A108,'US Census Population Estimates'!$A$20:$AG$266,AB$79,FALSE)</f>
        <v/>
      </c>
      <c r="AC108" s="84" t="str">
        <f>VLOOKUP($A108,'US Census Population Estimates'!$A$20:$AG$266,AC$79,FALSE)</f>
        <v/>
      </c>
      <c r="AD108" s="84" t="str">
        <f>VLOOKUP($A108,'US Census Population Estimates'!$A$20:$AG$266,AD$79,FALSE)</f>
        <v/>
      </c>
      <c r="AE108" s="84" t="str">
        <f>VLOOKUP($A108,'US Census Population Estimates'!$A$20:$AG$266,AE$79,FALSE)</f>
        <v/>
      </c>
      <c r="AF108" s="84" t="str">
        <f>VLOOKUP($A108,'US Census Population Estimates'!$A$20:$AG$266,AF$79,FALSE)</f>
        <v/>
      </c>
      <c r="AG108" s="88" t="str">
        <f>VLOOKUP($A108,'US Census Population Estimates'!$A$20:$AG$266,AG$79,FALSE)</f>
        <v/>
      </c>
      <c r="AH108" s="24"/>
      <c r="AI108" s="24"/>
      <c r="AJ108" s="24"/>
      <c r="AK108" s="24"/>
      <c r="AL108" s="24"/>
      <c r="AM108" s="24"/>
      <c r="AN108" s="24"/>
      <c r="AO108" s="24"/>
      <c r="AP108" s="24"/>
      <c r="AQ108" s="24"/>
      <c r="AR108" s="24"/>
      <c r="AS108" s="24"/>
      <c r="AT108" s="24"/>
      <c r="AU108" s="24"/>
      <c r="AV108" s="24"/>
      <c r="AW108" s="24"/>
      <c r="AX108" s="24"/>
      <c r="AY108" s="24"/>
      <c r="AZ108" s="24"/>
      <c r="BA108" s="24"/>
    </row>
    <row r="109" ht="12.75" customHeight="1">
      <c r="A109" s="46" t="s">
        <v>175</v>
      </c>
      <c r="B109" s="51" t="s">
        <v>173</v>
      </c>
      <c r="C109" s="84">
        <f>VLOOKUP($A109,'US Census Population Estimates'!$A$20:$AG$266,C$79,FALSE)</f>
        <v>5316</v>
      </c>
      <c r="D109" s="84">
        <f>VLOOKUP($A109,'US Census Population Estimates'!$A$20:$AG$266,D$79,FALSE)</f>
        <v>5284</v>
      </c>
      <c r="E109" s="84">
        <f>VLOOKUP($A109,'US Census Population Estimates'!$A$20:$AG$266,E$79,FALSE)</f>
        <v>5374</v>
      </c>
      <c r="F109" s="84">
        <f>VLOOKUP($A109,'US Census Population Estimates'!$A$20:$AG$266,F$79,FALSE)</f>
        <v>5395</v>
      </c>
      <c r="G109" s="84">
        <f>VLOOKUP($A109,'US Census Population Estimates'!$A$20:$AG$266,G$79,FALSE)</f>
        <v>5449</v>
      </c>
      <c r="H109" s="84">
        <f>VLOOKUP($A109,'US Census Population Estimates'!$A$20:$AG$266,H$79,FALSE)</f>
        <v>5560</v>
      </c>
      <c r="I109" s="84">
        <f>VLOOKUP($A109,'US Census Population Estimates'!$A$20:$AG$266,I$79,FALSE)</f>
        <v>5654</v>
      </c>
      <c r="J109" s="84">
        <f>VLOOKUP($A109,'US Census Population Estimates'!$A$20:$AG$266,J$79,FALSE)</f>
        <v>5776</v>
      </c>
      <c r="K109" s="84">
        <f>VLOOKUP($A109,'US Census Population Estimates'!$A$20:$AG$266,K$79,FALSE)</f>
        <v>5960</v>
      </c>
      <c r="L109" s="84">
        <f>VLOOKUP($A109,'US Census Population Estimates'!$A$20:$AG$266,L$79,FALSE)</f>
        <v>6121</v>
      </c>
      <c r="M109" s="84">
        <f>VLOOKUP($A109,'US Census Population Estimates'!$A$20:$AG$266,M$79,FALSE)</f>
        <v>6114</v>
      </c>
      <c r="N109" s="84">
        <f>VLOOKUP($A109,'US Census Population Estimates'!$A$20:$AG$266,N$79,FALSE)</f>
        <v>6103</v>
      </c>
      <c r="O109" s="84">
        <f>VLOOKUP($A109,'US Census Population Estimates'!$A$20:$AG$266,O$79,FALSE)</f>
        <v>6282</v>
      </c>
      <c r="P109" s="84">
        <f>VLOOKUP($A109,'US Census Population Estimates'!$A$20:$AG$266,P$79,FALSE)</f>
        <v>6484</v>
      </c>
      <c r="Q109" s="84">
        <f>VLOOKUP($A109,'US Census Population Estimates'!$A$20:$AG$266,Q$79,FALSE)</f>
        <v>6467</v>
      </c>
      <c r="R109" s="84">
        <f>VLOOKUP($A109,'US Census Population Estimates'!$A$20:$AG$266,R$79,FALSE)</f>
        <v>6552</v>
      </c>
      <c r="S109" s="84">
        <f>VLOOKUP($A109,'US Census Population Estimates'!$A$20:$AG$266,S$79,FALSE)</f>
        <v>6496</v>
      </c>
      <c r="T109" s="84">
        <f>VLOOKUP($A109,'US Census Population Estimates'!$A$20:$AG$266,T$79,FALSE)</f>
        <v>6350</v>
      </c>
      <c r="U109" s="84">
        <f>VLOOKUP($A109,'US Census Population Estimates'!$A$20:$AG$266,U$79,FALSE)</f>
        <v>6273</v>
      </c>
      <c r="V109" s="84" t="str">
        <f>VLOOKUP($A109,'US Census Population Estimates'!$A$20:$AG$266,V$79,FALSE)</f>
        <v/>
      </c>
      <c r="W109" s="84" t="str">
        <f>VLOOKUP($A109,'US Census Population Estimates'!$A$20:$AG$266,W$79,FALSE)</f>
        <v/>
      </c>
      <c r="X109" s="84" t="str">
        <f>VLOOKUP($A109,'US Census Population Estimates'!$A$20:$AG$266,X$79,FALSE)</f>
        <v/>
      </c>
      <c r="Y109" s="84" t="str">
        <f>VLOOKUP($A109,'US Census Population Estimates'!$A$20:$AG$266,Y$79,FALSE)</f>
        <v/>
      </c>
      <c r="Z109" s="84" t="str">
        <f>VLOOKUP($A109,'US Census Population Estimates'!$A$20:$AG$266,Z$79,FALSE)</f>
        <v/>
      </c>
      <c r="AA109" s="84" t="str">
        <f>VLOOKUP($A109,'US Census Population Estimates'!$A$20:$AG$266,AA$79,FALSE)</f>
        <v/>
      </c>
      <c r="AB109" s="84" t="str">
        <f>VLOOKUP($A109,'US Census Population Estimates'!$A$20:$AG$266,AB$79,FALSE)</f>
        <v/>
      </c>
      <c r="AC109" s="84" t="str">
        <f>VLOOKUP($A109,'US Census Population Estimates'!$A$20:$AG$266,AC$79,FALSE)</f>
        <v/>
      </c>
      <c r="AD109" s="84" t="str">
        <f>VLOOKUP($A109,'US Census Population Estimates'!$A$20:$AG$266,AD$79,FALSE)</f>
        <v/>
      </c>
      <c r="AE109" s="84" t="str">
        <f>VLOOKUP($A109,'US Census Population Estimates'!$A$20:$AG$266,AE$79,FALSE)</f>
        <v/>
      </c>
      <c r="AF109" s="84" t="str">
        <f>VLOOKUP($A109,'US Census Population Estimates'!$A$20:$AG$266,AF$79,FALSE)</f>
        <v/>
      </c>
      <c r="AG109" s="88" t="str">
        <f>VLOOKUP($A109,'US Census Population Estimates'!$A$20:$AG$266,AG$79,FALSE)</f>
        <v/>
      </c>
      <c r="AH109" s="24"/>
      <c r="AI109" s="24"/>
      <c r="AJ109" s="24"/>
      <c r="AK109" s="24"/>
      <c r="AL109" s="24"/>
      <c r="AM109" s="24"/>
      <c r="AN109" s="24"/>
      <c r="AO109" s="24"/>
      <c r="AP109" s="24"/>
      <c r="AQ109" s="24"/>
      <c r="AR109" s="24"/>
      <c r="AS109" s="24"/>
      <c r="AT109" s="24"/>
      <c r="AU109" s="24"/>
      <c r="AV109" s="24"/>
      <c r="AW109" s="24"/>
      <c r="AX109" s="24"/>
      <c r="AY109" s="24"/>
      <c r="AZ109" s="24"/>
      <c r="BA109" s="24"/>
    </row>
    <row r="110" ht="12.75" customHeight="1">
      <c r="A110" s="46" t="s">
        <v>241</v>
      </c>
      <c r="B110" s="51" t="s">
        <v>173</v>
      </c>
      <c r="C110" s="84">
        <f>VLOOKUP($A110,'US Census Population Estimates'!$A$20:$AG$266,C$79,FALSE)</f>
        <v>27226</v>
      </c>
      <c r="D110" s="84">
        <f>VLOOKUP($A110,'US Census Population Estimates'!$A$20:$AG$266,D$79,FALSE)</f>
        <v>27613</v>
      </c>
      <c r="E110" s="84">
        <f>VLOOKUP($A110,'US Census Population Estimates'!$A$20:$AG$266,E$79,FALSE)</f>
        <v>27820</v>
      </c>
      <c r="F110" s="84">
        <f>VLOOKUP($A110,'US Census Population Estimates'!$A$20:$AG$266,F$79,FALSE)</f>
        <v>28165</v>
      </c>
      <c r="G110" s="84">
        <f>VLOOKUP($A110,'US Census Population Estimates'!$A$20:$AG$266,G$79,FALSE)</f>
        <v>28553</v>
      </c>
      <c r="H110" s="84">
        <f>VLOOKUP($A110,'US Census Population Estimates'!$A$20:$AG$266,H$79,FALSE)</f>
        <v>28593</v>
      </c>
      <c r="I110" s="84">
        <f>VLOOKUP($A110,'US Census Population Estimates'!$A$20:$AG$266,I$79,FALSE)</f>
        <v>28872</v>
      </c>
      <c r="J110" s="84">
        <f>VLOOKUP($A110,'US Census Population Estimates'!$A$20:$AG$266,J$79,FALSE)</f>
        <v>28780</v>
      </c>
      <c r="K110" s="84">
        <f>VLOOKUP($A110,'US Census Population Estimates'!$A$20:$AG$266,K$79,FALSE)</f>
        <v>29441</v>
      </c>
      <c r="L110" s="84">
        <f>VLOOKUP($A110,'US Census Population Estimates'!$A$20:$AG$266,L$79,FALSE)</f>
        <v>30354</v>
      </c>
      <c r="M110" s="84">
        <f>VLOOKUP($A110,'US Census Population Estimates'!$A$20:$AG$266,M$79,FALSE)</f>
        <v>30925</v>
      </c>
      <c r="N110" s="84">
        <f>VLOOKUP($A110,'US Census Population Estimates'!$A$20:$AG$266,N$79,FALSE)</f>
        <v>31290</v>
      </c>
      <c r="O110" s="84">
        <f>VLOOKUP($A110,'US Census Population Estimates'!$A$20:$AG$266,O$79,FALSE)</f>
        <v>31701</v>
      </c>
      <c r="P110" s="84">
        <f>VLOOKUP($A110,'US Census Population Estimates'!$A$20:$AG$266,P$79,FALSE)</f>
        <v>31898</v>
      </c>
      <c r="Q110" s="84">
        <f>VLOOKUP($A110,'US Census Population Estimates'!$A$20:$AG$266,Q$79,FALSE)</f>
        <v>32022</v>
      </c>
      <c r="R110" s="84">
        <f>VLOOKUP($A110,'US Census Population Estimates'!$A$20:$AG$266,R$79,FALSE)</f>
        <v>32190</v>
      </c>
      <c r="S110" s="84">
        <f>VLOOKUP($A110,'US Census Population Estimates'!$A$20:$AG$266,S$79,FALSE)</f>
        <v>32068</v>
      </c>
      <c r="T110" s="84">
        <f>VLOOKUP($A110,'US Census Population Estimates'!$A$20:$AG$266,T$79,FALSE)</f>
        <v>32306</v>
      </c>
      <c r="U110" s="84">
        <f>VLOOKUP($A110,'US Census Population Estimates'!$A$20:$AG$266,U$79,FALSE)</f>
        <v>32473</v>
      </c>
      <c r="V110" s="84" t="str">
        <f>VLOOKUP($A110,'US Census Population Estimates'!$A$20:$AG$266,V$79,FALSE)</f>
        <v/>
      </c>
      <c r="W110" s="84" t="str">
        <f>VLOOKUP($A110,'US Census Population Estimates'!$A$20:$AG$266,W$79,FALSE)</f>
        <v/>
      </c>
      <c r="X110" s="84" t="str">
        <f>VLOOKUP($A110,'US Census Population Estimates'!$A$20:$AG$266,X$79,FALSE)</f>
        <v/>
      </c>
      <c r="Y110" s="84" t="str">
        <f>VLOOKUP($A110,'US Census Population Estimates'!$A$20:$AG$266,Y$79,FALSE)</f>
        <v/>
      </c>
      <c r="Z110" s="84" t="str">
        <f>VLOOKUP($A110,'US Census Population Estimates'!$A$20:$AG$266,Z$79,FALSE)</f>
        <v/>
      </c>
      <c r="AA110" s="84" t="str">
        <f>VLOOKUP($A110,'US Census Population Estimates'!$A$20:$AG$266,AA$79,FALSE)</f>
        <v/>
      </c>
      <c r="AB110" s="84" t="str">
        <f>VLOOKUP($A110,'US Census Population Estimates'!$A$20:$AG$266,AB$79,FALSE)</f>
        <v/>
      </c>
      <c r="AC110" s="84" t="str">
        <f>VLOOKUP($A110,'US Census Population Estimates'!$A$20:$AG$266,AC$79,FALSE)</f>
        <v/>
      </c>
      <c r="AD110" s="84" t="str">
        <f>VLOOKUP($A110,'US Census Population Estimates'!$A$20:$AG$266,AD$79,FALSE)</f>
        <v/>
      </c>
      <c r="AE110" s="84" t="str">
        <f>VLOOKUP($A110,'US Census Population Estimates'!$A$20:$AG$266,AE$79,FALSE)</f>
        <v/>
      </c>
      <c r="AF110" s="84" t="str">
        <f>VLOOKUP($A110,'US Census Population Estimates'!$A$20:$AG$266,AF$79,FALSE)</f>
        <v/>
      </c>
      <c r="AG110" s="88" t="str">
        <f>VLOOKUP($A110,'US Census Population Estimates'!$A$20:$AG$266,AG$79,FALSE)</f>
        <v/>
      </c>
      <c r="AH110" s="24"/>
      <c r="AI110" s="24"/>
      <c r="AJ110" s="24"/>
      <c r="AK110" s="24"/>
      <c r="AL110" s="24"/>
      <c r="AM110" s="24"/>
      <c r="AN110" s="24"/>
      <c r="AO110" s="24"/>
      <c r="AP110" s="24"/>
      <c r="AQ110" s="24"/>
      <c r="AR110" s="24"/>
      <c r="AS110" s="24"/>
      <c r="AT110" s="24"/>
      <c r="AU110" s="24"/>
      <c r="AV110" s="24"/>
      <c r="AW110" s="24"/>
      <c r="AX110" s="24"/>
      <c r="AY110" s="24"/>
      <c r="AZ110" s="24"/>
      <c r="BA110" s="24"/>
    </row>
    <row r="111" ht="12.75" customHeight="1">
      <c r="A111" s="46" t="s">
        <v>177</v>
      </c>
      <c r="B111" s="51" t="s">
        <v>173</v>
      </c>
      <c r="C111" s="84">
        <f>VLOOKUP($A111,'US Census Population Estimates'!$A$20:$AG$266,C$79,FALSE)</f>
        <v>3195</v>
      </c>
      <c r="D111" s="84">
        <f>VLOOKUP($A111,'US Census Population Estimates'!$A$20:$AG$266,D$79,FALSE)</f>
        <v>3195</v>
      </c>
      <c r="E111" s="84">
        <f>VLOOKUP($A111,'US Census Population Estimates'!$A$20:$AG$266,E$79,FALSE)</f>
        <v>3207</v>
      </c>
      <c r="F111" s="84">
        <f>VLOOKUP($A111,'US Census Population Estimates'!$A$20:$AG$266,F$79,FALSE)</f>
        <v>3224</v>
      </c>
      <c r="G111" s="84">
        <f>VLOOKUP($A111,'US Census Population Estimates'!$A$20:$AG$266,G$79,FALSE)</f>
        <v>3247</v>
      </c>
      <c r="H111" s="84">
        <f>VLOOKUP($A111,'US Census Population Estimates'!$A$20:$AG$266,H$79,FALSE)</f>
        <v>3273</v>
      </c>
      <c r="I111" s="84">
        <f>VLOOKUP($A111,'US Census Population Estimates'!$A$20:$AG$266,I$79,FALSE)</f>
        <v>3298</v>
      </c>
      <c r="J111" s="84">
        <f>VLOOKUP($A111,'US Census Population Estimates'!$A$20:$AG$266,J$79,FALSE)</f>
        <v>3357</v>
      </c>
      <c r="K111" s="84">
        <f>VLOOKUP($A111,'US Census Population Estimates'!$A$20:$AG$266,K$79,FALSE)</f>
        <v>3404</v>
      </c>
      <c r="L111" s="84">
        <f>VLOOKUP($A111,'US Census Population Estimates'!$A$20:$AG$266,L$79,FALSE)</f>
        <v>3462</v>
      </c>
      <c r="M111" s="84">
        <f>VLOOKUP($A111,'US Census Population Estimates'!$A$20:$AG$266,M$79,FALSE)</f>
        <v>3465</v>
      </c>
      <c r="N111" s="84">
        <f>VLOOKUP($A111,'US Census Population Estimates'!$A$20:$AG$266,N$79,FALSE)</f>
        <v>3446</v>
      </c>
      <c r="O111" s="84">
        <f>VLOOKUP($A111,'US Census Population Estimates'!$A$20:$AG$266,O$79,FALSE)</f>
        <v>3513</v>
      </c>
      <c r="P111" s="84">
        <f>VLOOKUP($A111,'US Census Population Estimates'!$A$20:$AG$266,P$79,FALSE)</f>
        <v>3649</v>
      </c>
      <c r="Q111" s="84">
        <f>VLOOKUP($A111,'US Census Population Estimates'!$A$20:$AG$266,Q$79,FALSE)</f>
        <v>3745</v>
      </c>
      <c r="R111" s="84">
        <f>VLOOKUP($A111,'US Census Population Estimates'!$A$20:$AG$266,R$79,FALSE)</f>
        <v>3853</v>
      </c>
      <c r="S111" s="84">
        <f>VLOOKUP($A111,'US Census Population Estimates'!$A$20:$AG$266,S$79,FALSE)</f>
        <v>3888</v>
      </c>
      <c r="T111" s="84">
        <f>VLOOKUP($A111,'US Census Population Estimates'!$A$20:$AG$266,T$79,FALSE)</f>
        <v>3899</v>
      </c>
      <c r="U111" s="84">
        <f>VLOOKUP($A111,'US Census Population Estimates'!$A$20:$AG$266,U$79,FALSE)</f>
        <v>3915</v>
      </c>
      <c r="V111" s="84" t="str">
        <f>VLOOKUP($A111,'US Census Population Estimates'!$A$20:$AG$266,V$79,FALSE)</f>
        <v/>
      </c>
      <c r="W111" s="84" t="str">
        <f>VLOOKUP($A111,'US Census Population Estimates'!$A$20:$AG$266,W$79,FALSE)</f>
        <v/>
      </c>
      <c r="X111" s="84" t="str">
        <f>VLOOKUP($A111,'US Census Population Estimates'!$A$20:$AG$266,X$79,FALSE)</f>
        <v/>
      </c>
      <c r="Y111" s="84" t="str">
        <f>VLOOKUP($A111,'US Census Population Estimates'!$A$20:$AG$266,Y$79,FALSE)</f>
        <v/>
      </c>
      <c r="Z111" s="84" t="str">
        <f>VLOOKUP($A111,'US Census Population Estimates'!$A$20:$AG$266,Z$79,FALSE)</f>
        <v/>
      </c>
      <c r="AA111" s="84" t="str">
        <f>VLOOKUP($A111,'US Census Population Estimates'!$A$20:$AG$266,AA$79,FALSE)</f>
        <v/>
      </c>
      <c r="AB111" s="84" t="str">
        <f>VLOOKUP($A111,'US Census Population Estimates'!$A$20:$AG$266,AB$79,FALSE)</f>
        <v/>
      </c>
      <c r="AC111" s="84" t="str">
        <f>VLOOKUP($A111,'US Census Population Estimates'!$A$20:$AG$266,AC$79,FALSE)</f>
        <v/>
      </c>
      <c r="AD111" s="84" t="str">
        <f>VLOOKUP($A111,'US Census Population Estimates'!$A$20:$AG$266,AD$79,FALSE)</f>
        <v/>
      </c>
      <c r="AE111" s="84" t="str">
        <f>VLOOKUP($A111,'US Census Population Estimates'!$A$20:$AG$266,AE$79,FALSE)</f>
        <v/>
      </c>
      <c r="AF111" s="84" t="str">
        <f>VLOOKUP($A111,'US Census Population Estimates'!$A$20:$AG$266,AF$79,FALSE)</f>
        <v/>
      </c>
      <c r="AG111" s="88" t="str">
        <f>VLOOKUP($A111,'US Census Population Estimates'!$A$20:$AG$266,AG$79,FALSE)</f>
        <v/>
      </c>
      <c r="AH111" s="24"/>
      <c r="AI111" s="24"/>
      <c r="AJ111" s="24"/>
      <c r="AK111" s="24"/>
      <c r="AL111" s="24"/>
      <c r="AM111" s="24"/>
      <c r="AN111" s="24"/>
      <c r="AO111" s="24"/>
      <c r="AP111" s="24"/>
      <c r="AQ111" s="24"/>
      <c r="AR111" s="24"/>
      <c r="AS111" s="24"/>
      <c r="AT111" s="24"/>
      <c r="AU111" s="24"/>
      <c r="AV111" s="24"/>
      <c r="AW111" s="24"/>
      <c r="AX111" s="24"/>
      <c r="AY111" s="24"/>
      <c r="AZ111" s="24"/>
      <c r="BA111" s="24"/>
    </row>
    <row r="112" ht="12.75" customHeight="1">
      <c r="A112" s="46" t="s">
        <v>178</v>
      </c>
      <c r="B112" s="51" t="s">
        <v>173</v>
      </c>
      <c r="C112" s="84">
        <f>VLOOKUP($A112,'US Census Population Estimates'!$A$20:$AG$266,C$79,FALSE)</f>
        <v>9083</v>
      </c>
      <c r="D112" s="84">
        <f>VLOOKUP($A112,'US Census Population Estimates'!$A$20:$AG$266,D$79,FALSE)</f>
        <v>8796</v>
      </c>
      <c r="E112" s="84">
        <f>VLOOKUP($A112,'US Census Population Estimates'!$A$20:$AG$266,E$79,FALSE)</f>
        <v>8839</v>
      </c>
      <c r="F112" s="84">
        <f>VLOOKUP($A112,'US Census Population Estimates'!$A$20:$AG$266,F$79,FALSE)</f>
        <v>8847</v>
      </c>
      <c r="G112" s="84">
        <f>VLOOKUP($A112,'US Census Population Estimates'!$A$20:$AG$266,G$79,FALSE)</f>
        <v>8857</v>
      </c>
      <c r="H112" s="84">
        <f>VLOOKUP($A112,'US Census Population Estimates'!$A$20:$AG$266,H$79,FALSE)</f>
        <v>8767</v>
      </c>
      <c r="I112" s="84">
        <f>VLOOKUP($A112,'US Census Population Estimates'!$A$20:$AG$266,I$79,FALSE)</f>
        <v>8776</v>
      </c>
      <c r="J112" s="84">
        <f>VLOOKUP($A112,'US Census Population Estimates'!$A$20:$AG$266,J$79,FALSE)</f>
        <v>8995</v>
      </c>
      <c r="K112" s="84">
        <f>VLOOKUP($A112,'US Census Population Estimates'!$A$20:$AG$266,K$79,FALSE)</f>
        <v>9071</v>
      </c>
      <c r="L112" s="84">
        <f>VLOOKUP($A112,'US Census Population Estimates'!$A$20:$AG$266,L$79,FALSE)</f>
        <v>9310</v>
      </c>
      <c r="M112" s="84">
        <f>VLOOKUP($A112,'US Census Population Estimates'!$A$20:$AG$266,M$79,FALSE)</f>
        <v>9235</v>
      </c>
      <c r="N112" s="84">
        <f>VLOOKUP($A112,'US Census Population Estimates'!$A$20:$AG$266,N$79,FALSE)</f>
        <v>9219</v>
      </c>
      <c r="O112" s="84">
        <f>VLOOKUP($A112,'US Census Population Estimates'!$A$20:$AG$266,O$79,FALSE)</f>
        <v>9142</v>
      </c>
      <c r="P112" s="84">
        <f>VLOOKUP($A112,'US Census Population Estimates'!$A$20:$AG$266,P$79,FALSE)</f>
        <v>9224</v>
      </c>
      <c r="Q112" s="84">
        <f>VLOOKUP($A112,'US Census Population Estimates'!$A$20:$AG$266,Q$79,FALSE)</f>
        <v>9235</v>
      </c>
      <c r="R112" s="84">
        <f>VLOOKUP($A112,'US Census Population Estimates'!$A$20:$AG$266,R$79,FALSE)</f>
        <v>9077</v>
      </c>
      <c r="S112" s="84">
        <f>VLOOKUP($A112,'US Census Population Estimates'!$A$20:$AG$266,S$79,FALSE)</f>
        <v>9111</v>
      </c>
      <c r="T112" s="84">
        <f>VLOOKUP($A112,'US Census Population Estimates'!$A$20:$AG$266,T$79,FALSE)</f>
        <v>8858</v>
      </c>
      <c r="U112" s="84">
        <f>VLOOKUP($A112,'US Census Population Estimates'!$A$20:$AG$266,U$79,FALSE)</f>
        <v>8658</v>
      </c>
      <c r="V112" s="84" t="str">
        <f>VLOOKUP($A112,'US Census Population Estimates'!$A$20:$AG$266,V$79,FALSE)</f>
        <v/>
      </c>
      <c r="W112" s="84" t="str">
        <f>VLOOKUP($A112,'US Census Population Estimates'!$A$20:$AG$266,W$79,FALSE)</f>
        <v/>
      </c>
      <c r="X112" s="84" t="str">
        <f>VLOOKUP($A112,'US Census Population Estimates'!$A$20:$AG$266,X$79,FALSE)</f>
        <v/>
      </c>
      <c r="Y112" s="84" t="str">
        <f>VLOOKUP($A112,'US Census Population Estimates'!$A$20:$AG$266,Y$79,FALSE)</f>
        <v/>
      </c>
      <c r="Z112" s="84" t="str">
        <f>VLOOKUP($A112,'US Census Population Estimates'!$A$20:$AG$266,Z$79,FALSE)</f>
        <v/>
      </c>
      <c r="AA112" s="84" t="str">
        <f>VLOOKUP($A112,'US Census Population Estimates'!$A$20:$AG$266,AA$79,FALSE)</f>
        <v/>
      </c>
      <c r="AB112" s="84" t="str">
        <f>VLOOKUP($A112,'US Census Population Estimates'!$A$20:$AG$266,AB$79,FALSE)</f>
        <v/>
      </c>
      <c r="AC112" s="84" t="str">
        <f>VLOOKUP($A112,'US Census Population Estimates'!$A$20:$AG$266,AC$79,FALSE)</f>
        <v/>
      </c>
      <c r="AD112" s="84" t="str">
        <f>VLOOKUP($A112,'US Census Population Estimates'!$A$20:$AG$266,AD$79,FALSE)</f>
        <v/>
      </c>
      <c r="AE112" s="84" t="str">
        <f>VLOOKUP($A112,'US Census Population Estimates'!$A$20:$AG$266,AE$79,FALSE)</f>
        <v/>
      </c>
      <c r="AF112" s="84" t="str">
        <f>VLOOKUP($A112,'US Census Population Estimates'!$A$20:$AG$266,AF$79,FALSE)</f>
        <v/>
      </c>
      <c r="AG112" s="88" t="str">
        <f>VLOOKUP($A112,'US Census Population Estimates'!$A$20:$AG$266,AG$79,FALSE)</f>
        <v/>
      </c>
      <c r="AH112" s="24"/>
      <c r="AI112" s="24"/>
      <c r="AJ112" s="24"/>
      <c r="AK112" s="24"/>
      <c r="AL112" s="24"/>
      <c r="AM112" s="24"/>
      <c r="AN112" s="24"/>
      <c r="AO112" s="24"/>
      <c r="AP112" s="24"/>
      <c r="AQ112" s="24"/>
      <c r="AR112" s="24"/>
      <c r="AS112" s="24"/>
      <c r="AT112" s="24"/>
      <c r="AU112" s="24"/>
      <c r="AV112" s="24"/>
      <c r="AW112" s="24"/>
      <c r="AX112" s="24"/>
      <c r="AY112" s="24"/>
      <c r="AZ112" s="24"/>
      <c r="BA112" s="24"/>
    </row>
    <row r="113" ht="12.75" customHeight="1">
      <c r="A113" s="349" t="s">
        <v>300</v>
      </c>
      <c r="B113" s="350"/>
      <c r="C113" s="488" t="s">
        <v>510</v>
      </c>
      <c r="D113" s="490" t="s">
        <v>381</v>
      </c>
      <c r="E113" s="490" t="s">
        <v>381</v>
      </c>
      <c r="F113" s="490" t="s">
        <v>381</v>
      </c>
      <c r="G113" s="490" t="s">
        <v>381</v>
      </c>
      <c r="H113" s="490" t="s">
        <v>381</v>
      </c>
      <c r="I113" s="490" t="s">
        <v>381</v>
      </c>
      <c r="J113" s="490" t="s">
        <v>381</v>
      </c>
      <c r="K113" s="490" t="s">
        <v>381</v>
      </c>
      <c r="L113" s="490" t="s">
        <v>381</v>
      </c>
      <c r="M113" s="490" t="s">
        <v>381</v>
      </c>
      <c r="N113" s="490" t="s">
        <v>381</v>
      </c>
      <c r="O113" s="490" t="s">
        <v>381</v>
      </c>
      <c r="P113" s="490" t="s">
        <v>381</v>
      </c>
      <c r="Q113" s="488" t="s">
        <v>510</v>
      </c>
      <c r="R113" s="490" t="s">
        <v>381</v>
      </c>
      <c r="S113" s="490" t="s">
        <v>381</v>
      </c>
      <c r="T113" s="490" t="s">
        <v>381</v>
      </c>
      <c r="U113" s="490" t="s">
        <v>381</v>
      </c>
      <c r="V113" s="490"/>
      <c r="W113" s="490"/>
      <c r="X113" s="490"/>
      <c r="Y113" s="490"/>
      <c r="Z113" s="490"/>
      <c r="AA113" s="490"/>
      <c r="AB113" s="490"/>
      <c r="AC113" s="490"/>
      <c r="AD113" s="490"/>
      <c r="AE113" s="490"/>
      <c r="AF113" s="490"/>
      <c r="AG113" s="492"/>
      <c r="AH113" s="24"/>
      <c r="AI113" s="24"/>
      <c r="AJ113" s="24"/>
      <c r="AK113" s="24"/>
      <c r="AL113" s="24"/>
      <c r="AM113" s="24"/>
      <c r="AN113" s="24"/>
      <c r="AO113" s="24"/>
      <c r="AP113" s="24"/>
      <c r="AQ113" s="24"/>
      <c r="AR113" s="24"/>
      <c r="AS113" s="24"/>
      <c r="AT113" s="24"/>
      <c r="AU113" s="24"/>
      <c r="AV113" s="24"/>
      <c r="AW113" s="24"/>
      <c r="AX113" s="24"/>
      <c r="AY113" s="24"/>
      <c r="AZ113" s="24"/>
      <c r="BA113" s="24"/>
    </row>
    <row r="114" ht="12.75" customHeight="1">
      <c r="A114" s="46" t="s">
        <v>544</v>
      </c>
      <c r="B114" s="51" t="s">
        <v>51</v>
      </c>
      <c r="C114" s="301">
        <v>17604.0</v>
      </c>
      <c r="D114" s="84">
        <f t="shared" ref="D114:P114" si="29">$C$114*D127/$C$127</f>
        <v>16816.46754</v>
      </c>
      <c r="E114" s="84">
        <f t="shared" si="29"/>
        <v>16889.69749</v>
      </c>
      <c r="F114" s="84">
        <f t="shared" si="29"/>
        <v>15669.69327</v>
      </c>
      <c r="G114" s="84">
        <f t="shared" si="29"/>
        <v>14064.84555</v>
      </c>
      <c r="H114" s="84">
        <f t="shared" si="29"/>
        <v>14303.50185</v>
      </c>
      <c r="I114" s="84">
        <f t="shared" si="29"/>
        <v>13987.4345</v>
      </c>
      <c r="J114" s="84">
        <f t="shared" si="29"/>
        <v>17741.8553</v>
      </c>
      <c r="K114" s="84">
        <f t="shared" si="29"/>
        <v>18848.3031</v>
      </c>
      <c r="L114" s="84">
        <f t="shared" si="29"/>
        <v>15091.00401</v>
      </c>
      <c r="M114" s="84">
        <f t="shared" si="29"/>
        <v>22460.29362</v>
      </c>
      <c r="N114" s="84">
        <f t="shared" si="29"/>
        <v>30628.53799</v>
      </c>
      <c r="O114" s="84">
        <f t="shared" si="29"/>
        <v>38577.45609</v>
      </c>
      <c r="P114" s="84">
        <f t="shared" si="29"/>
        <v>47335.29695</v>
      </c>
      <c r="Q114" s="48">
        <f>20039*1.613</f>
        <v>32322.907</v>
      </c>
      <c r="R114" s="495">
        <f t="shared" ref="R114:AG114" si="30">$Q$114*R127/$Q$127</f>
        <v>42885.83509</v>
      </c>
      <c r="S114" s="495">
        <f t="shared" si="30"/>
        <v>41181.76457</v>
      </c>
      <c r="T114" s="495">
        <f t="shared" si="30"/>
        <v>61162.37036</v>
      </c>
      <c r="U114" s="495">
        <f t="shared" si="30"/>
        <v>78727.66807</v>
      </c>
      <c r="V114" s="495">
        <f t="shared" si="30"/>
        <v>0</v>
      </c>
      <c r="W114" s="495">
        <f t="shared" si="30"/>
        <v>0</v>
      </c>
      <c r="X114" s="495">
        <f t="shared" si="30"/>
        <v>0</v>
      </c>
      <c r="Y114" s="495">
        <f t="shared" si="30"/>
        <v>0</v>
      </c>
      <c r="Z114" s="495">
        <f t="shared" si="30"/>
        <v>0</v>
      </c>
      <c r="AA114" s="495">
        <f t="shared" si="30"/>
        <v>0</v>
      </c>
      <c r="AB114" s="495">
        <f t="shared" si="30"/>
        <v>0</v>
      </c>
      <c r="AC114" s="495">
        <f t="shared" si="30"/>
        <v>0</v>
      </c>
      <c r="AD114" s="495">
        <f t="shared" si="30"/>
        <v>0</v>
      </c>
      <c r="AE114" s="495">
        <f t="shared" si="30"/>
        <v>0</v>
      </c>
      <c r="AF114" s="495">
        <f t="shared" si="30"/>
        <v>0</v>
      </c>
      <c r="AG114" s="497">
        <f t="shared" si="30"/>
        <v>0</v>
      </c>
      <c r="AH114" s="24"/>
      <c r="AI114" s="24"/>
      <c r="AJ114" s="24"/>
      <c r="AK114" s="24"/>
      <c r="AL114" s="24"/>
      <c r="AM114" s="24"/>
      <c r="AN114" s="24"/>
      <c r="AO114" s="24"/>
      <c r="AP114" s="24"/>
      <c r="AQ114" s="24"/>
      <c r="AR114" s="24"/>
      <c r="AS114" s="24"/>
      <c r="AT114" s="24"/>
      <c r="AU114" s="24"/>
      <c r="AV114" s="24"/>
      <c r="AW114" s="24"/>
      <c r="AX114" s="24"/>
      <c r="AY114" s="24"/>
      <c r="AZ114" s="24"/>
      <c r="BA114" s="24"/>
    </row>
    <row r="115" ht="12.75" customHeight="1">
      <c r="A115" s="46" t="s">
        <v>544</v>
      </c>
      <c r="B115" s="51" t="s">
        <v>52</v>
      </c>
      <c r="C115" s="301">
        <v>2673.0</v>
      </c>
      <c r="D115" s="84">
        <f t="shared" ref="D115:P115" si="31">$C$115*D127/$C$127</f>
        <v>2553.420685</v>
      </c>
      <c r="E115" s="84">
        <f t="shared" si="31"/>
        <v>2564.539956</v>
      </c>
      <c r="F115" s="84">
        <f t="shared" si="31"/>
        <v>2379.293917</v>
      </c>
      <c r="G115" s="84">
        <f t="shared" si="31"/>
        <v>2135.613052</v>
      </c>
      <c r="H115" s="84">
        <f t="shared" si="31"/>
        <v>2171.850741</v>
      </c>
      <c r="I115" s="84">
        <f t="shared" si="31"/>
        <v>2123.85892</v>
      </c>
      <c r="J115" s="84">
        <f t="shared" si="31"/>
        <v>2693.932016</v>
      </c>
      <c r="K115" s="84">
        <f t="shared" si="31"/>
        <v>2861.935594</v>
      </c>
      <c r="L115" s="84">
        <f t="shared" si="31"/>
        <v>2291.425456</v>
      </c>
      <c r="M115" s="84">
        <f t="shared" si="31"/>
        <v>3410.382007</v>
      </c>
      <c r="N115" s="84">
        <f t="shared" si="31"/>
        <v>4650.652241</v>
      </c>
      <c r="O115" s="84">
        <f t="shared" si="31"/>
        <v>5857.619867</v>
      </c>
      <c r="P115" s="84">
        <f t="shared" si="31"/>
        <v>7187.414721</v>
      </c>
      <c r="Q115" s="48">
        <f>2674*1.613</f>
        <v>4313.162</v>
      </c>
      <c r="R115" s="495">
        <f t="shared" ref="R115:AG115" si="32">$Q$115*R127/$Q$127</f>
        <v>5722.676932</v>
      </c>
      <c r="S115" s="495">
        <f t="shared" si="32"/>
        <v>5495.286114</v>
      </c>
      <c r="T115" s="495">
        <f t="shared" si="32"/>
        <v>8161.494004</v>
      </c>
      <c r="U115" s="495">
        <f t="shared" si="32"/>
        <v>10505.40368</v>
      </c>
      <c r="V115" s="495">
        <f t="shared" si="32"/>
        <v>0</v>
      </c>
      <c r="W115" s="495">
        <f t="shared" si="32"/>
        <v>0</v>
      </c>
      <c r="X115" s="495">
        <f t="shared" si="32"/>
        <v>0</v>
      </c>
      <c r="Y115" s="495">
        <f t="shared" si="32"/>
        <v>0</v>
      </c>
      <c r="Z115" s="495">
        <f t="shared" si="32"/>
        <v>0</v>
      </c>
      <c r="AA115" s="495">
        <f t="shared" si="32"/>
        <v>0</v>
      </c>
      <c r="AB115" s="495">
        <f t="shared" si="32"/>
        <v>0</v>
      </c>
      <c r="AC115" s="495">
        <f t="shared" si="32"/>
        <v>0</v>
      </c>
      <c r="AD115" s="495">
        <f t="shared" si="32"/>
        <v>0</v>
      </c>
      <c r="AE115" s="495">
        <f t="shared" si="32"/>
        <v>0</v>
      </c>
      <c r="AF115" s="495">
        <f t="shared" si="32"/>
        <v>0</v>
      </c>
      <c r="AG115" s="497">
        <f t="shared" si="32"/>
        <v>0</v>
      </c>
      <c r="AH115" s="24"/>
      <c r="AI115" s="24"/>
      <c r="AJ115" s="24"/>
      <c r="AK115" s="24"/>
      <c r="AL115" s="24"/>
      <c r="AM115" s="24"/>
      <c r="AN115" s="24"/>
      <c r="AO115" s="24"/>
      <c r="AP115" s="24"/>
      <c r="AQ115" s="24"/>
      <c r="AR115" s="24"/>
      <c r="AS115" s="24"/>
      <c r="AT115" s="24"/>
      <c r="AU115" s="24"/>
      <c r="AV115" s="24"/>
      <c r="AW115" s="24"/>
      <c r="AX115" s="24"/>
      <c r="AY115" s="24"/>
      <c r="AZ115" s="24"/>
      <c r="BA115" s="24"/>
    </row>
    <row r="116" ht="12.75" customHeight="1">
      <c r="A116" s="46" t="s">
        <v>563</v>
      </c>
      <c r="B116" s="51" t="s">
        <v>51</v>
      </c>
      <c r="C116" s="301">
        <v>17457.0</v>
      </c>
      <c r="D116" s="84">
        <f t="shared" ref="D116:P116" si="33">$C$116*SUM(D128:D131)/SUM($C$128:$C$131)</f>
        <v>18331.67913</v>
      </c>
      <c r="E116" s="84">
        <f t="shared" si="33"/>
        <v>17664.29613</v>
      </c>
      <c r="F116" s="84">
        <f t="shared" si="33"/>
        <v>16874.49667</v>
      </c>
      <c r="G116" s="84">
        <f t="shared" si="33"/>
        <v>19381.45548</v>
      </c>
      <c r="H116" s="84">
        <f t="shared" si="33"/>
        <v>23498.60802</v>
      </c>
      <c r="I116" s="84">
        <f t="shared" si="33"/>
        <v>25689.05627</v>
      </c>
      <c r="J116" s="84">
        <f t="shared" si="33"/>
        <v>25866.56677</v>
      </c>
      <c r="K116" s="84">
        <f t="shared" si="33"/>
        <v>26839.33002</v>
      </c>
      <c r="L116" s="84">
        <f t="shared" si="33"/>
        <v>24373.10685</v>
      </c>
      <c r="M116" s="84">
        <f t="shared" si="33"/>
        <v>34244.5721</v>
      </c>
      <c r="N116" s="84">
        <f t="shared" si="33"/>
        <v>30845.78931</v>
      </c>
      <c r="O116" s="84">
        <f t="shared" si="33"/>
        <v>27002.69221</v>
      </c>
      <c r="P116" s="84">
        <f t="shared" si="33"/>
        <v>29300.06288</v>
      </c>
      <c r="Q116" s="48">
        <f>21657*1.613</f>
        <v>34932.741</v>
      </c>
      <c r="R116" s="495">
        <f t="shared" ref="R116:AG116" si="34">$Q$116*SUM(R128:R131)/SUM($Q$128:$Q$131)</f>
        <v>33939.4134</v>
      </c>
      <c r="S116" s="495">
        <f t="shared" si="34"/>
        <v>24063.03283</v>
      </c>
      <c r="T116" s="495">
        <f t="shared" si="34"/>
        <v>25140.7696</v>
      </c>
      <c r="U116" s="495">
        <f t="shared" si="34"/>
        <v>25028.7986</v>
      </c>
      <c r="V116" s="495">
        <f t="shared" si="34"/>
        <v>0</v>
      </c>
      <c r="W116" s="495">
        <f t="shared" si="34"/>
        <v>0</v>
      </c>
      <c r="X116" s="495">
        <f t="shared" si="34"/>
        <v>0</v>
      </c>
      <c r="Y116" s="495">
        <f t="shared" si="34"/>
        <v>0</v>
      </c>
      <c r="Z116" s="495">
        <f t="shared" si="34"/>
        <v>0</v>
      </c>
      <c r="AA116" s="495">
        <f t="shared" si="34"/>
        <v>0</v>
      </c>
      <c r="AB116" s="495">
        <f t="shared" si="34"/>
        <v>0</v>
      </c>
      <c r="AC116" s="495">
        <f t="shared" si="34"/>
        <v>0</v>
      </c>
      <c r="AD116" s="495">
        <f t="shared" si="34"/>
        <v>0</v>
      </c>
      <c r="AE116" s="495">
        <f t="shared" si="34"/>
        <v>0</v>
      </c>
      <c r="AF116" s="495">
        <f t="shared" si="34"/>
        <v>0</v>
      </c>
      <c r="AG116" s="497">
        <f t="shared" si="34"/>
        <v>0</v>
      </c>
      <c r="AH116" s="24"/>
      <c r="AI116" s="24"/>
      <c r="AJ116" s="24"/>
      <c r="AK116" s="24"/>
      <c r="AL116" s="24"/>
      <c r="AM116" s="24"/>
      <c r="AN116" s="24"/>
      <c r="AO116" s="24"/>
      <c r="AP116" s="24"/>
      <c r="AQ116" s="24"/>
      <c r="AR116" s="24"/>
      <c r="AS116" s="24"/>
      <c r="AT116" s="24"/>
      <c r="AU116" s="24"/>
      <c r="AV116" s="24"/>
      <c r="AW116" s="24"/>
      <c r="AX116" s="24"/>
      <c r="AY116" s="24"/>
      <c r="AZ116" s="24"/>
      <c r="BA116" s="24"/>
    </row>
    <row r="117" ht="12.75" customHeight="1">
      <c r="A117" s="46" t="s">
        <v>563</v>
      </c>
      <c r="B117" s="51" t="s">
        <v>52</v>
      </c>
      <c r="C117" s="301">
        <v>451.0</v>
      </c>
      <c r="D117" s="84">
        <f t="shared" ref="D117:P117" si="35">$C$117*SUM(D128:D131)/SUM($C$128:$C$131)</f>
        <v>473.5972553</v>
      </c>
      <c r="E117" s="84">
        <f t="shared" si="35"/>
        <v>456.3554767</v>
      </c>
      <c r="F117" s="84">
        <f t="shared" si="35"/>
        <v>435.9510796</v>
      </c>
      <c r="G117" s="84">
        <f t="shared" si="35"/>
        <v>500.7181315</v>
      </c>
      <c r="H117" s="84">
        <f t="shared" si="35"/>
        <v>607.0843912</v>
      </c>
      <c r="I117" s="84">
        <f t="shared" si="35"/>
        <v>663.6744216</v>
      </c>
      <c r="J117" s="84">
        <f t="shared" si="35"/>
        <v>668.2603892</v>
      </c>
      <c r="K117" s="84">
        <f t="shared" si="35"/>
        <v>693.3916388</v>
      </c>
      <c r="L117" s="84">
        <f t="shared" si="35"/>
        <v>629.6769887</v>
      </c>
      <c r="M117" s="84">
        <f t="shared" si="35"/>
        <v>884.7053913</v>
      </c>
      <c r="N117" s="84">
        <f t="shared" si="35"/>
        <v>796.8981486</v>
      </c>
      <c r="O117" s="84">
        <f t="shared" si="35"/>
        <v>697.6120862</v>
      </c>
      <c r="P117" s="84">
        <f t="shared" si="35"/>
        <v>756.9644475</v>
      </c>
      <c r="Q117" s="48">
        <f>451*1.613</f>
        <v>727.463</v>
      </c>
      <c r="R117" s="495">
        <f t="shared" ref="R117:AG117" si="36">$Q$117*SUM(R128:R131)/SUM($Q$128:$Q$131)</f>
        <v>706.777275</v>
      </c>
      <c r="S117" s="495">
        <f t="shared" si="36"/>
        <v>501.1048533</v>
      </c>
      <c r="T117" s="495">
        <f t="shared" si="36"/>
        <v>523.5483719</v>
      </c>
      <c r="U117" s="495">
        <f t="shared" si="36"/>
        <v>521.2166122</v>
      </c>
      <c r="V117" s="495">
        <f t="shared" si="36"/>
        <v>0</v>
      </c>
      <c r="W117" s="495">
        <f t="shared" si="36"/>
        <v>0</v>
      </c>
      <c r="X117" s="495">
        <f t="shared" si="36"/>
        <v>0</v>
      </c>
      <c r="Y117" s="495">
        <f t="shared" si="36"/>
        <v>0</v>
      </c>
      <c r="Z117" s="495">
        <f t="shared" si="36"/>
        <v>0</v>
      </c>
      <c r="AA117" s="495">
        <f t="shared" si="36"/>
        <v>0</v>
      </c>
      <c r="AB117" s="495">
        <f t="shared" si="36"/>
        <v>0</v>
      </c>
      <c r="AC117" s="495">
        <f t="shared" si="36"/>
        <v>0</v>
      </c>
      <c r="AD117" s="495">
        <f t="shared" si="36"/>
        <v>0</v>
      </c>
      <c r="AE117" s="495">
        <f t="shared" si="36"/>
        <v>0</v>
      </c>
      <c r="AF117" s="495">
        <f t="shared" si="36"/>
        <v>0</v>
      </c>
      <c r="AG117" s="497">
        <f t="shared" si="36"/>
        <v>0</v>
      </c>
      <c r="AH117" s="24"/>
      <c r="AI117" s="24"/>
      <c r="AJ117" s="24"/>
      <c r="AK117" s="24"/>
      <c r="AL117" s="24"/>
      <c r="AM117" s="24"/>
      <c r="AN117" s="24"/>
      <c r="AO117" s="24"/>
      <c r="AP117" s="24"/>
      <c r="AQ117" s="24"/>
      <c r="AR117" s="24"/>
      <c r="AS117" s="24"/>
      <c r="AT117" s="24"/>
      <c r="AU117" s="24"/>
      <c r="AV117" s="24"/>
      <c r="AW117" s="24"/>
      <c r="AX117" s="24"/>
      <c r="AY117" s="24"/>
      <c r="AZ117" s="24"/>
      <c r="BA117" s="24"/>
    </row>
    <row r="118" ht="12.75" customHeight="1">
      <c r="A118" s="500" t="s">
        <v>564</v>
      </c>
      <c r="B118" s="501" t="s">
        <v>51</v>
      </c>
      <c r="C118" s="301">
        <v>5225.0</v>
      </c>
      <c r="D118" s="84">
        <f t="shared" ref="D118:P118" si="37">$C$118*D133/$D$133</f>
        <v>5225</v>
      </c>
      <c r="E118" s="84">
        <f t="shared" si="37"/>
        <v>5341.91251</v>
      </c>
      <c r="F118" s="84">
        <f t="shared" si="37"/>
        <v>4917.830367</v>
      </c>
      <c r="G118" s="84">
        <f t="shared" si="37"/>
        <v>5402.065999</v>
      </c>
      <c r="H118" s="84">
        <f t="shared" si="37"/>
        <v>5271.630338</v>
      </c>
      <c r="I118" s="84">
        <f t="shared" si="37"/>
        <v>5357.726463</v>
      </c>
      <c r="J118" s="84">
        <f t="shared" si="37"/>
        <v>5283.550855</v>
      </c>
      <c r="K118" s="84">
        <f t="shared" si="37"/>
        <v>5229.709592</v>
      </c>
      <c r="L118" s="84">
        <f t="shared" si="37"/>
        <v>4653.755632</v>
      </c>
      <c r="M118" s="84">
        <f t="shared" si="37"/>
        <v>4365.813895</v>
      </c>
      <c r="N118" s="84">
        <f t="shared" si="37"/>
        <v>4691.905366</v>
      </c>
      <c r="O118" s="84">
        <f t="shared" si="37"/>
        <v>4550.543415</v>
      </c>
      <c r="P118" s="84">
        <f t="shared" si="37"/>
        <v>4910.917153</v>
      </c>
      <c r="Q118" s="48">
        <f>6375*1.613</f>
        <v>10282.875</v>
      </c>
      <c r="R118" s="495">
        <f t="shared" ref="R118:AG118" si="38">$Q$118*R133/$Q$133</f>
        <v>10198.61542</v>
      </c>
      <c r="S118" s="495">
        <f t="shared" si="38"/>
        <v>10094.53378</v>
      </c>
      <c r="T118" s="495">
        <f t="shared" si="38"/>
        <v>8966.696424</v>
      </c>
      <c r="U118" s="495">
        <f t="shared" si="38"/>
        <v>8787.387412</v>
      </c>
      <c r="V118" s="495">
        <f t="shared" si="38"/>
        <v>0</v>
      </c>
      <c r="W118" s="495">
        <f t="shared" si="38"/>
        <v>0</v>
      </c>
      <c r="X118" s="495">
        <f t="shared" si="38"/>
        <v>0</v>
      </c>
      <c r="Y118" s="495">
        <f t="shared" si="38"/>
        <v>0</v>
      </c>
      <c r="Z118" s="495">
        <f t="shared" si="38"/>
        <v>0</v>
      </c>
      <c r="AA118" s="495">
        <f t="shared" si="38"/>
        <v>0</v>
      </c>
      <c r="AB118" s="495">
        <f t="shared" si="38"/>
        <v>0</v>
      </c>
      <c r="AC118" s="495">
        <f t="shared" si="38"/>
        <v>0</v>
      </c>
      <c r="AD118" s="495">
        <f t="shared" si="38"/>
        <v>0</v>
      </c>
      <c r="AE118" s="495">
        <f t="shared" si="38"/>
        <v>0</v>
      </c>
      <c r="AF118" s="495">
        <f t="shared" si="38"/>
        <v>0</v>
      </c>
      <c r="AG118" s="497">
        <f t="shared" si="38"/>
        <v>0</v>
      </c>
      <c r="AH118" s="24"/>
      <c r="AI118" s="24"/>
      <c r="AJ118" s="24"/>
      <c r="AK118" s="24"/>
      <c r="AL118" s="24"/>
      <c r="AM118" s="24"/>
      <c r="AN118" s="24"/>
      <c r="AO118" s="24"/>
      <c r="AP118" s="24"/>
      <c r="AQ118" s="24"/>
      <c r="AR118" s="24"/>
      <c r="AS118" s="24"/>
      <c r="AT118" s="24"/>
      <c r="AU118" s="24"/>
      <c r="AV118" s="24"/>
      <c r="AW118" s="24"/>
      <c r="AX118" s="24"/>
      <c r="AY118" s="24"/>
      <c r="AZ118" s="24"/>
      <c r="BA118" s="24"/>
    </row>
    <row r="119" ht="12.75" customHeight="1">
      <c r="A119" s="500" t="s">
        <v>564</v>
      </c>
      <c r="B119" s="501" t="s">
        <v>52</v>
      </c>
      <c r="C119" s="301">
        <v>10303.0</v>
      </c>
      <c r="D119" s="84">
        <f t="shared" ref="D119:P119" si="39">$C$119*D134/$D$134</f>
        <v>10303</v>
      </c>
      <c r="E119" s="84">
        <f t="shared" si="39"/>
        <v>10240.55356</v>
      </c>
      <c r="F119" s="84">
        <f t="shared" si="39"/>
        <v>10821.72656</v>
      </c>
      <c r="G119" s="84">
        <f t="shared" si="39"/>
        <v>10597.44336</v>
      </c>
      <c r="H119" s="84">
        <f t="shared" si="39"/>
        <v>10757.48447</v>
      </c>
      <c r="I119" s="84">
        <f t="shared" si="39"/>
        <v>10553.85458</v>
      </c>
      <c r="J119" s="84">
        <f t="shared" si="39"/>
        <v>10148.23435</v>
      </c>
      <c r="K119" s="84">
        <f t="shared" si="39"/>
        <v>10160.39341</v>
      </c>
      <c r="L119" s="84">
        <f t="shared" si="39"/>
        <v>9640.202411</v>
      </c>
      <c r="M119" s="84">
        <f t="shared" si="39"/>
        <v>10298.29859</v>
      </c>
      <c r="N119" s="84">
        <f t="shared" si="39"/>
        <v>10092.31222</v>
      </c>
      <c r="O119" s="84">
        <f t="shared" si="39"/>
        <v>9083.868723</v>
      </c>
      <c r="P119" s="84">
        <f t="shared" si="39"/>
        <v>9723.367422</v>
      </c>
      <c r="Q119" s="48">
        <f>10303*1.613</f>
        <v>16618.739</v>
      </c>
      <c r="R119" s="495">
        <f t="shared" ref="R119:AG119" si="40">$Q$119*R134/$Q$134</f>
        <v>17643.47456</v>
      </c>
      <c r="S119" s="495">
        <f t="shared" si="40"/>
        <v>16916.3367</v>
      </c>
      <c r="T119" s="495">
        <f t="shared" si="40"/>
        <v>16860.5469</v>
      </c>
      <c r="U119" s="495">
        <f t="shared" si="40"/>
        <v>15907.5996</v>
      </c>
      <c r="V119" s="495">
        <f t="shared" si="40"/>
        <v>0</v>
      </c>
      <c r="W119" s="495">
        <f t="shared" si="40"/>
        <v>0</v>
      </c>
      <c r="X119" s="495">
        <f t="shared" si="40"/>
        <v>0</v>
      </c>
      <c r="Y119" s="495">
        <f t="shared" si="40"/>
        <v>0</v>
      </c>
      <c r="Z119" s="495">
        <f t="shared" si="40"/>
        <v>0</v>
      </c>
      <c r="AA119" s="495">
        <f t="shared" si="40"/>
        <v>0</v>
      </c>
      <c r="AB119" s="495">
        <f t="shared" si="40"/>
        <v>0</v>
      </c>
      <c r="AC119" s="495">
        <f t="shared" si="40"/>
        <v>0</v>
      </c>
      <c r="AD119" s="495">
        <f t="shared" si="40"/>
        <v>0</v>
      </c>
      <c r="AE119" s="495">
        <f t="shared" si="40"/>
        <v>0</v>
      </c>
      <c r="AF119" s="495">
        <f t="shared" si="40"/>
        <v>0</v>
      </c>
      <c r="AG119" s="497">
        <f t="shared" si="40"/>
        <v>0</v>
      </c>
      <c r="AH119" s="24"/>
      <c r="AI119" s="24"/>
      <c r="AJ119" s="24"/>
      <c r="AK119" s="24"/>
      <c r="AL119" s="24"/>
      <c r="AM119" s="24"/>
      <c r="AN119" s="24"/>
      <c r="AO119" s="24"/>
      <c r="AP119" s="24"/>
      <c r="AQ119" s="24"/>
      <c r="AR119" s="24"/>
      <c r="AS119" s="24"/>
      <c r="AT119" s="24"/>
      <c r="AU119" s="24"/>
      <c r="AV119" s="24"/>
      <c r="AW119" s="24"/>
      <c r="AX119" s="24"/>
      <c r="AY119" s="24"/>
      <c r="AZ119" s="24"/>
      <c r="BA119" s="24"/>
    </row>
    <row r="120" ht="12.75" customHeight="1">
      <c r="A120" s="46" t="s">
        <v>565</v>
      </c>
      <c r="B120" s="51" t="s">
        <v>51</v>
      </c>
      <c r="C120" s="301">
        <v>9345.0</v>
      </c>
      <c r="D120" s="84">
        <f t="shared" ref="D120:P120" si="41">$C$120*D80/$C$80</f>
        <v>9376.91613</v>
      </c>
      <c r="E120" s="84">
        <f t="shared" si="41"/>
        <v>9434.429424</v>
      </c>
      <c r="F120" s="84">
        <f t="shared" si="41"/>
        <v>9503.509639</v>
      </c>
      <c r="G120" s="84">
        <f t="shared" si="41"/>
        <v>9607.397712</v>
      </c>
      <c r="H120" s="84">
        <f t="shared" si="41"/>
        <v>9649.809751</v>
      </c>
      <c r="I120" s="84">
        <f t="shared" si="41"/>
        <v>9743.790972</v>
      </c>
      <c r="J120" s="84">
        <f t="shared" si="41"/>
        <v>9859.031764</v>
      </c>
      <c r="K120" s="84">
        <f t="shared" si="41"/>
        <v>10019.30857</v>
      </c>
      <c r="L120" s="84">
        <f t="shared" si="41"/>
        <v>10210.966</v>
      </c>
      <c r="M120" s="84">
        <f t="shared" si="41"/>
        <v>10328.40237</v>
      </c>
      <c r="N120" s="84">
        <f t="shared" si="41"/>
        <v>10424.63271</v>
      </c>
      <c r="O120" s="84">
        <f t="shared" si="41"/>
        <v>10620.03868</v>
      </c>
      <c r="P120" s="84">
        <f t="shared" si="41"/>
        <v>10799.59369</v>
      </c>
      <c r="Q120" s="48">
        <f>10505*1.613</f>
        <v>16944.565</v>
      </c>
      <c r="R120" s="495">
        <f t="shared" ref="R120:AG120" si="42">$Q$120*R80/$Q$80</f>
        <v>17053.66653</v>
      </c>
      <c r="S120" s="495">
        <f t="shared" si="42"/>
        <v>16989.61229</v>
      </c>
      <c r="T120" s="495">
        <f t="shared" si="42"/>
        <v>16865.7741</v>
      </c>
      <c r="U120" s="495">
        <f t="shared" si="42"/>
        <v>16847.77193</v>
      </c>
      <c r="V120" s="495">
        <f t="shared" si="42"/>
        <v>0</v>
      </c>
      <c r="W120" s="495">
        <f t="shared" si="42"/>
        <v>0</v>
      </c>
      <c r="X120" s="495">
        <f t="shared" si="42"/>
        <v>0</v>
      </c>
      <c r="Y120" s="495">
        <f t="shared" si="42"/>
        <v>0</v>
      </c>
      <c r="Z120" s="495">
        <f t="shared" si="42"/>
        <v>0</v>
      </c>
      <c r="AA120" s="495">
        <f t="shared" si="42"/>
        <v>0</v>
      </c>
      <c r="AB120" s="495">
        <f t="shared" si="42"/>
        <v>0</v>
      </c>
      <c r="AC120" s="495">
        <f t="shared" si="42"/>
        <v>0</v>
      </c>
      <c r="AD120" s="495">
        <f t="shared" si="42"/>
        <v>0</v>
      </c>
      <c r="AE120" s="495">
        <f t="shared" si="42"/>
        <v>0</v>
      </c>
      <c r="AF120" s="495">
        <f t="shared" si="42"/>
        <v>0</v>
      </c>
      <c r="AG120" s="497">
        <f t="shared" si="42"/>
        <v>0</v>
      </c>
      <c r="AH120" s="24"/>
      <c r="AI120" s="148"/>
      <c r="AJ120" s="148"/>
      <c r="AK120" s="24"/>
      <c r="AL120" s="24"/>
      <c r="AM120" s="24"/>
      <c r="AN120" s="24"/>
      <c r="AO120" s="24"/>
      <c r="AP120" s="24"/>
      <c r="AQ120" s="24"/>
      <c r="AR120" s="24"/>
      <c r="AS120" s="24"/>
      <c r="AT120" s="24"/>
      <c r="AU120" s="24"/>
      <c r="AV120" s="24"/>
      <c r="AW120" s="24"/>
      <c r="AX120" s="24"/>
      <c r="AY120" s="24"/>
      <c r="AZ120" s="24"/>
      <c r="BA120" s="24"/>
    </row>
    <row r="121" ht="12.75" customHeight="1">
      <c r="A121" s="46" t="s">
        <v>565</v>
      </c>
      <c r="B121" s="51" t="s">
        <v>52</v>
      </c>
      <c r="C121" s="301">
        <v>4566.0</v>
      </c>
      <c r="D121" s="84">
        <f t="shared" ref="D121:P121" si="43">$C$121*D80/$C$80</f>
        <v>4581.594334</v>
      </c>
      <c r="E121" s="84">
        <f t="shared" si="43"/>
        <v>4609.695533</v>
      </c>
      <c r="F121" s="84">
        <f t="shared" si="43"/>
        <v>4643.448369</v>
      </c>
      <c r="G121" s="84">
        <f t="shared" si="43"/>
        <v>4694.208449</v>
      </c>
      <c r="H121" s="84">
        <f t="shared" si="43"/>
        <v>4714.931121</v>
      </c>
      <c r="I121" s="84">
        <f t="shared" si="43"/>
        <v>4760.850677</v>
      </c>
      <c r="J121" s="84">
        <f t="shared" si="43"/>
        <v>4817.157735</v>
      </c>
      <c r="K121" s="84">
        <f t="shared" si="43"/>
        <v>4895.469549</v>
      </c>
      <c r="L121" s="84">
        <f t="shared" si="43"/>
        <v>4989.114046</v>
      </c>
      <c r="M121" s="84">
        <f t="shared" si="43"/>
        <v>5046.493868</v>
      </c>
      <c r="N121" s="84">
        <f t="shared" si="43"/>
        <v>5093.512355</v>
      </c>
      <c r="O121" s="84">
        <f t="shared" si="43"/>
        <v>5188.988402</v>
      </c>
      <c r="P121" s="84">
        <f t="shared" si="43"/>
        <v>5276.719612</v>
      </c>
      <c r="Q121" s="48">
        <f>4566*1.613</f>
        <v>7364.958</v>
      </c>
      <c r="R121" s="495">
        <f t="shared" ref="R121:AG121" si="44">$Q$121*R80/$Q$80</f>
        <v>7412.379</v>
      </c>
      <c r="S121" s="495">
        <f t="shared" si="44"/>
        <v>7384.537814</v>
      </c>
      <c r="T121" s="495">
        <f t="shared" si="44"/>
        <v>7330.711522</v>
      </c>
      <c r="U121" s="495">
        <f t="shared" si="44"/>
        <v>7322.886875</v>
      </c>
      <c r="V121" s="495">
        <f t="shared" si="44"/>
        <v>0</v>
      </c>
      <c r="W121" s="495">
        <f t="shared" si="44"/>
        <v>0</v>
      </c>
      <c r="X121" s="495">
        <f t="shared" si="44"/>
        <v>0</v>
      </c>
      <c r="Y121" s="495">
        <f t="shared" si="44"/>
        <v>0</v>
      </c>
      <c r="Z121" s="495">
        <f t="shared" si="44"/>
        <v>0</v>
      </c>
      <c r="AA121" s="495">
        <f t="shared" si="44"/>
        <v>0</v>
      </c>
      <c r="AB121" s="495">
        <f t="shared" si="44"/>
        <v>0</v>
      </c>
      <c r="AC121" s="495">
        <f t="shared" si="44"/>
        <v>0</v>
      </c>
      <c r="AD121" s="495">
        <f t="shared" si="44"/>
        <v>0</v>
      </c>
      <c r="AE121" s="495">
        <f t="shared" si="44"/>
        <v>0</v>
      </c>
      <c r="AF121" s="495">
        <f t="shared" si="44"/>
        <v>0</v>
      </c>
      <c r="AG121" s="497">
        <f t="shared" si="44"/>
        <v>0</v>
      </c>
      <c r="AH121" s="24"/>
      <c r="AI121" s="24"/>
      <c r="AJ121" s="24"/>
      <c r="AK121" s="24"/>
      <c r="AL121" s="24"/>
      <c r="AM121" s="24"/>
      <c r="AN121" s="24"/>
      <c r="AO121" s="24"/>
      <c r="AP121" s="24"/>
      <c r="AQ121" s="24"/>
      <c r="AR121" s="24"/>
      <c r="AS121" s="24"/>
      <c r="AT121" s="24"/>
      <c r="AU121" s="24"/>
      <c r="AV121" s="24"/>
      <c r="AW121" s="24"/>
      <c r="AX121" s="24"/>
      <c r="AY121" s="24"/>
      <c r="AZ121" s="24"/>
      <c r="BA121" s="24"/>
    </row>
    <row r="122" ht="12.75" customHeight="1">
      <c r="A122" s="46" t="s">
        <v>566</v>
      </c>
      <c r="B122" s="51" t="s">
        <v>51</v>
      </c>
      <c r="C122" s="301">
        <v>11245.0</v>
      </c>
      <c r="D122" s="84">
        <f t="shared" ref="D122:P122" si="45">$C$122*D132/$C$132</f>
        <v>14894.44943</v>
      </c>
      <c r="E122" s="84">
        <f t="shared" si="45"/>
        <v>14157.68088</v>
      </c>
      <c r="F122" s="84">
        <f t="shared" si="45"/>
        <v>12626.47786</v>
      </c>
      <c r="G122" s="84">
        <f t="shared" si="45"/>
        <v>15240.22395</v>
      </c>
      <c r="H122" s="84">
        <f t="shared" si="45"/>
        <v>13299.17318</v>
      </c>
      <c r="I122" s="84">
        <f t="shared" si="45"/>
        <v>14302.61895</v>
      </c>
      <c r="J122" s="84">
        <f t="shared" si="45"/>
        <v>15173.794</v>
      </c>
      <c r="K122" s="84">
        <f t="shared" si="45"/>
        <v>13468.1203</v>
      </c>
      <c r="L122" s="84">
        <f t="shared" si="45"/>
        <v>14580.63787</v>
      </c>
      <c r="M122" s="84">
        <f t="shared" si="45"/>
        <v>13859.9981</v>
      </c>
      <c r="N122" s="84">
        <f t="shared" si="45"/>
        <v>14270.28775</v>
      </c>
      <c r="O122" s="84">
        <f t="shared" si="45"/>
        <v>13291.73479</v>
      </c>
      <c r="P122" s="84">
        <f t="shared" si="45"/>
        <v>11633.49002</v>
      </c>
      <c r="Q122" s="48">
        <f>12545*1.613</f>
        <v>20235.085</v>
      </c>
      <c r="R122" s="495">
        <f t="shared" ref="R122:AG122" si="46">$Q$122*R132/$Q$132</f>
        <v>20931.88545</v>
      </c>
      <c r="S122" s="495">
        <f t="shared" si="46"/>
        <v>23172.70949</v>
      </c>
      <c r="T122" s="495">
        <f t="shared" si="46"/>
        <v>27029.39221</v>
      </c>
      <c r="U122" s="495">
        <f t="shared" si="46"/>
        <v>27330.38127</v>
      </c>
      <c r="V122" s="495">
        <f t="shared" si="46"/>
        <v>0</v>
      </c>
      <c r="W122" s="495">
        <f t="shared" si="46"/>
        <v>0</v>
      </c>
      <c r="X122" s="495">
        <f t="shared" si="46"/>
        <v>0</v>
      </c>
      <c r="Y122" s="495">
        <f t="shared" si="46"/>
        <v>0</v>
      </c>
      <c r="Z122" s="495">
        <f t="shared" si="46"/>
        <v>0</v>
      </c>
      <c r="AA122" s="495">
        <f t="shared" si="46"/>
        <v>0</v>
      </c>
      <c r="AB122" s="495">
        <f t="shared" si="46"/>
        <v>0</v>
      </c>
      <c r="AC122" s="495">
        <f t="shared" si="46"/>
        <v>0</v>
      </c>
      <c r="AD122" s="495">
        <f t="shared" si="46"/>
        <v>0</v>
      </c>
      <c r="AE122" s="495">
        <f t="shared" si="46"/>
        <v>0</v>
      </c>
      <c r="AF122" s="495">
        <f t="shared" si="46"/>
        <v>0</v>
      </c>
      <c r="AG122" s="497">
        <f t="shared" si="46"/>
        <v>0</v>
      </c>
      <c r="AH122" s="24"/>
      <c r="AI122" s="148"/>
      <c r="AJ122" s="148"/>
      <c r="AK122" s="24"/>
      <c r="AL122" s="24"/>
      <c r="AM122" s="24"/>
      <c r="AN122" s="24"/>
      <c r="AO122" s="24"/>
      <c r="AP122" s="24"/>
      <c r="AQ122" s="24"/>
      <c r="AR122" s="24"/>
      <c r="AS122" s="24"/>
      <c r="AT122" s="24"/>
      <c r="AU122" s="24"/>
      <c r="AV122" s="24"/>
      <c r="AW122" s="24"/>
      <c r="AX122" s="24"/>
      <c r="AY122" s="24"/>
      <c r="AZ122" s="24"/>
      <c r="BA122" s="24"/>
    </row>
    <row r="123" ht="12.75" customHeight="1">
      <c r="A123" s="46" t="s">
        <v>566</v>
      </c>
      <c r="B123" s="51" t="s">
        <v>52</v>
      </c>
      <c r="C123" s="301">
        <v>583.0</v>
      </c>
      <c r="D123" s="84">
        <f t="shared" ref="D123:P123" si="47">$C$123*D132/$C$132</f>
        <v>772.2066712</v>
      </c>
      <c r="E123" s="84">
        <f t="shared" si="47"/>
        <v>734.0087106</v>
      </c>
      <c r="F123" s="84">
        <f t="shared" si="47"/>
        <v>654.6230851</v>
      </c>
      <c r="G123" s="84">
        <f t="shared" si="47"/>
        <v>790.1334429</v>
      </c>
      <c r="H123" s="84">
        <f t="shared" si="47"/>
        <v>689.4991519</v>
      </c>
      <c r="I123" s="84">
        <f t="shared" si="47"/>
        <v>741.5230635</v>
      </c>
      <c r="J123" s="84">
        <f t="shared" si="47"/>
        <v>786.6893645</v>
      </c>
      <c r="K123" s="84">
        <f t="shared" si="47"/>
        <v>698.2582604</v>
      </c>
      <c r="L123" s="84">
        <f t="shared" si="47"/>
        <v>755.937028</v>
      </c>
      <c r="M123" s="84">
        <f t="shared" si="47"/>
        <v>718.5752684</v>
      </c>
      <c r="N123" s="84">
        <f t="shared" si="47"/>
        <v>739.8468435</v>
      </c>
      <c r="O123" s="84">
        <f t="shared" si="47"/>
        <v>689.1135067</v>
      </c>
      <c r="P123" s="84">
        <f t="shared" si="47"/>
        <v>603.1413676</v>
      </c>
      <c r="Q123" s="48">
        <f>583*1.613</f>
        <v>940.379</v>
      </c>
      <c r="R123" s="495">
        <f t="shared" ref="R123:AG123" si="48">$Q$123*R132/$Q$132</f>
        <v>972.761197</v>
      </c>
      <c r="S123" s="495">
        <f t="shared" si="48"/>
        <v>1076.898336</v>
      </c>
      <c r="T123" s="495">
        <f t="shared" si="48"/>
        <v>1256.128789</v>
      </c>
      <c r="U123" s="495">
        <f t="shared" si="48"/>
        <v>1270.116563</v>
      </c>
      <c r="V123" s="495">
        <f t="shared" si="48"/>
        <v>0</v>
      </c>
      <c r="W123" s="495">
        <f t="shared" si="48"/>
        <v>0</v>
      </c>
      <c r="X123" s="495">
        <f t="shared" si="48"/>
        <v>0</v>
      </c>
      <c r="Y123" s="495">
        <f t="shared" si="48"/>
        <v>0</v>
      </c>
      <c r="Z123" s="495">
        <f t="shared" si="48"/>
        <v>0</v>
      </c>
      <c r="AA123" s="495">
        <f t="shared" si="48"/>
        <v>0</v>
      </c>
      <c r="AB123" s="495">
        <f t="shared" si="48"/>
        <v>0</v>
      </c>
      <c r="AC123" s="495">
        <f t="shared" si="48"/>
        <v>0</v>
      </c>
      <c r="AD123" s="495">
        <f t="shared" si="48"/>
        <v>0</v>
      </c>
      <c r="AE123" s="495">
        <f t="shared" si="48"/>
        <v>0</v>
      </c>
      <c r="AF123" s="495">
        <f t="shared" si="48"/>
        <v>0</v>
      </c>
      <c r="AG123" s="497">
        <f t="shared" si="48"/>
        <v>0</v>
      </c>
      <c r="AH123" s="24"/>
      <c r="AI123" s="24"/>
      <c r="AJ123" s="24"/>
      <c r="AK123" s="24"/>
      <c r="AL123" s="24"/>
      <c r="AM123" s="24"/>
      <c r="AN123" s="24"/>
      <c r="AO123" s="24"/>
      <c r="AP123" s="24"/>
      <c r="AQ123" s="24"/>
      <c r="AR123" s="24"/>
      <c r="AS123" s="24"/>
      <c r="AT123" s="24"/>
      <c r="AU123" s="24"/>
      <c r="AV123" s="24"/>
      <c r="AW123" s="24"/>
      <c r="AX123" s="24"/>
      <c r="AY123" s="24"/>
      <c r="AZ123" s="24"/>
      <c r="BA123" s="24"/>
    </row>
    <row r="124" ht="12.75" customHeight="1">
      <c r="A124" s="46" t="s">
        <v>582</v>
      </c>
      <c r="B124" s="51" t="s">
        <v>51</v>
      </c>
      <c r="C124" s="301">
        <v>0.0</v>
      </c>
      <c r="D124" s="84">
        <f t="shared" ref="D124:P124" si="49">$C$124*D80/$C$80</f>
        <v>0</v>
      </c>
      <c r="E124" s="84">
        <f t="shared" si="49"/>
        <v>0</v>
      </c>
      <c r="F124" s="84">
        <f t="shared" si="49"/>
        <v>0</v>
      </c>
      <c r="G124" s="84">
        <f t="shared" si="49"/>
        <v>0</v>
      </c>
      <c r="H124" s="84">
        <f t="shared" si="49"/>
        <v>0</v>
      </c>
      <c r="I124" s="84">
        <f t="shared" si="49"/>
        <v>0</v>
      </c>
      <c r="J124" s="84">
        <f t="shared" si="49"/>
        <v>0</v>
      </c>
      <c r="K124" s="84">
        <f t="shared" si="49"/>
        <v>0</v>
      </c>
      <c r="L124" s="84">
        <f t="shared" si="49"/>
        <v>0</v>
      </c>
      <c r="M124" s="84">
        <f t="shared" si="49"/>
        <v>0</v>
      </c>
      <c r="N124" s="84">
        <f t="shared" si="49"/>
        <v>0</v>
      </c>
      <c r="O124" s="84">
        <f t="shared" si="49"/>
        <v>0</v>
      </c>
      <c r="P124" s="84">
        <f t="shared" si="49"/>
        <v>0</v>
      </c>
      <c r="Q124" s="48">
        <f>50*1.613</f>
        <v>80.65</v>
      </c>
      <c r="R124" s="495">
        <f t="shared" ref="R124:AG124" si="50">$Q$124*R80/$Q$80</f>
        <v>81.16928383</v>
      </c>
      <c r="S124" s="495">
        <f t="shared" si="50"/>
        <v>80.86440883</v>
      </c>
      <c r="T124" s="495">
        <f t="shared" si="50"/>
        <v>80.27498382</v>
      </c>
      <c r="U124" s="495">
        <f t="shared" si="50"/>
        <v>80.18929999</v>
      </c>
      <c r="V124" s="495">
        <f t="shared" si="50"/>
        <v>0</v>
      </c>
      <c r="W124" s="495">
        <f t="shared" si="50"/>
        <v>0</v>
      </c>
      <c r="X124" s="495">
        <f t="shared" si="50"/>
        <v>0</v>
      </c>
      <c r="Y124" s="495">
        <f t="shared" si="50"/>
        <v>0</v>
      </c>
      <c r="Z124" s="495">
        <f t="shared" si="50"/>
        <v>0</v>
      </c>
      <c r="AA124" s="495">
        <f t="shared" si="50"/>
        <v>0</v>
      </c>
      <c r="AB124" s="495">
        <f t="shared" si="50"/>
        <v>0</v>
      </c>
      <c r="AC124" s="495">
        <f t="shared" si="50"/>
        <v>0</v>
      </c>
      <c r="AD124" s="495">
        <f t="shared" si="50"/>
        <v>0</v>
      </c>
      <c r="AE124" s="495">
        <f t="shared" si="50"/>
        <v>0</v>
      </c>
      <c r="AF124" s="495">
        <f t="shared" si="50"/>
        <v>0</v>
      </c>
      <c r="AG124" s="497">
        <f t="shared" si="50"/>
        <v>0</v>
      </c>
      <c r="AH124" s="24"/>
      <c r="AI124" s="24"/>
      <c r="AJ124" s="24"/>
      <c r="AK124" s="24"/>
      <c r="AL124" s="24"/>
      <c r="AM124" s="24"/>
      <c r="AN124" s="24"/>
      <c r="AO124" s="24"/>
      <c r="AP124" s="24"/>
      <c r="AQ124" s="24"/>
      <c r="AR124" s="24"/>
      <c r="AS124" s="24"/>
      <c r="AT124" s="24"/>
      <c r="AU124" s="24"/>
      <c r="AV124" s="24"/>
      <c r="AW124" s="24"/>
      <c r="AX124" s="24"/>
      <c r="AY124" s="24"/>
      <c r="AZ124" s="24"/>
      <c r="BA124" s="24"/>
    </row>
    <row r="125" ht="12.75" customHeight="1">
      <c r="A125" s="46" t="s">
        <v>582</v>
      </c>
      <c r="B125" s="51" t="s">
        <v>52</v>
      </c>
      <c r="C125" s="301">
        <v>1974.0</v>
      </c>
      <c r="D125" s="84">
        <f t="shared" ref="D125:P125" si="51">$C$125*D80/$C$80</f>
        <v>1980.741834</v>
      </c>
      <c r="E125" s="84">
        <f t="shared" si="51"/>
        <v>1992.89071</v>
      </c>
      <c r="F125" s="84">
        <f t="shared" si="51"/>
        <v>2007.482935</v>
      </c>
      <c r="G125" s="84">
        <f t="shared" si="51"/>
        <v>2029.427831</v>
      </c>
      <c r="H125" s="84">
        <f t="shared" si="51"/>
        <v>2038.386779</v>
      </c>
      <c r="I125" s="84">
        <f t="shared" si="51"/>
        <v>2058.238992</v>
      </c>
      <c r="J125" s="84">
        <f t="shared" si="51"/>
        <v>2082.581991</v>
      </c>
      <c r="K125" s="84">
        <f t="shared" si="51"/>
        <v>2116.438215</v>
      </c>
      <c r="L125" s="84">
        <f t="shared" si="51"/>
        <v>2156.923155</v>
      </c>
      <c r="M125" s="84">
        <f t="shared" si="51"/>
        <v>2181.729938</v>
      </c>
      <c r="N125" s="84">
        <f t="shared" si="51"/>
        <v>2202.057247</v>
      </c>
      <c r="O125" s="84">
        <f t="shared" si="51"/>
        <v>2243.334013</v>
      </c>
      <c r="P125" s="84">
        <f t="shared" si="51"/>
        <v>2281.262487</v>
      </c>
      <c r="Q125" s="48">
        <f>1974*1.613</f>
        <v>3184.062</v>
      </c>
      <c r="R125" s="495">
        <f t="shared" ref="R125:AG125" si="52">$Q$125*R80/$Q$80</f>
        <v>3204.563326</v>
      </c>
      <c r="S125" s="495">
        <f t="shared" si="52"/>
        <v>3192.526861</v>
      </c>
      <c r="T125" s="495">
        <f t="shared" si="52"/>
        <v>3169.256361</v>
      </c>
      <c r="U125" s="495">
        <f t="shared" si="52"/>
        <v>3165.873564</v>
      </c>
      <c r="V125" s="495">
        <f t="shared" si="52"/>
        <v>0</v>
      </c>
      <c r="W125" s="495">
        <f t="shared" si="52"/>
        <v>0</v>
      </c>
      <c r="X125" s="495">
        <f t="shared" si="52"/>
        <v>0</v>
      </c>
      <c r="Y125" s="495">
        <f t="shared" si="52"/>
        <v>0</v>
      </c>
      <c r="Z125" s="495">
        <f t="shared" si="52"/>
        <v>0</v>
      </c>
      <c r="AA125" s="495">
        <f t="shared" si="52"/>
        <v>0</v>
      </c>
      <c r="AB125" s="495">
        <f t="shared" si="52"/>
        <v>0</v>
      </c>
      <c r="AC125" s="495">
        <f t="shared" si="52"/>
        <v>0</v>
      </c>
      <c r="AD125" s="495">
        <f t="shared" si="52"/>
        <v>0</v>
      </c>
      <c r="AE125" s="495">
        <f t="shared" si="52"/>
        <v>0</v>
      </c>
      <c r="AF125" s="495">
        <f t="shared" si="52"/>
        <v>0</v>
      </c>
      <c r="AG125" s="507">
        <f t="shared" si="52"/>
        <v>0</v>
      </c>
      <c r="AH125" s="24"/>
      <c r="AI125" s="24"/>
      <c r="AJ125" s="24"/>
      <c r="AK125" s="24"/>
      <c r="AL125" s="24"/>
      <c r="AM125" s="24"/>
      <c r="AN125" s="24"/>
      <c r="AO125" s="24"/>
      <c r="AP125" s="24"/>
      <c r="AQ125" s="24"/>
      <c r="AR125" s="24"/>
      <c r="AS125" s="24"/>
      <c r="AT125" s="24"/>
      <c r="AU125" s="24"/>
      <c r="AV125" s="24"/>
      <c r="AW125" s="24"/>
      <c r="AX125" s="24"/>
      <c r="AY125" s="24"/>
      <c r="AZ125" s="24"/>
      <c r="BA125" s="24"/>
    </row>
    <row r="126" ht="12.75" customHeight="1">
      <c r="A126" s="349" t="s">
        <v>306</v>
      </c>
      <c r="B126" s="350"/>
      <c r="C126" s="398"/>
      <c r="D126" s="398"/>
      <c r="E126" s="398"/>
      <c r="F126" s="398"/>
      <c r="G126" s="398"/>
      <c r="H126" s="398"/>
      <c r="I126" s="398"/>
      <c r="J126" s="398"/>
      <c r="K126" s="398"/>
      <c r="L126" s="398"/>
      <c r="M126" s="398"/>
      <c r="N126" s="398"/>
      <c r="O126" s="398"/>
      <c r="P126" s="398"/>
      <c r="Q126" s="398"/>
      <c r="R126" s="398"/>
      <c r="S126" s="398"/>
      <c r="T126" s="398"/>
      <c r="U126" s="398"/>
      <c r="V126" s="398"/>
      <c r="W126" s="398"/>
      <c r="X126" s="398"/>
      <c r="Y126" s="398"/>
      <c r="Z126" s="398"/>
      <c r="AA126" s="398"/>
      <c r="AB126" s="398"/>
      <c r="AC126" s="398"/>
      <c r="AD126" s="398"/>
      <c r="AE126" s="398"/>
      <c r="AF126" s="398"/>
      <c r="AG126" s="399"/>
      <c r="AH126" s="24"/>
      <c r="AI126" s="24"/>
      <c r="AJ126" s="24"/>
      <c r="AK126" s="24"/>
      <c r="AL126" s="24"/>
      <c r="AM126" s="24"/>
      <c r="AN126" s="24"/>
      <c r="AO126" s="24"/>
      <c r="AP126" s="24"/>
      <c r="AQ126" s="24"/>
      <c r="AR126" s="24"/>
      <c r="AS126" s="24"/>
      <c r="AT126" s="24"/>
      <c r="AU126" s="24"/>
      <c r="AV126" s="24"/>
      <c r="AW126" s="24"/>
      <c r="AX126" s="24"/>
      <c r="AY126" s="24"/>
      <c r="AZ126" s="24"/>
      <c r="BA126" s="24"/>
    </row>
    <row r="127" ht="12.75" customHeight="1">
      <c r="A127" s="46" t="s">
        <v>587</v>
      </c>
      <c r="B127" s="51" t="s">
        <v>588</v>
      </c>
      <c r="C127" s="84">
        <f>VLOOKUP(C$78,'Oil and Gas Production'!$M$50:$O$81,2,FALSE)</f>
        <v>581031</v>
      </c>
      <c r="D127" s="84">
        <f>VLOOKUP(D$78,'Oil and Gas Production'!$M$50:$O$81,2,FALSE)</f>
        <v>555038</v>
      </c>
      <c r="E127" s="84">
        <f>VLOOKUP(E$78,'Oil and Gas Production'!$M$50:$O$81,2,FALSE)</f>
        <v>557455</v>
      </c>
      <c r="F127" s="84">
        <f>VLOOKUP(F$78,'Oil and Gas Production'!$M$50:$O$81,2,FALSE)</f>
        <v>517188</v>
      </c>
      <c r="G127" s="84">
        <f>VLOOKUP(G$78,'Oil and Gas Production'!$M$50:$O$81,2,FALSE)</f>
        <v>464219</v>
      </c>
      <c r="H127" s="84">
        <f>VLOOKUP(H$78,'Oil and Gas Production'!$M$50:$O$81,2,FALSE)</f>
        <v>472096</v>
      </c>
      <c r="I127" s="84">
        <f>VLOOKUP(I$78,'Oil and Gas Production'!$M$50:$O$81,2,FALSE)</f>
        <v>461664</v>
      </c>
      <c r="J127" s="84">
        <f>VLOOKUP(J$78,'Oil and Gas Production'!$M$50:$O$81,2,FALSE)</f>
        <v>585581</v>
      </c>
      <c r="K127" s="84">
        <f>VLOOKUP(K$78,'Oil and Gas Production'!$M$50:$O$81,2,FALSE)</f>
        <v>622100</v>
      </c>
      <c r="L127" s="84">
        <f>VLOOKUP(L$78,'Oil and Gas Production'!$M$50:$O$81,2,FALSE)</f>
        <v>498088</v>
      </c>
      <c r="M127" s="84">
        <f>VLOOKUP(M$78,'Oil and Gas Production'!$M$50:$O$81,2,FALSE)</f>
        <v>741316</v>
      </c>
      <c r="N127" s="84">
        <f>VLOOKUP(N$78,'Oil and Gas Production'!$M$50:$O$81,2,FALSE)</f>
        <v>1010914</v>
      </c>
      <c r="O127" s="84">
        <f>VLOOKUP(O$78,'Oil and Gas Production'!$M$50:$O$81,2,FALSE)</f>
        <v>1273273</v>
      </c>
      <c r="P127" s="84">
        <f>VLOOKUP(P$78,'Oil and Gas Production'!$M$50:$O$81,2,FALSE)</f>
        <v>1562331</v>
      </c>
      <c r="Q127" s="84">
        <f>VLOOKUP(Q$78,'Oil and Gas Production'!$M$50:$O$81,2,FALSE)</f>
        <v>3941714</v>
      </c>
      <c r="R127" s="84">
        <f>VLOOKUP(R$78,'Oil and Gas Production'!$M$50:$O$81,2,FALSE)</f>
        <v>5229842</v>
      </c>
      <c r="S127" s="84">
        <f>VLOOKUP(S$78,'Oil and Gas Production'!$M$50:$O$81,2,FALSE)</f>
        <v>5022034</v>
      </c>
      <c r="T127" s="84">
        <f>VLOOKUP(T$78,'Oil and Gas Production'!$M$50:$O$81,2,FALSE)</f>
        <v>7458629</v>
      </c>
      <c r="U127" s="84">
        <f>VLOOKUP(U$78,'Oil and Gas Production'!$M$50:$O$81,2,FALSE)</f>
        <v>9600682</v>
      </c>
      <c r="V127" s="84">
        <f>VLOOKUP(V$78,'Oil and Gas Production'!$M$50:$O$81,2,FALSE)</f>
        <v>0</v>
      </c>
      <c r="W127" s="84">
        <f>VLOOKUP(W$78,'Oil and Gas Production'!$M$50:$O$81,2,FALSE)</f>
        <v>0</v>
      </c>
      <c r="X127" s="84">
        <f>VLOOKUP(X$78,'Oil and Gas Production'!$M$50:$O$81,2,FALSE)</f>
        <v>0</v>
      </c>
      <c r="Y127" s="84">
        <f>VLOOKUP(Y$78,'Oil and Gas Production'!$M$50:$O$81,2,FALSE)</f>
        <v>0</v>
      </c>
      <c r="Z127" s="84">
        <f>VLOOKUP(Z$78,'Oil and Gas Production'!$M$50:$O$81,2,FALSE)</f>
        <v>0</v>
      </c>
      <c r="AA127" s="84">
        <f>VLOOKUP(AA$78,'Oil and Gas Production'!$M$50:$O$81,2,FALSE)</f>
        <v>0</v>
      </c>
      <c r="AB127" s="84">
        <f>VLOOKUP(AB$78,'Oil and Gas Production'!$M$50:$O$81,2,FALSE)</f>
        <v>0</v>
      </c>
      <c r="AC127" s="84">
        <f>VLOOKUP(AC$78,'Oil and Gas Production'!$M$50:$O$81,2,FALSE)</f>
        <v>0</v>
      </c>
      <c r="AD127" s="84">
        <f>VLOOKUP(AD$78,'Oil and Gas Production'!$M$50:$O$81,2,FALSE)</f>
        <v>0</v>
      </c>
      <c r="AE127" s="84">
        <f>VLOOKUP(AE$78,'Oil and Gas Production'!$M$50:$O$81,2,FALSE)</f>
        <v>0</v>
      </c>
      <c r="AF127" s="84">
        <f>VLOOKUP(AF$78,'Oil and Gas Production'!$M$50:$O$81,2,FALSE)</f>
        <v>0</v>
      </c>
      <c r="AG127" s="88">
        <f>VLOOKUP(AG$78,'Oil and Gas Production'!$M$50:$O$81,2,FALSE)</f>
        <v>0</v>
      </c>
      <c r="AH127" s="24"/>
      <c r="AI127" s="24"/>
      <c r="AJ127" s="24"/>
      <c r="AK127" s="24"/>
      <c r="AL127" s="24"/>
      <c r="AM127" s="24"/>
      <c r="AN127" s="24"/>
      <c r="AO127" s="24"/>
      <c r="AP127" s="24"/>
      <c r="AQ127" s="24"/>
      <c r="AR127" s="24"/>
      <c r="AS127" s="24"/>
      <c r="AT127" s="24"/>
      <c r="AU127" s="24"/>
      <c r="AV127" s="24"/>
      <c r="AW127" s="24"/>
      <c r="AX127" s="24"/>
      <c r="AY127" s="24"/>
      <c r="AZ127" s="24"/>
      <c r="BA127" s="24"/>
    </row>
    <row r="128" ht="12.75" customHeight="1">
      <c r="A128" s="46" t="s">
        <v>392</v>
      </c>
      <c r="B128" s="51" t="s">
        <v>588</v>
      </c>
      <c r="C128" s="84">
        <f>VLOOKUP(C$78,'Mine Production'!$A$7:$AB$45,'Mine Production'!$I$8,FALSE)</f>
        <v>60102031</v>
      </c>
      <c r="D128" s="84">
        <f>VLOOKUP(D$78,'Mine Production'!$A$7:$AB$45,'Mine Production'!$I$8,FALSE)</f>
        <v>67621885</v>
      </c>
      <c r="E128" s="84">
        <f>VLOOKUP(E$78,'Mine Production'!$A$7:$AB$45,'Mine Production'!$I$8,FALSE)</f>
        <v>65125564</v>
      </c>
      <c r="F128" s="84">
        <f>VLOOKUP(F$78,'Mine Production'!$A$7:$AB$45,'Mine Production'!$I$8,FALSE)</f>
        <v>62620417</v>
      </c>
      <c r="G128" s="84">
        <f>VLOOKUP(G$78,'Mine Production'!$A$7:$AB$45,'Mine Production'!$I$8,FALSE)</f>
        <v>72220213</v>
      </c>
      <c r="H128" s="84">
        <f>VLOOKUP(H$78,'Mine Production'!$A$7:$AB$45,'Mine Production'!$I$8,FALSE)</f>
        <v>87586375</v>
      </c>
      <c r="I128" s="84">
        <f>VLOOKUP(I$78,'Mine Production'!$A$7:$AB$45,'Mine Production'!$I$8,FALSE)</f>
        <v>92653250</v>
      </c>
      <c r="J128" s="84">
        <f>VLOOKUP(J$78,'Mine Production'!$A$7:$AB$45,'Mine Production'!$I$8,FALSE)</f>
        <v>86196275</v>
      </c>
      <c r="K128" s="84">
        <f>VLOOKUP(K$78,'Mine Production'!$A$7:$AB$45,'Mine Production'!$I$8,FALSE)</f>
        <v>88584704</v>
      </c>
      <c r="L128" s="84">
        <f>VLOOKUP(L$78,'Mine Production'!$A$7:$AB$45,'Mine Production'!$I$8,FALSE)</f>
        <v>81079043</v>
      </c>
      <c r="M128" s="84">
        <f>VLOOKUP(M$78,'Mine Production'!$A$7:$AB$45,'Mine Production'!$I$8,FALSE)</f>
        <v>116225536</v>
      </c>
      <c r="N128" s="84">
        <f>VLOOKUP(N$78,'Mine Production'!$A$7:$AB$45,'Mine Production'!$I$8,FALSE)</f>
        <v>104958277</v>
      </c>
      <c r="O128" s="84">
        <f>VLOOKUP(O$78,'Mine Production'!$A$7:$AB$45,'Mine Production'!$I$8,FALSE)</f>
        <v>93082919</v>
      </c>
      <c r="P128" s="84">
        <f>VLOOKUP(P$78,'Mine Production'!$A$7:$AB$45,'Mine Production'!$I$8,FALSE)</f>
        <v>100687876</v>
      </c>
      <c r="Q128" s="84">
        <f>VLOOKUP(Q$78,'Mine Production'!$A$7:$AB$45,'Mine Production'!$I$8,FALSE)</f>
        <v>101016860</v>
      </c>
      <c r="R128" s="84">
        <f>VLOOKUP(R$78,'Mine Production'!$A$7:$AB$45,'Mine Production'!$I$8,FALSE)</f>
        <v>99450689</v>
      </c>
      <c r="S128" s="84">
        <f>VLOOKUP(S$78,'Mine Production'!$A$7:$AB$45,'Mine Production'!$I$8,FALSE)</f>
        <v>67889779</v>
      </c>
      <c r="T128" s="84">
        <f>VLOOKUP(T$78,'Mine Production'!$A$7:$AB$45,'Mine Production'!$I$8,FALSE)</f>
        <v>70513365</v>
      </c>
      <c r="U128" s="84">
        <f>VLOOKUP(U$78,'Mine Production'!$A$7:$AB$45,'Mine Production'!$I$8,FALSE)</f>
        <v>71134606</v>
      </c>
      <c r="V128" s="84" t="str">
        <f>VLOOKUP(V$78,'Mine Production'!$A$7:$AB$45,'Mine Production'!$I$8,FALSE)</f>
        <v/>
      </c>
      <c r="W128" s="84" t="str">
        <f>VLOOKUP(W$78,'Mine Production'!$A$7:$AB$45,'Mine Production'!$I$8,FALSE)</f>
        <v/>
      </c>
      <c r="X128" s="84" t="str">
        <f>VLOOKUP(X$78,'Mine Production'!$A$7:$AB$45,'Mine Production'!$I$8,FALSE)</f>
        <v/>
      </c>
      <c r="Y128" s="84" t="str">
        <f>VLOOKUP(Y$78,'Mine Production'!$A$7:$AB$45,'Mine Production'!$I$8,FALSE)</f>
        <v/>
      </c>
      <c r="Z128" s="84" t="str">
        <f>VLOOKUP(Z$78,'Mine Production'!$A$7:$AB$45,'Mine Production'!$I$8,FALSE)</f>
        <v/>
      </c>
      <c r="AA128" s="84" t="str">
        <f>VLOOKUP(AA$78,'Mine Production'!$A$7:$AB$45,'Mine Production'!$I$8,FALSE)</f>
        <v/>
      </c>
      <c r="AB128" s="84" t="str">
        <f>VLOOKUP(AB$78,'Mine Production'!$A$7:$AB$45,'Mine Production'!$I$8,FALSE)</f>
        <v/>
      </c>
      <c r="AC128" s="84" t="str">
        <f>VLOOKUP(AC$78,'Mine Production'!$A$7:$AB$45,'Mine Production'!$I$8,FALSE)</f>
        <v/>
      </c>
      <c r="AD128" s="84" t="str">
        <f>VLOOKUP(AD$78,'Mine Production'!$A$7:$AB$45,'Mine Production'!$I$8,FALSE)</f>
        <v/>
      </c>
      <c r="AE128" s="84" t="str">
        <f>VLOOKUP(AE$78,'Mine Production'!$A$7:$AB$45,'Mine Production'!$I$8,FALSE)</f>
        <v/>
      </c>
      <c r="AF128" s="84" t="str">
        <f>VLOOKUP(AF$78,'Mine Production'!$A$7:$AB$45,'Mine Production'!$I$8,FALSE)</f>
        <v/>
      </c>
      <c r="AG128" s="88" t="str">
        <f>VLOOKUP(AG$78,'Mine Production'!$A$7:$AB$45,'Mine Production'!$I$8,FALSE)</f>
        <v/>
      </c>
      <c r="AH128" s="24"/>
      <c r="AI128" s="24"/>
      <c r="AJ128" s="24"/>
      <c r="AK128" s="24"/>
      <c r="AL128" s="24"/>
      <c r="AM128" s="24"/>
      <c r="AN128" s="24"/>
      <c r="AO128" s="24"/>
      <c r="AP128" s="24"/>
      <c r="AQ128" s="24"/>
      <c r="AR128" s="24"/>
      <c r="AS128" s="24"/>
      <c r="AT128" s="24"/>
      <c r="AU128" s="24"/>
      <c r="AV128" s="24"/>
      <c r="AW128" s="24"/>
      <c r="AX128" s="24"/>
      <c r="AY128" s="24"/>
      <c r="AZ128" s="24"/>
      <c r="BA128" s="24"/>
    </row>
    <row r="129" ht="12.75" customHeight="1">
      <c r="A129" s="46" t="s">
        <v>589</v>
      </c>
      <c r="B129" s="51" t="s">
        <v>588</v>
      </c>
      <c r="C129" s="84">
        <f>VLOOKUP(C$78,'Mine Production'!$A$7:$AB$45,'Mine Production'!$M$8,FALSE)</f>
        <v>4190057</v>
      </c>
      <c r="D129" s="84">
        <f>VLOOKUP(D$78,'Mine Production'!$A$7:$AB$45,'Mine Production'!$M$8,FALSE)</f>
        <v>0</v>
      </c>
      <c r="E129" s="84">
        <f>VLOOKUP(E$78,'Mine Production'!$A$7:$AB$45,'Mine Production'!$M$8,FALSE)</f>
        <v>0</v>
      </c>
      <c r="F129" s="84">
        <f>VLOOKUP(F$78,'Mine Production'!$A$7:$AB$45,'Mine Production'!$M$8,FALSE)</f>
        <v>0</v>
      </c>
      <c r="G129" s="84">
        <f>VLOOKUP(G$78,'Mine Production'!$A$7:$AB$45,'Mine Production'!$M$8,FALSE)</f>
        <v>0</v>
      </c>
      <c r="H129" s="84">
        <f>VLOOKUP(H$78,'Mine Production'!$A$7:$AB$45,'Mine Production'!$M$8,FALSE)</f>
        <v>0</v>
      </c>
      <c r="I129" s="84">
        <f>VLOOKUP(I$78,'Mine Production'!$A$7:$AB$45,'Mine Production'!$M$8,FALSE)</f>
        <v>3097584</v>
      </c>
      <c r="J129" s="84">
        <f>VLOOKUP(J$78,'Mine Production'!$A$7:$AB$45,'Mine Production'!$M$8,FALSE)</f>
        <v>10216194</v>
      </c>
      <c r="K129" s="84">
        <f>VLOOKUP(K$78,'Mine Production'!$A$7:$AB$45,'Mine Production'!$M$8,FALSE)</f>
        <v>11453546</v>
      </c>
      <c r="L129" s="84">
        <f>VLOOKUP(L$78,'Mine Production'!$A$7:$AB$45,'Mine Production'!$M$8,FALSE)</f>
        <v>9766852</v>
      </c>
      <c r="M129" s="84">
        <f>VLOOKUP(M$78,'Mine Production'!$A$7:$AB$45,'Mine Production'!$M$8,FALSE)</f>
        <v>11414277</v>
      </c>
      <c r="N129" s="84">
        <f>VLOOKUP(N$78,'Mine Production'!$A$7:$AB$45,'Mine Production'!$M$8,FALSE)</f>
        <v>10013251</v>
      </c>
      <c r="O129" s="84">
        <f>VLOOKUP(O$78,'Mine Production'!$A$7:$AB$45,'Mine Production'!$M$8,FALSE)</f>
        <v>7564231</v>
      </c>
      <c r="P129" s="84">
        <f>VLOOKUP(P$78,'Mine Production'!$A$7:$AB$45,'Mine Production'!$M$8,FALSE)</f>
        <v>8522265</v>
      </c>
      <c r="Q129" s="84">
        <f>VLOOKUP(Q$78,'Mine Production'!$A$7:$AB$45,'Mine Production'!$M$8,FALSE)</f>
        <v>9414483</v>
      </c>
      <c r="R129" s="84">
        <f>VLOOKUP(R$78,'Mine Production'!$A$7:$AB$45,'Mine Production'!$M$8,FALSE)</f>
        <v>7840491</v>
      </c>
      <c r="S129" s="84">
        <f>VLOOKUP(S$78,'Mine Production'!$A$7:$AB$45,'Mine Production'!$M$8,FALSE)</f>
        <v>8179632</v>
      </c>
      <c r="T129" s="84">
        <f>VLOOKUP(T$78,'Mine Production'!$A$7:$AB$45,'Mine Production'!$M$8,FALSE)</f>
        <v>8963048</v>
      </c>
      <c r="U129" s="84">
        <f>VLOOKUP(U$78,'Mine Production'!$A$7:$AB$45,'Mine Production'!$M$8,FALSE)</f>
        <v>7987838</v>
      </c>
      <c r="V129" s="84" t="str">
        <f>VLOOKUP(V$78,'Mine Production'!$A$7:$AB$45,'Mine Production'!$M$8,FALSE)</f>
        <v/>
      </c>
      <c r="W129" s="84" t="str">
        <f>VLOOKUP(W$78,'Mine Production'!$A$7:$AB$45,'Mine Production'!$M$8,FALSE)</f>
        <v/>
      </c>
      <c r="X129" s="84" t="str">
        <f>VLOOKUP(X$78,'Mine Production'!$A$7:$AB$45,'Mine Production'!$M$8,FALSE)</f>
        <v/>
      </c>
      <c r="Y129" s="84" t="str">
        <f>VLOOKUP(Y$78,'Mine Production'!$A$7:$AB$45,'Mine Production'!$M$8,FALSE)</f>
        <v/>
      </c>
      <c r="Z129" s="84" t="str">
        <f>VLOOKUP(Z$78,'Mine Production'!$A$7:$AB$45,'Mine Production'!$M$8,FALSE)</f>
        <v/>
      </c>
      <c r="AA129" s="84" t="str">
        <f>VLOOKUP(AA$78,'Mine Production'!$A$7:$AB$45,'Mine Production'!$M$8,FALSE)</f>
        <v/>
      </c>
      <c r="AB129" s="84" t="str">
        <f>VLOOKUP(AB$78,'Mine Production'!$A$7:$AB$45,'Mine Production'!$M$8,FALSE)</f>
        <v/>
      </c>
      <c r="AC129" s="84" t="str">
        <f>VLOOKUP(AC$78,'Mine Production'!$A$7:$AB$45,'Mine Production'!$M$8,FALSE)</f>
        <v/>
      </c>
      <c r="AD129" s="84" t="str">
        <f>VLOOKUP(AD$78,'Mine Production'!$A$7:$AB$45,'Mine Production'!$M$8,FALSE)</f>
        <v/>
      </c>
      <c r="AE129" s="84" t="str">
        <f>VLOOKUP(AE$78,'Mine Production'!$A$7:$AB$45,'Mine Production'!$M$8,FALSE)</f>
        <v/>
      </c>
      <c r="AF129" s="84" t="str">
        <f>VLOOKUP(AF$78,'Mine Production'!$A$7:$AB$45,'Mine Production'!$M$8,FALSE)</f>
        <v/>
      </c>
      <c r="AG129" s="88" t="str">
        <f>VLOOKUP(AG$78,'Mine Production'!$A$7:$AB$45,'Mine Production'!$M$8,FALSE)</f>
        <v/>
      </c>
      <c r="AH129" s="24"/>
      <c r="AI129" s="24"/>
      <c r="AJ129" s="24"/>
      <c r="AK129" s="24"/>
      <c r="AL129" s="24"/>
      <c r="AM129" s="24"/>
      <c r="AN129" s="24"/>
      <c r="AO129" s="24"/>
      <c r="AP129" s="24"/>
      <c r="AQ129" s="24"/>
      <c r="AR129" s="24"/>
      <c r="AS129" s="24"/>
      <c r="AT129" s="24"/>
      <c r="AU129" s="24"/>
      <c r="AV129" s="24"/>
      <c r="AW129" s="24"/>
      <c r="AX129" s="24"/>
      <c r="AY129" s="24"/>
      <c r="AZ129" s="24"/>
      <c r="BA129" s="24"/>
    </row>
    <row r="130" ht="12.75" customHeight="1">
      <c r="A130" s="46" t="s">
        <v>590</v>
      </c>
      <c r="B130" s="51" t="s">
        <v>588</v>
      </c>
      <c r="C130" s="84">
        <f>VLOOKUP(C$78,'Mine Production'!$A$7:$AB$45,'Mine Production'!$Y$8,FALSE)</f>
        <v>402783</v>
      </c>
      <c r="D130" s="84">
        <f>VLOOKUP(D$78,'Mine Production'!$A$7:$AB$45,'Mine Production'!$Y$8,FALSE)</f>
        <v>298987</v>
      </c>
      <c r="E130" s="84">
        <f>VLOOKUP(E$78,'Mine Production'!$A$7:$AB$45,'Mine Production'!$Y$8,FALSE)</f>
        <v>258705</v>
      </c>
      <c r="F130" s="84">
        <f>VLOOKUP(F$78,'Mine Production'!$A$7:$AB$45,'Mine Production'!$Y$8,FALSE)</f>
        <v>136866</v>
      </c>
      <c r="G130" s="84">
        <f>VLOOKUP(G$78,'Mine Production'!$A$7:$AB$45,'Mine Production'!$Y$8,FALSE)</f>
        <v>3605</v>
      </c>
      <c r="H130" s="84">
        <f>VLOOKUP(H$78,'Mine Production'!$A$7:$AB$45,'Mine Production'!$Y$8,FALSE)</f>
        <v>0</v>
      </c>
      <c r="I130" s="84">
        <f>VLOOKUP(I$78,'Mine Production'!$A$7:$AB$45,'Mine Production'!$Y$8,FALSE)</f>
        <v>0</v>
      </c>
      <c r="J130" s="84">
        <f>VLOOKUP(J$78,'Mine Production'!$A$7:$AB$45,'Mine Production'!$Y$8,FALSE)</f>
        <v>0</v>
      </c>
      <c r="K130" s="84">
        <f>VLOOKUP(K$78,'Mine Production'!$A$7:$AB$45,'Mine Production'!$Y$8,FALSE)</f>
        <v>0</v>
      </c>
      <c r="L130" s="84">
        <f>VLOOKUP(L$78,'Mine Production'!$A$7:$AB$45,'Mine Production'!$Y$8,FALSE)</f>
        <v>0</v>
      </c>
      <c r="M130" s="84">
        <f>VLOOKUP(M$78,'Mine Production'!$A$7:$AB$45,'Mine Production'!$Y$8,FALSE)</f>
        <v>0</v>
      </c>
      <c r="N130" s="84">
        <f>VLOOKUP(N$78,'Mine Production'!$A$7:$AB$45,'Mine Production'!$Y$8,FALSE)</f>
        <v>0</v>
      </c>
      <c r="O130" s="84">
        <f>VLOOKUP(O$78,'Mine Production'!$A$7:$AB$45,'Mine Production'!$Y$8,FALSE)</f>
        <v>0</v>
      </c>
      <c r="P130" s="84">
        <f>VLOOKUP(P$78,'Mine Production'!$A$7:$AB$45,'Mine Production'!$Y$8,FALSE)</f>
        <v>0</v>
      </c>
      <c r="Q130" s="84">
        <f>VLOOKUP(Q$78,'Mine Production'!$A$7:$AB$45,'Mine Production'!$Y$8,FALSE)</f>
        <v>0</v>
      </c>
      <c r="R130" s="84">
        <f>VLOOKUP(R$78,'Mine Production'!$A$7:$AB$45,'Mine Production'!$Y$8,FALSE)</f>
        <v>0</v>
      </c>
      <c r="S130" s="84">
        <f>VLOOKUP(S$78,'Mine Production'!$A$7:$AB$45,'Mine Production'!$Y$8,FALSE)</f>
        <v>0</v>
      </c>
      <c r="T130" s="84">
        <f>VLOOKUP(T$78,'Mine Production'!$A$7:$AB$45,'Mine Production'!$Y$8,FALSE)</f>
        <v>0</v>
      </c>
      <c r="U130" s="84">
        <f>VLOOKUP(U$78,'Mine Production'!$A$7:$AB$45,'Mine Production'!$Y$8,FALSE)</f>
        <v>0</v>
      </c>
      <c r="V130" s="84" t="str">
        <f>VLOOKUP(V$78,'Mine Production'!$A$7:$AB$45,'Mine Production'!$Y$8,FALSE)</f>
        <v/>
      </c>
      <c r="W130" s="84" t="str">
        <f>VLOOKUP(W$78,'Mine Production'!$A$7:$AB$45,'Mine Production'!$Y$8,FALSE)</f>
        <v/>
      </c>
      <c r="X130" s="84" t="str">
        <f>VLOOKUP(X$78,'Mine Production'!$A$7:$AB$45,'Mine Production'!$Y$8,FALSE)</f>
        <v/>
      </c>
      <c r="Y130" s="84" t="str">
        <f>VLOOKUP(Y$78,'Mine Production'!$A$7:$AB$45,'Mine Production'!$Y$8,FALSE)</f>
        <v/>
      </c>
      <c r="Z130" s="84" t="str">
        <f>VLOOKUP(Z$78,'Mine Production'!$A$7:$AB$45,'Mine Production'!$Y$8,FALSE)</f>
        <v/>
      </c>
      <c r="AA130" s="84" t="str">
        <f>VLOOKUP(AA$78,'Mine Production'!$A$7:$AB$45,'Mine Production'!$Y$8,FALSE)</f>
        <v/>
      </c>
      <c r="AB130" s="84" t="str">
        <f>VLOOKUP(AB$78,'Mine Production'!$A$7:$AB$45,'Mine Production'!$Y$8,FALSE)</f>
        <v/>
      </c>
      <c r="AC130" s="84" t="str">
        <f>VLOOKUP(AC$78,'Mine Production'!$A$7:$AB$45,'Mine Production'!$Y$8,FALSE)</f>
        <v/>
      </c>
      <c r="AD130" s="84" t="str">
        <f>VLOOKUP(AD$78,'Mine Production'!$A$7:$AB$45,'Mine Production'!$Y$8,FALSE)</f>
        <v/>
      </c>
      <c r="AE130" s="84" t="str">
        <f>VLOOKUP(AE$78,'Mine Production'!$A$7:$AB$45,'Mine Production'!$Y$8,FALSE)</f>
        <v/>
      </c>
      <c r="AF130" s="84" t="str">
        <f>VLOOKUP(AF$78,'Mine Production'!$A$7:$AB$45,'Mine Production'!$Y$8,FALSE)</f>
        <v/>
      </c>
      <c r="AG130" s="88" t="str">
        <f>VLOOKUP(AG$78,'Mine Production'!$A$7:$AB$45,'Mine Production'!$Y$8,FALSE)</f>
        <v/>
      </c>
      <c r="AH130" s="24"/>
      <c r="AI130" s="24"/>
      <c r="AJ130" s="24"/>
      <c r="AK130" s="24"/>
      <c r="AL130" s="24"/>
      <c r="AM130" s="24"/>
      <c r="AN130" s="24"/>
      <c r="AO130" s="24"/>
      <c r="AP130" s="24"/>
      <c r="AQ130" s="24"/>
      <c r="AR130" s="24"/>
      <c r="AS130" s="24"/>
      <c r="AT130" s="24"/>
      <c r="AU130" s="24"/>
      <c r="AV130" s="24"/>
      <c r="AW130" s="24"/>
      <c r="AX130" s="24"/>
      <c r="AY130" s="24"/>
      <c r="AZ130" s="24"/>
      <c r="BA130" s="24"/>
    </row>
    <row r="131" ht="12.75" customHeight="1">
      <c r="A131" s="46" t="s">
        <v>591</v>
      </c>
      <c r="B131" s="51" t="s">
        <v>588</v>
      </c>
      <c r="C131" s="84">
        <f>VLOOKUP(C$78,'Mine Production'!$A$7:$AB$45,'Mine Production'!$V$8,FALSE)</f>
        <v>372615</v>
      </c>
      <c r="D131" s="84">
        <f>VLOOKUP(D$78,'Mine Production'!$A$7:$AB$45,'Mine Production'!$V$8,FALSE)</f>
        <v>406806</v>
      </c>
      <c r="E131" s="84">
        <f>VLOOKUP(E$78,'Mine Production'!$A$7:$AB$45,'Mine Production'!$V$8,FALSE)</f>
        <v>455872</v>
      </c>
      <c r="F131" s="84">
        <f>VLOOKUP(F$78,'Mine Production'!$A$7:$AB$45,'Mine Production'!$V$8,FALSE)</f>
        <v>139038</v>
      </c>
      <c r="G131" s="84">
        <f>VLOOKUP(G$78,'Mine Production'!$A$7:$AB$45,'Mine Production'!$V$8,FALSE)</f>
        <v>16692</v>
      </c>
      <c r="H131" s="84">
        <f>VLOOKUP(H$78,'Mine Production'!$A$7:$AB$45,'Mine Production'!$V$8,FALSE)</f>
        <v>0</v>
      </c>
      <c r="I131" s="84">
        <f>VLOOKUP(I$78,'Mine Production'!$A$7:$AB$45,'Mine Production'!$V$8,FALSE)</f>
        <v>0</v>
      </c>
      <c r="J131" s="84">
        <f>VLOOKUP(J$78,'Mine Production'!$A$7:$AB$45,'Mine Production'!$V$8,FALSE)</f>
        <v>0</v>
      </c>
      <c r="K131" s="84">
        <f>VLOOKUP(K$78,'Mine Production'!$A$7:$AB$45,'Mine Production'!$V$8,FALSE)</f>
        <v>0</v>
      </c>
      <c r="L131" s="84">
        <f>VLOOKUP(L$78,'Mine Production'!$A$7:$AB$45,'Mine Production'!$V$8,FALSE)</f>
        <v>0</v>
      </c>
      <c r="M131" s="84">
        <f>VLOOKUP(M$78,'Mine Production'!$A$7:$AB$45,'Mine Production'!$V$8,FALSE)</f>
        <v>0</v>
      </c>
      <c r="N131" s="84">
        <f>VLOOKUP(N$78,'Mine Production'!$A$7:$AB$45,'Mine Production'!$V$8,FALSE)</f>
        <v>0</v>
      </c>
      <c r="O131" s="84">
        <f>VLOOKUP(O$78,'Mine Production'!$A$7:$AB$45,'Mine Production'!$V$8,FALSE)</f>
        <v>0</v>
      </c>
      <c r="P131" s="84">
        <f>VLOOKUP(P$78,'Mine Production'!$A$7:$AB$45,'Mine Production'!$V$8,FALSE)</f>
        <v>0</v>
      </c>
      <c r="Q131" s="84">
        <f>VLOOKUP(Q$78,'Mine Production'!$A$7:$AB$45,'Mine Production'!$V$8,FALSE)</f>
        <v>0</v>
      </c>
      <c r="R131" s="84">
        <f>VLOOKUP(R$78,'Mine Production'!$A$7:$AB$45,'Mine Production'!$V$8,FALSE)</f>
        <v>0</v>
      </c>
      <c r="S131" s="84">
        <f>VLOOKUP(S$78,'Mine Production'!$A$7:$AB$45,'Mine Production'!$V$8,FALSE)</f>
        <v>0</v>
      </c>
      <c r="T131" s="84">
        <f>VLOOKUP(T$78,'Mine Production'!$A$7:$AB$45,'Mine Production'!$V$8,FALSE)</f>
        <v>0</v>
      </c>
      <c r="U131" s="84">
        <f>VLOOKUP(U$78,'Mine Production'!$A$7:$AB$45,'Mine Production'!$V$8,FALSE)</f>
        <v>0</v>
      </c>
      <c r="V131" s="84" t="str">
        <f>VLOOKUP(V$78,'Mine Production'!$A$7:$AB$45,'Mine Production'!$V$8,FALSE)</f>
        <v/>
      </c>
      <c r="W131" s="84" t="str">
        <f>VLOOKUP(W$78,'Mine Production'!$A$7:$AB$45,'Mine Production'!$V$8,FALSE)</f>
        <v/>
      </c>
      <c r="X131" s="84" t="str">
        <f>VLOOKUP(X$78,'Mine Production'!$A$7:$AB$45,'Mine Production'!$V$8,FALSE)</f>
        <v/>
      </c>
      <c r="Y131" s="84" t="str">
        <f>VLOOKUP(Y$78,'Mine Production'!$A$7:$AB$45,'Mine Production'!$V$8,FALSE)</f>
        <v/>
      </c>
      <c r="Z131" s="84" t="str">
        <f>VLOOKUP(Z$78,'Mine Production'!$A$7:$AB$45,'Mine Production'!$V$8,FALSE)</f>
        <v/>
      </c>
      <c r="AA131" s="84" t="str">
        <f>VLOOKUP(AA$78,'Mine Production'!$A$7:$AB$45,'Mine Production'!$V$8,FALSE)</f>
        <v/>
      </c>
      <c r="AB131" s="84" t="str">
        <f>VLOOKUP(AB$78,'Mine Production'!$A$7:$AB$45,'Mine Production'!$V$8,FALSE)</f>
        <v/>
      </c>
      <c r="AC131" s="84" t="str">
        <f>VLOOKUP(AC$78,'Mine Production'!$A$7:$AB$45,'Mine Production'!$V$8,FALSE)</f>
        <v/>
      </c>
      <c r="AD131" s="84" t="str">
        <f>VLOOKUP(AD$78,'Mine Production'!$A$7:$AB$45,'Mine Production'!$V$8,FALSE)</f>
        <v/>
      </c>
      <c r="AE131" s="84" t="str">
        <f>VLOOKUP(AE$78,'Mine Production'!$A$7:$AB$45,'Mine Production'!$V$8,FALSE)</f>
        <v/>
      </c>
      <c r="AF131" s="84" t="str">
        <f>VLOOKUP(AF$78,'Mine Production'!$A$7:$AB$45,'Mine Production'!$V$8,FALSE)</f>
        <v/>
      </c>
      <c r="AG131" s="88" t="str">
        <f>VLOOKUP(AG$78,'Mine Production'!$A$7:$AB$45,'Mine Production'!$V$8,FALSE)</f>
        <v/>
      </c>
      <c r="AH131" s="24"/>
      <c r="AI131" s="24"/>
      <c r="AJ131" s="24"/>
      <c r="AK131" s="24"/>
      <c r="AL131" s="24"/>
      <c r="AM131" s="24"/>
      <c r="AN131" s="24"/>
      <c r="AO131" s="24"/>
      <c r="AP131" s="24"/>
      <c r="AQ131" s="24"/>
      <c r="AR131" s="24"/>
      <c r="AS131" s="24"/>
      <c r="AT131" s="24"/>
      <c r="AU131" s="24"/>
      <c r="AV131" s="24"/>
      <c r="AW131" s="24"/>
      <c r="AX131" s="24"/>
      <c r="AY131" s="24"/>
      <c r="AZ131" s="24"/>
      <c r="BA131" s="24"/>
    </row>
    <row r="132" ht="12.75" customHeight="1">
      <c r="A132" s="46" t="s">
        <v>592</v>
      </c>
      <c r="B132" s="51" t="s">
        <v>588</v>
      </c>
      <c r="C132" s="84">
        <f>VLOOKUP(C78,'Mine Production'!$A$7:$AB$45,'Mine Production'!$B$8,FALSE)</f>
        <v>152687</v>
      </c>
      <c r="D132" s="84">
        <f>VLOOKUP(D78,'Mine Production'!$A$7:$AB$45,'Mine Production'!$B$8,FALSE)</f>
        <v>202240</v>
      </c>
      <c r="E132" s="84">
        <f>VLOOKUP(E78,'Mine Production'!$A$7:$AB$45,'Mine Production'!$B$8,FALSE)</f>
        <v>192236</v>
      </c>
      <c r="F132" s="84">
        <f>VLOOKUP(F78,'Mine Production'!$A$7:$AB$45,'Mine Production'!$B$8,FALSE)</f>
        <v>171445</v>
      </c>
      <c r="G132" s="84">
        <f>VLOOKUP(G78,'Mine Production'!$A$7:$AB$45,'Mine Production'!$B$8,FALSE)</f>
        <v>206935</v>
      </c>
      <c r="H132" s="84">
        <f>VLOOKUP(H78,'Mine Production'!$A$7:$AB$45,'Mine Production'!$B$8,FALSE)</f>
        <v>180579</v>
      </c>
      <c r="I132" s="84">
        <f>VLOOKUP(I78,'Mine Production'!$A$7:$AB$45,'Mine Production'!$B$8,FALSE)</f>
        <v>194204</v>
      </c>
      <c r="J132" s="84">
        <f>VLOOKUP(J78,'Mine Production'!$A$7:$AB$45,'Mine Production'!$B$8,FALSE)</f>
        <v>206033</v>
      </c>
      <c r="K132" s="84">
        <f>VLOOKUP(K78,'Mine Production'!$A$7:$AB$45,'Mine Production'!$B$8,FALSE)</f>
        <v>182873</v>
      </c>
      <c r="L132" s="84">
        <f>VLOOKUP(L78,'Mine Production'!$A$7:$AB$45,'Mine Production'!$B$8,FALSE)</f>
        <v>197979</v>
      </c>
      <c r="M132" s="84">
        <f>VLOOKUP(M78,'Mine Production'!$A$7:$AB$45,'Mine Production'!$B$8,FALSE)</f>
        <v>188194</v>
      </c>
      <c r="N132" s="84">
        <f>VLOOKUP(N78,'Mine Production'!$A$7:$AB$45,'Mine Production'!$B$8,FALSE)</f>
        <v>193765</v>
      </c>
      <c r="O132" s="84">
        <f>VLOOKUP(O78,'Mine Production'!$A$7:$AB$45,'Mine Production'!$B$8,FALSE)</f>
        <v>180478</v>
      </c>
      <c r="P132" s="84">
        <f>VLOOKUP(P78,'Mine Production'!$A$7:$AB$45,'Mine Production'!$B$8,FALSE)</f>
        <v>157962</v>
      </c>
      <c r="Q132" s="84">
        <f>VLOOKUP(Q78,'Mine Production'!$A$7:$AB$45,'Mine Production'!$B$8,FALSE)</f>
        <v>140844</v>
      </c>
      <c r="R132" s="84">
        <f>VLOOKUP(R78,'Mine Production'!$A$7:$AB$45,'Mine Production'!$B$8,FALSE)</f>
        <v>145694</v>
      </c>
      <c r="S132" s="84">
        <f>VLOOKUP(S78,'Mine Production'!$A$7:$AB$45,'Mine Production'!$B$8,FALSE)</f>
        <v>161291</v>
      </c>
      <c r="T132" s="84">
        <f>VLOOKUP(T78,'Mine Production'!$A$7:$AB$45,'Mine Production'!$B$8,FALSE)</f>
        <v>188135</v>
      </c>
      <c r="U132" s="84">
        <f>VLOOKUP(U78,'Mine Production'!$A$7:$AB$45,'Mine Production'!$B$8,FALSE)</f>
        <v>190230</v>
      </c>
      <c r="V132" s="84" t="str">
        <f>VLOOKUP(V78,'Mine Production'!$A$7:$AB$45,'Mine Production'!$B$8,FALSE)</f>
        <v/>
      </c>
      <c r="W132" s="84" t="str">
        <f>VLOOKUP(W78,'Mine Production'!$A$7:$AB$45,'Mine Production'!$B$8,FALSE)</f>
        <v/>
      </c>
      <c r="X132" s="84" t="str">
        <f>VLOOKUP(X78,'Mine Production'!$A$7:$AB$45,'Mine Production'!$B$8,FALSE)</f>
        <v/>
      </c>
      <c r="Y132" s="84" t="str">
        <f>VLOOKUP(Y78,'Mine Production'!$A$7:$AB$45,'Mine Production'!$B$8,FALSE)</f>
        <v/>
      </c>
      <c r="Z132" s="84" t="str">
        <f>VLOOKUP(Z78,'Mine Production'!$A$7:$AB$45,'Mine Production'!$B$8,FALSE)</f>
        <v/>
      </c>
      <c r="AA132" s="84" t="str">
        <f>VLOOKUP(AA78,'Mine Production'!$A$7:$AB$45,'Mine Production'!$B$8,FALSE)</f>
        <v/>
      </c>
      <c r="AB132" s="84" t="str">
        <f>VLOOKUP(AB78,'Mine Production'!$A$7:$AB$45,'Mine Production'!$B$8,FALSE)</f>
        <v/>
      </c>
      <c r="AC132" s="84" t="str">
        <f>VLOOKUP(AC78,'Mine Production'!$A$7:$AB$45,'Mine Production'!$B$8,FALSE)</f>
        <v/>
      </c>
      <c r="AD132" s="84" t="str">
        <f>VLOOKUP(AD78,'Mine Production'!$A$7:$AB$45,'Mine Production'!$B$8,FALSE)</f>
        <v/>
      </c>
      <c r="AE132" s="84" t="str">
        <f>VLOOKUP(AE78,'Mine Production'!$A$7:$AB$45,'Mine Production'!$B$8,FALSE)</f>
        <v/>
      </c>
      <c r="AF132" s="84" t="str">
        <f>VLOOKUP(AF78,'Mine Production'!$A$7:$AB$45,'Mine Production'!$B$8,FALSE)</f>
        <v/>
      </c>
      <c r="AG132" s="88" t="str">
        <f>VLOOKUP(AG78,'Mine Production'!$A$7:$AB$45,'Mine Production'!$B$8,FALSE)</f>
        <v/>
      </c>
      <c r="AH132" s="24"/>
      <c r="AI132" s="49"/>
      <c r="AJ132" s="49"/>
      <c r="AK132" s="49"/>
      <c r="AL132" s="49"/>
      <c r="AM132" s="49"/>
      <c r="AN132" s="49"/>
      <c r="AO132" s="49"/>
      <c r="AP132" s="49"/>
      <c r="AQ132" s="49"/>
      <c r="AR132" s="49"/>
      <c r="AS132" s="49"/>
      <c r="AT132" s="49"/>
      <c r="AU132" s="49"/>
      <c r="AV132" s="49"/>
      <c r="AW132" s="49"/>
      <c r="AX132" s="49"/>
      <c r="AY132" s="49"/>
      <c r="AZ132" s="49"/>
      <c r="BA132" s="49"/>
    </row>
    <row r="133" ht="12.75" customHeight="1">
      <c r="A133" s="46" t="s">
        <v>593</v>
      </c>
      <c r="B133" s="51" t="s">
        <v>51</v>
      </c>
      <c r="C133" s="84" t="str">
        <f>VLOOKUP(C$78,'Electrical Generation'!$A$6:$O$42,'Electrical Generation'!$E$11,FALSE)</f>
        <v/>
      </c>
      <c r="D133" s="84">
        <f>VLOOKUP(D$78,'Electrical Generation'!$A$6:$O$42,'Electrical Generation'!$E$11,FALSE)</f>
        <v>5633726</v>
      </c>
      <c r="E133" s="84">
        <f>VLOOKUP(E$78,'Electrical Generation'!$A$6:$O$42,'Electrical Generation'!$E$11,FALSE)</f>
        <v>5759784</v>
      </c>
      <c r="F133" s="84">
        <f>VLOOKUP(F$78,'Electrical Generation'!$A$6:$O$42,'Electrical Generation'!$E$11,FALSE)</f>
        <v>5302528</v>
      </c>
      <c r="G133" s="84">
        <f>VLOOKUP(G$78,'Electrical Generation'!$A$6:$O$42,'Electrical Generation'!$E$11,FALSE)</f>
        <v>5824643</v>
      </c>
      <c r="H133" s="84">
        <f>VLOOKUP(H$78,'Electrical Generation'!$A$6:$O$42,'Electrical Generation'!$E$11,FALSE)</f>
        <v>5684004</v>
      </c>
      <c r="I133" s="84">
        <f>VLOOKUP(I$78,'Electrical Generation'!$A$6:$O$42,'Electrical Generation'!$E$11,FALSE)</f>
        <v>5776835</v>
      </c>
      <c r="J133" s="84">
        <f>VLOOKUP(J$78,'Electrical Generation'!$A$6:$O$42,'Electrical Generation'!$E$11,FALSE)</f>
        <v>5696857</v>
      </c>
      <c r="K133" s="84">
        <f>VLOOKUP(K$78,'Electrical Generation'!$A$6:$O$42,'Electrical Generation'!$E$11,FALSE)</f>
        <v>5638804</v>
      </c>
      <c r="L133" s="84">
        <f>VLOOKUP(L$78,'Electrical Generation'!$A$6:$O$42,'Electrical Generation'!$E$11,FALSE)</f>
        <v>5017796</v>
      </c>
      <c r="M133" s="84">
        <f>VLOOKUP(M$78,'Electrical Generation'!$A$6:$O$42,'Electrical Generation'!$E$11,FALSE)</f>
        <v>4707330</v>
      </c>
      <c r="N133" s="84">
        <f>VLOOKUP(N$78,'Electrical Generation'!$A$6:$O$42,'Electrical Generation'!$E$11,FALSE)</f>
        <v>5058930</v>
      </c>
      <c r="O133" s="84">
        <f>VLOOKUP(O$78,'Electrical Generation'!$A$6:$O$42,'Electrical Generation'!$E$11,FALSE)</f>
        <v>4906510</v>
      </c>
      <c r="P133" s="84">
        <f>VLOOKUP(P$78,'Electrical Generation'!$A$6:$O$42,'Electrical Generation'!$E$11,FALSE)</f>
        <v>5295074</v>
      </c>
      <c r="Q133" s="84">
        <f>VLOOKUP(Q$78,'Electrical Generation'!$A$6:$O$42,'Electrical Generation'!$E$11,FALSE)</f>
        <v>5183444</v>
      </c>
      <c r="R133" s="84">
        <f>VLOOKUP(R$78,'Electrical Generation'!$A$6:$O$42,'Electrical Generation'!$E$11,FALSE)</f>
        <v>5140970</v>
      </c>
      <c r="S133" s="84">
        <f>VLOOKUP(S$78,'Electrical Generation'!$A$6:$O$42,'Electrical Generation'!$E$11,FALSE)</f>
        <v>5088504</v>
      </c>
      <c r="T133" s="84">
        <f>VLOOKUP(T$78,'Electrical Generation'!$A$6:$O$42,'Electrical Generation'!$E$11,FALSE)</f>
        <v>4519978</v>
      </c>
      <c r="U133" s="84">
        <f>VLOOKUP(U$78,'Electrical Generation'!$A$6:$O$42,'Electrical Generation'!$E$11,FALSE)</f>
        <v>4429591</v>
      </c>
      <c r="V133" s="84" t="str">
        <f>VLOOKUP(V$78,'Electrical Generation'!$A$6:$O$42,'Electrical Generation'!$E$11,FALSE)</f>
        <v/>
      </c>
      <c r="W133" s="84" t="str">
        <f>VLOOKUP(W$78,'Electrical Generation'!$A$6:$O$42,'Electrical Generation'!$E$11,FALSE)</f>
        <v/>
      </c>
      <c r="X133" s="84" t="str">
        <f>VLOOKUP(X$78,'Electrical Generation'!$A$6:$O$42,'Electrical Generation'!$E$11,FALSE)</f>
        <v/>
      </c>
      <c r="Y133" s="84" t="str">
        <f>VLOOKUP(Y$78,'Electrical Generation'!$A$6:$O$42,'Electrical Generation'!$E$11,FALSE)</f>
        <v/>
      </c>
      <c r="Z133" s="84" t="str">
        <f>VLOOKUP(Z$78,'Electrical Generation'!$A$6:$O$42,'Electrical Generation'!$E$11,FALSE)</f>
        <v/>
      </c>
      <c r="AA133" s="84" t="str">
        <f>VLOOKUP(AA$78,'Electrical Generation'!$A$6:$O$42,'Electrical Generation'!$E$11,FALSE)</f>
        <v/>
      </c>
      <c r="AB133" s="84" t="str">
        <f>VLOOKUP(AB$78,'Electrical Generation'!$A$6:$O$42,'Electrical Generation'!$E$11,FALSE)</f>
        <v/>
      </c>
      <c r="AC133" s="84" t="str">
        <f>VLOOKUP(AC$78,'Electrical Generation'!$A$6:$O$42,'Electrical Generation'!$E$11,FALSE)</f>
        <v/>
      </c>
      <c r="AD133" s="84" t="str">
        <f>VLOOKUP(AD$78,'Electrical Generation'!$A$6:$O$42,'Electrical Generation'!$E$11,FALSE)</f>
        <v/>
      </c>
      <c r="AE133" s="84" t="str">
        <f>VLOOKUP(AE$78,'Electrical Generation'!$A$6:$O$42,'Electrical Generation'!$E$11,FALSE)</f>
        <v/>
      </c>
      <c r="AF133" s="84" t="str">
        <f>VLOOKUP(AF$78,'Electrical Generation'!$A$6:$O$42,'Electrical Generation'!$E$11,FALSE)</f>
        <v/>
      </c>
      <c r="AG133" s="88" t="str">
        <f>VLOOKUP(AG$78,'Electrical Generation'!$A$6:$O$42,'Electrical Generation'!$E$11,FALSE)</f>
        <v/>
      </c>
      <c r="AH133" s="24"/>
      <c r="AI133" s="24"/>
      <c r="AJ133" s="24"/>
      <c r="AK133" s="24"/>
      <c r="AL133" s="24"/>
      <c r="AM133" s="24"/>
      <c r="AN133" s="24"/>
      <c r="AO133" s="24"/>
      <c r="AP133" s="24"/>
      <c r="AQ133" s="24"/>
      <c r="AR133" s="24"/>
      <c r="AS133" s="24"/>
      <c r="AT133" s="24"/>
      <c r="AU133" s="24"/>
      <c r="AV133" s="24"/>
      <c r="AW133" s="24"/>
      <c r="AX133" s="24"/>
      <c r="AY133" s="24"/>
      <c r="AZ133" s="24"/>
      <c r="BA133" s="24"/>
    </row>
    <row r="134" ht="12.75" customHeight="1">
      <c r="A134" s="46" t="s">
        <v>594</v>
      </c>
      <c r="B134" s="51" t="s">
        <v>52</v>
      </c>
      <c r="C134" s="84" t="str">
        <f>VLOOKUP(C$78,'Electrical Generation'!$A$6:$O$42,'Electrical Generation'!$I$11,FALSE)</f>
        <v/>
      </c>
      <c r="D134" s="84">
        <f>VLOOKUP(D$78,'Electrical Generation'!$A$6:$O$42,'Electrical Generation'!$I$11,FALSE)</f>
        <v>12473857</v>
      </c>
      <c r="E134" s="84">
        <f>VLOOKUP(E$78,'Electrical Generation'!$A$6:$O$42,'Electrical Generation'!$I$11,FALSE)</f>
        <v>12398253</v>
      </c>
      <c r="F134" s="84">
        <f>VLOOKUP(F$78,'Electrical Generation'!$A$6:$O$42,'Electrical Generation'!$I$11,FALSE)</f>
        <v>13101880</v>
      </c>
      <c r="G134" s="84">
        <f>VLOOKUP(G$78,'Electrical Generation'!$A$6:$O$42,'Electrical Generation'!$I$11,FALSE)</f>
        <v>12830340</v>
      </c>
      <c r="H134" s="84">
        <f>VLOOKUP(H$78,'Electrical Generation'!$A$6:$O$42,'Electrical Generation'!$I$11,FALSE)</f>
        <v>13024102</v>
      </c>
      <c r="I134" s="84">
        <f>VLOOKUP(I$78,'Electrical Generation'!$A$6:$O$42,'Electrical Generation'!$I$11,FALSE)</f>
        <v>12777567</v>
      </c>
      <c r="J134" s="84">
        <f>VLOOKUP(J$78,'Electrical Generation'!$A$6:$O$42,'Electrical Generation'!$I$11,FALSE)</f>
        <v>12286482</v>
      </c>
      <c r="K134" s="84">
        <f>VLOOKUP(K$78,'Electrical Generation'!$A$6:$O$42,'Electrical Generation'!$I$11,FALSE)</f>
        <v>12301203</v>
      </c>
      <c r="L134" s="84">
        <f>VLOOKUP(L$78,'Electrical Generation'!$A$6:$O$42,'Electrical Generation'!$I$11,FALSE)</f>
        <v>11671407</v>
      </c>
      <c r="M134" s="84">
        <f>VLOOKUP(M$78,'Electrical Generation'!$A$6:$O$42,'Electrical Generation'!$I$11,FALSE)</f>
        <v>12468165</v>
      </c>
      <c r="N134" s="84">
        <f>VLOOKUP(N$78,'Electrical Generation'!$A$6:$O$42,'Electrical Generation'!$I$11,FALSE)</f>
        <v>12218777</v>
      </c>
      <c r="O134" s="84">
        <f>VLOOKUP(O$78,'Electrical Generation'!$A$6:$O$42,'Electrical Generation'!$I$11,FALSE)</f>
        <v>10997853</v>
      </c>
      <c r="P134" s="84">
        <f>VLOOKUP(P$78,'Electrical Generation'!$A$6:$O$42,'Electrical Generation'!$I$11,FALSE)</f>
        <v>11772095</v>
      </c>
      <c r="Q134" s="84">
        <f>VLOOKUP(Q$78,'Electrical Generation'!$A$6:$O$42,'Electrical Generation'!$I$11,FALSE)</f>
        <v>10102049</v>
      </c>
      <c r="R134" s="84">
        <f>VLOOKUP(R$78,'Electrical Generation'!$A$6:$O$42,'Electrical Generation'!$I$11,FALSE)</f>
        <v>10724956</v>
      </c>
      <c r="S134" s="84">
        <f>VLOOKUP(S$78,'Electrical Generation'!$A$6:$O$42,'Electrical Generation'!$I$11,FALSE)</f>
        <v>10282950</v>
      </c>
      <c r="T134" s="84">
        <f>VLOOKUP(T$78,'Electrical Generation'!$A$6:$O$42,'Electrical Generation'!$I$11,FALSE)</f>
        <v>10249037</v>
      </c>
      <c r="U134" s="84">
        <f>VLOOKUP(U$78,'Electrical Generation'!$A$6:$O$42,'Electrical Generation'!$I$11,FALSE)</f>
        <v>9669768</v>
      </c>
      <c r="V134" s="84" t="str">
        <f>VLOOKUP(V$78,'Electrical Generation'!$A$6:$O$42,'Electrical Generation'!$I$11,FALSE)</f>
        <v/>
      </c>
      <c r="W134" s="84" t="str">
        <f>VLOOKUP(W$78,'Electrical Generation'!$A$6:$O$42,'Electrical Generation'!$I$11,FALSE)</f>
        <v/>
      </c>
      <c r="X134" s="84" t="str">
        <f>VLOOKUP(X$78,'Electrical Generation'!$A$6:$O$42,'Electrical Generation'!$I$11,FALSE)</f>
        <v/>
      </c>
      <c r="Y134" s="84" t="str">
        <f>VLOOKUP(Y$78,'Electrical Generation'!$A$6:$O$42,'Electrical Generation'!$I$11,FALSE)</f>
        <v/>
      </c>
      <c r="Z134" s="84" t="str">
        <f>VLOOKUP(Z$78,'Electrical Generation'!$A$6:$O$42,'Electrical Generation'!$I$11,FALSE)</f>
        <v/>
      </c>
      <c r="AA134" s="84" t="str">
        <f>VLOOKUP(AA$78,'Electrical Generation'!$A$6:$O$42,'Electrical Generation'!$I$11,FALSE)</f>
        <v/>
      </c>
      <c r="AB134" s="84" t="str">
        <f>VLOOKUP(AB$78,'Electrical Generation'!$A$6:$O$42,'Electrical Generation'!$I$11,FALSE)</f>
        <v/>
      </c>
      <c r="AC134" s="84" t="str">
        <f>VLOOKUP(AC$78,'Electrical Generation'!$A$6:$O$42,'Electrical Generation'!$I$11,FALSE)</f>
        <v/>
      </c>
      <c r="AD134" s="84" t="str">
        <f>VLOOKUP(AD$78,'Electrical Generation'!$A$6:$O$42,'Electrical Generation'!$I$11,FALSE)</f>
        <v/>
      </c>
      <c r="AE134" s="84" t="str">
        <f>VLOOKUP(AE$78,'Electrical Generation'!$A$6:$O$42,'Electrical Generation'!$I$11,FALSE)</f>
        <v/>
      </c>
      <c r="AF134" s="84" t="str">
        <f>VLOOKUP(AF$78,'Electrical Generation'!$A$6:$O$42,'Electrical Generation'!$I$11,FALSE)</f>
        <v/>
      </c>
      <c r="AG134" s="88" t="str">
        <f>VLOOKUP(AG$78,'Electrical Generation'!$A$6:$O$42,'Electrical Generation'!$I$11,FALSE)</f>
        <v/>
      </c>
      <c r="AH134" s="24"/>
      <c r="AI134" s="509"/>
      <c r="AJ134" s="509"/>
      <c r="AK134" s="49"/>
      <c r="AL134" s="49"/>
      <c r="AM134" s="49"/>
      <c r="AN134" s="49"/>
      <c r="AO134" s="49"/>
      <c r="AP134" s="49"/>
      <c r="AQ134" s="49"/>
      <c r="AR134" s="49"/>
      <c r="AS134" s="49"/>
      <c r="AT134" s="49"/>
      <c r="AU134" s="49"/>
      <c r="AV134" s="49"/>
      <c r="AW134" s="49"/>
      <c r="AX134" s="49"/>
      <c r="AY134" s="49"/>
      <c r="AZ134" s="49"/>
      <c r="BA134" s="49"/>
    </row>
    <row r="135" ht="12.75" customHeight="1">
      <c r="A135" s="349" t="s">
        <v>321</v>
      </c>
      <c r="B135" s="350"/>
      <c r="C135" s="398"/>
      <c r="D135" s="398"/>
      <c r="E135" s="398"/>
      <c r="F135" s="398"/>
      <c r="G135" s="398"/>
      <c r="H135" s="398"/>
      <c r="I135" s="398"/>
      <c r="J135" s="398"/>
      <c r="K135" s="398"/>
      <c r="L135" s="398"/>
      <c r="M135" s="398"/>
      <c r="N135" s="398"/>
      <c r="O135" s="398"/>
      <c r="P135" s="398"/>
      <c r="Q135" s="398"/>
      <c r="R135" s="398"/>
      <c r="S135" s="398"/>
      <c r="T135" s="398"/>
      <c r="U135" s="398"/>
      <c r="V135" s="398"/>
      <c r="W135" s="398"/>
      <c r="X135" s="398"/>
      <c r="Y135" s="398"/>
      <c r="Z135" s="398"/>
      <c r="AA135" s="398"/>
      <c r="AB135" s="398"/>
      <c r="AC135" s="398"/>
      <c r="AD135" s="398"/>
      <c r="AE135" s="398"/>
      <c r="AF135" s="398"/>
      <c r="AG135" s="399"/>
      <c r="AH135" s="24"/>
      <c r="AI135" s="49"/>
      <c r="AJ135" s="49"/>
      <c r="AK135" s="49"/>
      <c r="AL135" s="49"/>
      <c r="AM135" s="49"/>
      <c r="AN135" s="49"/>
      <c r="AO135" s="49"/>
      <c r="AP135" s="49"/>
      <c r="AQ135" s="49"/>
      <c r="AR135" s="49"/>
      <c r="AS135" s="49"/>
      <c r="AT135" s="49"/>
      <c r="AU135" s="49"/>
      <c r="AV135" s="49"/>
      <c r="AW135" s="49"/>
      <c r="AX135" s="49"/>
      <c r="AY135" s="49"/>
      <c r="AZ135" s="49"/>
      <c r="BA135" s="49"/>
    </row>
    <row r="136" ht="12.75" customHeight="1">
      <c r="A136" s="46" t="s">
        <v>48</v>
      </c>
      <c r="B136" s="51" t="s">
        <v>51</v>
      </c>
      <c r="C136" s="50">
        <f t="shared" ref="C136:C137" si="54">C114+C116+C118+C120+C122+C124</f>
        <v>60876</v>
      </c>
      <c r="D136" s="84">
        <f t="shared" ref="D136:AG136" si="53">SUM(D114,D116,D118,D120,D122,D124)</f>
        <v>64644.51223</v>
      </c>
      <c r="E136" s="84">
        <f t="shared" si="53"/>
        <v>63488.01643</v>
      </c>
      <c r="F136" s="84">
        <f t="shared" si="53"/>
        <v>59592.00781</v>
      </c>
      <c r="G136" s="84">
        <f t="shared" si="53"/>
        <v>63695.9887</v>
      </c>
      <c r="H136" s="84">
        <f t="shared" si="53"/>
        <v>66022.72314</v>
      </c>
      <c r="I136" s="84">
        <f t="shared" si="53"/>
        <v>69080.62716</v>
      </c>
      <c r="J136" s="84">
        <f t="shared" si="53"/>
        <v>73924.79869</v>
      </c>
      <c r="K136" s="84">
        <f t="shared" si="53"/>
        <v>74404.77159</v>
      </c>
      <c r="L136" s="84">
        <f t="shared" si="53"/>
        <v>68909.47037</v>
      </c>
      <c r="M136" s="84">
        <f t="shared" si="53"/>
        <v>85259.08008</v>
      </c>
      <c r="N136" s="84">
        <f t="shared" si="53"/>
        <v>90861.15312</v>
      </c>
      <c r="O136" s="84">
        <f t="shared" si="53"/>
        <v>94042.46519</v>
      </c>
      <c r="P136" s="84">
        <f t="shared" si="53"/>
        <v>103979.3607</v>
      </c>
      <c r="Q136" s="48">
        <f t="shared" si="53"/>
        <v>114798.823</v>
      </c>
      <c r="R136" s="84">
        <f t="shared" si="53"/>
        <v>125090.5852</v>
      </c>
      <c r="S136" s="84">
        <f t="shared" si="53"/>
        <v>115582.5174</v>
      </c>
      <c r="T136" s="84">
        <f t="shared" si="53"/>
        <v>139245.2777</v>
      </c>
      <c r="U136" s="84">
        <f t="shared" si="53"/>
        <v>156802.1966</v>
      </c>
      <c r="V136" s="84">
        <f t="shared" si="53"/>
        <v>0</v>
      </c>
      <c r="W136" s="84">
        <f t="shared" si="53"/>
        <v>0</v>
      </c>
      <c r="X136" s="84">
        <f t="shared" si="53"/>
        <v>0</v>
      </c>
      <c r="Y136" s="84">
        <f t="shared" si="53"/>
        <v>0</v>
      </c>
      <c r="Z136" s="84">
        <f t="shared" si="53"/>
        <v>0</v>
      </c>
      <c r="AA136" s="84">
        <f t="shared" si="53"/>
        <v>0</v>
      </c>
      <c r="AB136" s="84">
        <f t="shared" si="53"/>
        <v>0</v>
      </c>
      <c r="AC136" s="84">
        <f t="shared" si="53"/>
        <v>0</v>
      </c>
      <c r="AD136" s="84">
        <f t="shared" si="53"/>
        <v>0</v>
      </c>
      <c r="AE136" s="84">
        <f t="shared" si="53"/>
        <v>0</v>
      </c>
      <c r="AF136" s="84">
        <f t="shared" si="53"/>
        <v>0</v>
      </c>
      <c r="AG136" s="88">
        <f t="shared" si="53"/>
        <v>0</v>
      </c>
      <c r="AH136" s="148"/>
      <c r="AI136" s="24"/>
      <c r="AJ136" s="24"/>
      <c r="AK136" s="24"/>
      <c r="AL136" s="24"/>
      <c r="AM136" s="24"/>
      <c r="AN136" s="24"/>
      <c r="AO136" s="24"/>
      <c r="AP136" s="24"/>
      <c r="AQ136" s="24"/>
      <c r="AR136" s="24"/>
      <c r="AS136" s="24"/>
      <c r="AT136" s="24"/>
      <c r="AU136" s="24"/>
      <c r="AV136" s="24"/>
      <c r="AW136" s="24"/>
      <c r="AX136" s="24"/>
      <c r="AY136" s="24"/>
      <c r="AZ136" s="24"/>
      <c r="BA136" s="24"/>
    </row>
    <row r="137" ht="12.75" customHeight="1">
      <c r="A137" s="153" t="s">
        <v>49</v>
      </c>
      <c r="B137" s="215" t="s">
        <v>52</v>
      </c>
      <c r="C137" s="485">
        <f t="shared" si="54"/>
        <v>20550</v>
      </c>
      <c r="D137" s="157">
        <f t="shared" ref="D137:AG137" si="55">SUM(D115,D117,D119,D121,D123,D125)</f>
        <v>20664.56078</v>
      </c>
      <c r="E137" s="157">
        <f t="shared" si="55"/>
        <v>20598.04394</v>
      </c>
      <c r="F137" s="157">
        <f t="shared" si="55"/>
        <v>20942.52595</v>
      </c>
      <c r="G137" s="157">
        <f t="shared" si="55"/>
        <v>20747.54426</v>
      </c>
      <c r="H137" s="157">
        <f t="shared" si="55"/>
        <v>20979.23665</v>
      </c>
      <c r="I137" s="157">
        <f t="shared" si="55"/>
        <v>20902.00065</v>
      </c>
      <c r="J137" s="157">
        <f t="shared" si="55"/>
        <v>21196.85584</v>
      </c>
      <c r="K137" s="157">
        <f t="shared" si="55"/>
        <v>21425.88667</v>
      </c>
      <c r="L137" s="157">
        <f t="shared" si="55"/>
        <v>20463.27908</v>
      </c>
      <c r="M137" s="157">
        <f t="shared" si="55"/>
        <v>22540.18507</v>
      </c>
      <c r="N137" s="157">
        <f t="shared" si="55"/>
        <v>23575.27905</v>
      </c>
      <c r="O137" s="157">
        <f t="shared" si="55"/>
        <v>23760.5366</v>
      </c>
      <c r="P137" s="157">
        <f t="shared" si="55"/>
        <v>25828.87006</v>
      </c>
      <c r="Q137" s="254">
        <f t="shared" si="55"/>
        <v>33148.763</v>
      </c>
      <c r="R137" s="157">
        <f t="shared" si="55"/>
        <v>35662.63229</v>
      </c>
      <c r="S137" s="157">
        <f t="shared" si="55"/>
        <v>34566.69067</v>
      </c>
      <c r="T137" s="157">
        <f t="shared" si="55"/>
        <v>37301.68594</v>
      </c>
      <c r="U137" s="157">
        <f t="shared" si="55"/>
        <v>38693.09689</v>
      </c>
      <c r="V137" s="157">
        <f t="shared" si="55"/>
        <v>0</v>
      </c>
      <c r="W137" s="157">
        <f t="shared" si="55"/>
        <v>0</v>
      </c>
      <c r="X137" s="157">
        <f t="shared" si="55"/>
        <v>0</v>
      </c>
      <c r="Y137" s="157">
        <f t="shared" si="55"/>
        <v>0</v>
      </c>
      <c r="Z137" s="157">
        <f t="shared" si="55"/>
        <v>0</v>
      </c>
      <c r="AA137" s="157">
        <f t="shared" si="55"/>
        <v>0</v>
      </c>
      <c r="AB137" s="157">
        <f t="shared" si="55"/>
        <v>0</v>
      </c>
      <c r="AC137" s="157">
        <f t="shared" si="55"/>
        <v>0</v>
      </c>
      <c r="AD137" s="157">
        <f t="shared" si="55"/>
        <v>0</v>
      </c>
      <c r="AE137" s="157">
        <f t="shared" si="55"/>
        <v>0</v>
      </c>
      <c r="AF137" s="157">
        <f t="shared" si="55"/>
        <v>0</v>
      </c>
      <c r="AG137" s="158">
        <f t="shared" si="55"/>
        <v>0</v>
      </c>
      <c r="AH137" s="24"/>
      <c r="AI137" s="24"/>
      <c r="AJ137" s="24"/>
      <c r="AK137" s="24"/>
      <c r="AL137" s="24"/>
      <c r="AM137" s="24"/>
      <c r="AN137" s="24"/>
      <c r="AO137" s="24"/>
      <c r="AP137" s="24"/>
      <c r="AQ137" s="24"/>
      <c r="AR137" s="24"/>
      <c r="AS137" s="24"/>
      <c r="AT137" s="24"/>
      <c r="AU137" s="24"/>
      <c r="AV137" s="24"/>
      <c r="AW137" s="24"/>
      <c r="AX137" s="24"/>
      <c r="AY137" s="24"/>
      <c r="AZ137" s="24"/>
      <c r="BA137" s="24"/>
    </row>
    <row r="138" ht="12.75" customHeight="1">
      <c r="A138" s="160"/>
      <c r="B138" s="49"/>
      <c r="C138" s="71"/>
      <c r="D138" s="84"/>
      <c r="E138" s="84"/>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24"/>
      <c r="AI138" s="24"/>
      <c r="AJ138" s="24"/>
      <c r="AK138" s="24"/>
      <c r="AL138" s="24"/>
      <c r="AM138" s="24"/>
      <c r="AN138" s="24"/>
      <c r="AO138" s="24"/>
      <c r="AP138" s="24"/>
      <c r="AQ138" s="24"/>
      <c r="AR138" s="24"/>
      <c r="AS138" s="24"/>
      <c r="AT138" s="24"/>
      <c r="AU138" s="24"/>
      <c r="AV138" s="24"/>
      <c r="AW138" s="24"/>
      <c r="AX138" s="24"/>
      <c r="AY138" s="24"/>
      <c r="AZ138" s="24"/>
      <c r="BA138" s="24"/>
    </row>
    <row r="139" ht="12.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row>
    <row r="140" ht="12.75" customHeight="1">
      <c r="A140" s="30" t="s">
        <v>276</v>
      </c>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2"/>
      <c r="AH140" s="24"/>
      <c r="AI140" s="24"/>
      <c r="AJ140" s="24"/>
      <c r="AK140" s="24"/>
      <c r="AL140" s="24"/>
      <c r="AM140" s="24"/>
      <c r="AN140" s="24"/>
      <c r="AO140" s="24"/>
      <c r="AP140" s="24"/>
      <c r="AQ140" s="24"/>
      <c r="AR140" s="24"/>
      <c r="AS140" s="24"/>
      <c r="AT140" s="24"/>
      <c r="AU140" s="24"/>
      <c r="AV140" s="24"/>
      <c r="AW140" s="24"/>
      <c r="AX140" s="24"/>
      <c r="AY140" s="24"/>
      <c r="AZ140" s="24"/>
      <c r="BA140" s="24"/>
    </row>
    <row r="141" ht="12.75" customHeight="1">
      <c r="A141" s="33" t="s">
        <v>37</v>
      </c>
      <c r="B141" s="34"/>
      <c r="C141" s="35">
        <v>2000.0</v>
      </c>
      <c r="D141" s="35">
        <v>2001.0</v>
      </c>
      <c r="E141" s="35">
        <v>2002.0</v>
      </c>
      <c r="F141" s="35">
        <v>2003.0</v>
      </c>
      <c r="G141" s="35">
        <v>2004.0</v>
      </c>
      <c r="H141" s="35">
        <v>2005.0</v>
      </c>
      <c r="I141" s="35">
        <v>2006.0</v>
      </c>
      <c r="J141" s="35">
        <v>2007.0</v>
      </c>
      <c r="K141" s="35">
        <v>2008.0</v>
      </c>
      <c r="L141" s="35">
        <v>2009.0</v>
      </c>
      <c r="M141" s="35">
        <v>2010.0</v>
      </c>
      <c r="N141" s="35">
        <v>2011.0</v>
      </c>
      <c r="O141" s="35">
        <v>2012.0</v>
      </c>
      <c r="P141" s="35">
        <v>2013.0</v>
      </c>
      <c r="Q141" s="35">
        <v>2014.0</v>
      </c>
      <c r="R141" s="35">
        <v>2015.0</v>
      </c>
      <c r="S141" s="35">
        <v>2016.0</v>
      </c>
      <c r="T141" s="35">
        <v>2017.0</v>
      </c>
      <c r="U141" s="35">
        <v>2018.0</v>
      </c>
      <c r="V141" s="35">
        <v>2019.0</v>
      </c>
      <c r="W141" s="35">
        <v>2020.0</v>
      </c>
      <c r="X141" s="35">
        <v>2021.0</v>
      </c>
      <c r="Y141" s="35">
        <v>2022.0</v>
      </c>
      <c r="Z141" s="35">
        <v>2023.0</v>
      </c>
      <c r="AA141" s="35">
        <v>2024.0</v>
      </c>
      <c r="AB141" s="35">
        <v>2025.0</v>
      </c>
      <c r="AC141" s="35">
        <v>2026.0</v>
      </c>
      <c r="AD141" s="35">
        <v>2027.0</v>
      </c>
      <c r="AE141" s="35">
        <v>2028.0</v>
      </c>
      <c r="AF141" s="35">
        <v>2029.0</v>
      </c>
      <c r="AG141" s="36">
        <v>2030.0</v>
      </c>
      <c r="AH141" s="24"/>
      <c r="AI141" s="24"/>
      <c r="AJ141" s="24"/>
      <c r="AK141" s="24"/>
      <c r="AL141" s="24"/>
      <c r="AM141" s="24"/>
      <c r="AN141" s="24"/>
      <c r="AO141" s="24"/>
      <c r="AP141" s="24"/>
      <c r="AQ141" s="24"/>
      <c r="AR141" s="24"/>
      <c r="AS141" s="24"/>
      <c r="AT141" s="24"/>
      <c r="AU141" s="24"/>
      <c r="AV141" s="24"/>
      <c r="AW141" s="24"/>
      <c r="AX141" s="24"/>
      <c r="AY141" s="24"/>
      <c r="AZ141" s="24"/>
      <c r="BA141" s="24"/>
    </row>
    <row r="142" ht="12.75" customHeight="1">
      <c r="A142" s="307" t="s">
        <v>300</v>
      </c>
      <c r="B142" s="308"/>
      <c r="C142" s="309"/>
      <c r="D142" s="309"/>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202"/>
      <c r="AH142" s="24"/>
      <c r="AI142" s="24"/>
      <c r="AJ142" s="24"/>
      <c r="AK142" s="24"/>
      <c r="AL142" s="24"/>
      <c r="AM142" s="24"/>
      <c r="AN142" s="24"/>
      <c r="AO142" s="24"/>
      <c r="AP142" s="24"/>
      <c r="AQ142" s="24"/>
      <c r="AR142" s="24"/>
      <c r="AS142" s="24"/>
      <c r="AT142" s="24"/>
      <c r="AU142" s="24"/>
      <c r="AV142" s="24"/>
      <c r="AW142" s="24"/>
      <c r="AX142" s="24"/>
      <c r="AY142" s="24"/>
      <c r="AZ142" s="24"/>
      <c r="BA142" s="24"/>
    </row>
    <row r="143" ht="12.75" customHeight="1">
      <c r="A143" s="46" t="s">
        <v>298</v>
      </c>
      <c r="B143" s="51" t="s">
        <v>51</v>
      </c>
      <c r="C143" s="49"/>
      <c r="D143" s="510">
        <v>24329.0</v>
      </c>
      <c r="E143" s="49"/>
      <c r="F143" s="49"/>
      <c r="G143" s="49"/>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51"/>
      <c r="AH143" s="24"/>
      <c r="AI143" s="24"/>
      <c r="AJ143" s="24"/>
      <c r="AK143" s="24"/>
      <c r="AL143" s="24"/>
      <c r="AM143" s="24"/>
      <c r="AN143" s="24"/>
      <c r="AO143" s="24"/>
      <c r="AP143" s="24"/>
      <c r="AQ143" s="24"/>
      <c r="AR143" s="24"/>
      <c r="AS143" s="24"/>
      <c r="AT143" s="24"/>
      <c r="AU143" s="24"/>
      <c r="AV143" s="24"/>
      <c r="AW143" s="24"/>
      <c r="AX143" s="24"/>
      <c r="AY143" s="24"/>
      <c r="AZ143" s="24"/>
      <c r="BA143" s="24"/>
    </row>
    <row r="144" ht="12.75" customHeight="1">
      <c r="A144" s="46" t="s">
        <v>595</v>
      </c>
      <c r="B144" s="51" t="s">
        <v>51</v>
      </c>
      <c r="C144" s="510">
        <f>(339643162-293710379)*42/325851</f>
        <v>5920.426471</v>
      </c>
      <c r="D144" s="24"/>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51"/>
      <c r="AH144" s="24"/>
      <c r="AI144" s="24"/>
      <c r="AJ144" s="24"/>
      <c r="AK144" s="24"/>
      <c r="AL144" s="24"/>
      <c r="AM144" s="24"/>
      <c r="AN144" s="24"/>
      <c r="AO144" s="24"/>
      <c r="AP144" s="24"/>
      <c r="AQ144" s="24"/>
      <c r="AR144" s="24"/>
      <c r="AS144" s="24"/>
      <c r="AT144" s="24"/>
      <c r="AU144" s="24"/>
      <c r="AV144" s="24"/>
      <c r="AW144" s="24"/>
      <c r="AX144" s="24"/>
      <c r="AY144" s="24"/>
      <c r="AZ144" s="24"/>
      <c r="BA144" s="24"/>
    </row>
    <row r="145" ht="12.75" customHeight="1">
      <c r="A145" s="46" t="s">
        <v>596</v>
      </c>
      <c r="B145" s="51" t="s">
        <v>52</v>
      </c>
      <c r="C145" s="510">
        <v>0.0</v>
      </c>
      <c r="D145" s="24"/>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51"/>
      <c r="AH145" s="24"/>
      <c r="AI145" s="24"/>
      <c r="AJ145" s="24"/>
      <c r="AK145" s="24"/>
      <c r="AL145" s="24"/>
      <c r="AM145" s="24"/>
      <c r="AN145" s="24"/>
      <c r="AO145" s="24"/>
      <c r="AP145" s="24"/>
      <c r="AQ145" s="24"/>
      <c r="AR145" s="24"/>
      <c r="AS145" s="24"/>
      <c r="AT145" s="24"/>
      <c r="AU145" s="24"/>
      <c r="AV145" s="24"/>
      <c r="AW145" s="24"/>
      <c r="AX145" s="24"/>
      <c r="AY145" s="24"/>
      <c r="AZ145" s="24"/>
      <c r="BA145" s="24"/>
    </row>
    <row r="146" ht="12.75" customHeight="1">
      <c r="A146" s="349" t="s">
        <v>306</v>
      </c>
      <c r="B146" s="350"/>
      <c r="C146" s="398"/>
      <c r="D146" s="398"/>
      <c r="E146" s="398"/>
      <c r="F146" s="398"/>
      <c r="G146" s="398"/>
      <c r="H146" s="398"/>
      <c r="I146" s="398"/>
      <c r="J146" s="398"/>
      <c r="K146" s="398"/>
      <c r="L146" s="398"/>
      <c r="M146" s="398"/>
      <c r="N146" s="398"/>
      <c r="O146" s="398"/>
      <c r="P146" s="398"/>
      <c r="Q146" s="398"/>
      <c r="R146" s="398"/>
      <c r="S146" s="398"/>
      <c r="T146" s="398"/>
      <c r="U146" s="398"/>
      <c r="V146" s="398"/>
      <c r="W146" s="398"/>
      <c r="X146" s="398"/>
      <c r="Y146" s="398"/>
      <c r="Z146" s="398"/>
      <c r="AA146" s="398"/>
      <c r="AB146" s="398"/>
      <c r="AC146" s="398"/>
      <c r="AD146" s="398"/>
      <c r="AE146" s="398"/>
      <c r="AF146" s="398"/>
      <c r="AG146" s="399"/>
      <c r="AH146" s="24"/>
      <c r="AI146" s="24"/>
      <c r="AJ146" s="24"/>
      <c r="AK146" s="24"/>
      <c r="AL146" s="24"/>
      <c r="AM146" s="24"/>
      <c r="AN146" s="24"/>
      <c r="AO146" s="24"/>
      <c r="AP146" s="24"/>
      <c r="AQ146" s="24"/>
      <c r="AR146" s="24"/>
      <c r="AS146" s="24"/>
      <c r="AT146" s="24"/>
      <c r="AU146" s="24"/>
      <c r="AV146" s="24"/>
      <c r="AW146" s="24"/>
      <c r="AX146" s="24"/>
      <c r="AY146" s="24"/>
      <c r="AZ146" s="24"/>
      <c r="BA146" s="24"/>
    </row>
    <row r="147" ht="12.75" customHeight="1">
      <c r="A147" s="46" t="s">
        <v>298</v>
      </c>
      <c r="B147" s="51" t="s">
        <v>51</v>
      </c>
      <c r="C147" s="84">
        <f>VLOOKUP(C141,'Coalbed Methane'!$A$6:$K$60,'Coalbed Methane'!$K$9,FALSE)</f>
        <v>15859.87442</v>
      </c>
      <c r="D147" s="84">
        <f>VLOOKUP(D141,'Coalbed Methane'!$A$6:$K$60,'Coalbed Methane'!$K$9,FALSE)</f>
        <v>27990.10422</v>
      </c>
      <c r="E147" s="84">
        <f>VLOOKUP(E141,'Coalbed Methane'!$A$6:$K$60,'Coalbed Methane'!$K$9,FALSE)</f>
        <v>40719.602</v>
      </c>
      <c r="F147" s="84">
        <f>VLOOKUP(F141,'Coalbed Methane'!$A$6:$K$60,'Coalbed Methane'!$K$9,FALSE)</f>
        <v>41250.95044</v>
      </c>
      <c r="G147" s="84">
        <f>VLOOKUP(G141,'Coalbed Methane'!$A$6:$K$60,'Coalbed Methane'!$K$9,FALSE)</f>
        <v>42418.92219</v>
      </c>
      <c r="H147" s="84">
        <f>VLOOKUP(H141,'Coalbed Methane'!$A$6:$K$60,'Coalbed Methane'!$K$9,FALSE)</f>
        <v>51558.18257</v>
      </c>
      <c r="I147" s="84">
        <f>VLOOKUP(I141,'Coalbed Methane'!$A$6:$K$60,'Coalbed Methane'!$K$9,FALSE)</f>
        <v>67386.80566</v>
      </c>
      <c r="J147" s="84">
        <f>VLOOKUP(J141,'Coalbed Methane'!$A$6:$K$60,'Coalbed Methane'!$K$9,FALSE)</f>
        <v>71416.6561</v>
      </c>
      <c r="K147" s="84">
        <f>VLOOKUP(K141,'Coalbed Methane'!$A$6:$K$60,'Coalbed Methane'!$K$9,FALSE)</f>
        <v>77985.04604</v>
      </c>
      <c r="L147" s="84">
        <f>VLOOKUP(L141,'Coalbed Methane'!$A$6:$K$60,'Coalbed Methane'!$K$9,FALSE)</f>
        <v>66714.84213</v>
      </c>
      <c r="M147" s="84">
        <f>VLOOKUP(M141,'Coalbed Methane'!$A$6:$K$60,'Coalbed Methane'!$K$9,FALSE)</f>
        <v>64004.84869</v>
      </c>
      <c r="N147" s="84">
        <f>VLOOKUP(N141,'Coalbed Methane'!$A$6:$K$60,'Coalbed Methane'!$K$9,FALSE)</f>
        <v>59798.54181</v>
      </c>
      <c r="O147" s="84">
        <f>VLOOKUP(O141,'Coalbed Methane'!$A$6:$K$60,'Coalbed Methane'!$K$9,FALSE)</f>
        <v>46247.26465</v>
      </c>
      <c r="P147" s="84">
        <f>VLOOKUP(P141,'Coalbed Methane'!$A$6:$K$60,'Coalbed Methane'!$K$9,FALSE)</f>
        <v>37671.28113</v>
      </c>
      <c r="Q147" s="84">
        <f>VLOOKUP(Q141,'Coalbed Methane'!$A$6:$K$60,'Coalbed Methane'!$K$9,FALSE)</f>
        <v>32312.06277</v>
      </c>
      <c r="R147" s="84">
        <f>VLOOKUP(R141,'Coalbed Methane'!$A$6:$K$60,'Coalbed Methane'!$K$9,FALSE)</f>
        <v>24128.97119</v>
      </c>
      <c r="S147" s="84">
        <f>VLOOKUP(S141,'Coalbed Methane'!$A$6:$K$60,'Coalbed Methane'!$K$9,FALSE)</f>
        <v>21885.90779</v>
      </c>
      <c r="T147" s="84">
        <f>VLOOKUP(T141,'Coalbed Methane'!$A$6:$K$60,'Coalbed Methane'!$K$9,FALSE)</f>
        <v>20766.72252</v>
      </c>
      <c r="U147" s="84">
        <f>VLOOKUP(U141,'Coalbed Methane'!$A$6:$K$60,'Coalbed Methane'!$K$9,FALSE)</f>
        <v>17354.17428</v>
      </c>
      <c r="V147" s="84" t="str">
        <f>VLOOKUP(V141,'Coalbed Methane'!$A$6:$K$60,'Coalbed Methane'!$K$9,FALSE)</f>
        <v/>
      </c>
      <c r="W147" s="84" t="str">
        <f>VLOOKUP(W141,'Coalbed Methane'!$A$6:$K$60,'Coalbed Methane'!$K$9,FALSE)</f>
        <v/>
      </c>
      <c r="X147" s="84" t="str">
        <f>VLOOKUP(X141,'Coalbed Methane'!$A$6:$K$60,'Coalbed Methane'!$K$9,FALSE)</f>
        <v/>
      </c>
      <c r="Y147" s="84" t="str">
        <f>VLOOKUP(Y141,'Coalbed Methane'!$A$6:$K$60,'Coalbed Methane'!$K$9,FALSE)</f>
        <v/>
      </c>
      <c r="Z147" s="84" t="str">
        <f>VLOOKUP(Z141,'Coalbed Methane'!$A$6:$K$60,'Coalbed Methane'!$K$9,FALSE)</f>
        <v/>
      </c>
      <c r="AA147" s="84" t="str">
        <f>VLOOKUP(AA141,'Coalbed Methane'!$A$6:$K$60,'Coalbed Methane'!$K$9,FALSE)</f>
        <v/>
      </c>
      <c r="AB147" s="84" t="str">
        <f>VLOOKUP(AB141,'Coalbed Methane'!$A$6:$K$60,'Coalbed Methane'!$K$9,FALSE)</f>
        <v/>
      </c>
      <c r="AC147" s="84" t="str">
        <f>VLOOKUP(AC141,'Coalbed Methane'!$A$6:$K$60,'Coalbed Methane'!$K$9,FALSE)</f>
        <v/>
      </c>
      <c r="AD147" s="84" t="str">
        <f>VLOOKUP(AD141,'Coalbed Methane'!$A$6:$K$60,'Coalbed Methane'!$K$9,FALSE)</f>
        <v/>
      </c>
      <c r="AE147" s="84" t="str">
        <f>VLOOKUP(AE141,'Coalbed Methane'!$A$6:$K$60,'Coalbed Methane'!$K$9,FALSE)</f>
        <v/>
      </c>
      <c r="AF147" s="84" t="str">
        <f>VLOOKUP(AF141,'Coalbed Methane'!$A$6:$K$60,'Coalbed Methane'!$K$9,FALSE)</f>
        <v/>
      </c>
      <c r="AG147" s="88" t="str">
        <f>VLOOKUP(AG141,'Coalbed Methane'!$A$6:$K$60,'Coalbed Methane'!$K$9,FALSE)</f>
        <v/>
      </c>
      <c r="AH147" s="24"/>
      <c r="AI147" s="24"/>
      <c r="AJ147" s="24"/>
      <c r="AK147" s="24"/>
      <c r="AL147" s="24"/>
      <c r="AM147" s="24"/>
      <c r="AN147" s="24"/>
      <c r="AO147" s="24"/>
      <c r="AP147" s="24"/>
      <c r="AQ147" s="24"/>
      <c r="AR147" s="24"/>
      <c r="AS147" s="24"/>
      <c r="AT147" s="24"/>
      <c r="AU147" s="24"/>
      <c r="AV147" s="24"/>
      <c r="AW147" s="24"/>
      <c r="AX147" s="24"/>
      <c r="AY147" s="24"/>
      <c r="AZ147" s="24"/>
      <c r="BA147" s="24"/>
    </row>
    <row r="148" ht="12.75" customHeight="1">
      <c r="A148" s="46" t="s">
        <v>595</v>
      </c>
      <c r="B148" s="51" t="s">
        <v>51</v>
      </c>
      <c r="C148" s="84">
        <f>VLOOKUP('Industrial Water Use Cals'!C141,'Oil and Gas Production'!$Q$50:$S$81,2,FALSE)</f>
        <v>24360918</v>
      </c>
      <c r="D148" s="84">
        <f>VLOOKUP('Industrial Water Use Cals'!D141,'Oil and Gas Production'!$Q$50:$S$81,2,FALSE)</f>
        <v>21957218</v>
      </c>
      <c r="E148" s="84">
        <f>VLOOKUP('Industrial Water Use Cals'!E141,'Oil and Gas Production'!$Q$50:$S$81,2,FALSE)</f>
        <v>20481246</v>
      </c>
      <c r="F148" s="84">
        <f>VLOOKUP('Industrial Water Use Cals'!F141,'Oil and Gas Production'!$Q$50:$S$81,2,FALSE)</f>
        <v>19194128</v>
      </c>
      <c r="G148" s="84">
        <f>VLOOKUP('Industrial Water Use Cals'!G141,'Oil and Gas Production'!$Q$50:$S$81,2,FALSE)</f>
        <v>18243169</v>
      </c>
      <c r="H148" s="84">
        <f>VLOOKUP('Industrial Water Use Cals'!H141,'Oil and Gas Production'!$Q$50:$S$81,2,FALSE)</f>
        <v>18269550</v>
      </c>
      <c r="I148" s="84">
        <f>VLOOKUP('Industrial Water Use Cals'!I141,'Oil and Gas Production'!$Q$50:$S$81,2,FALSE)</f>
        <v>18580693</v>
      </c>
      <c r="J148" s="84">
        <f>VLOOKUP('Industrial Water Use Cals'!J141,'Oil and Gas Production'!$Q$50:$S$81,2,FALSE)</f>
        <v>18238685</v>
      </c>
      <c r="K148" s="84">
        <f>VLOOKUP('Industrial Water Use Cals'!K141,'Oil and Gas Production'!$Q$50:$S$81,2,FALSE)</f>
        <v>17641324</v>
      </c>
      <c r="L148" s="84">
        <f>VLOOKUP('Industrial Water Use Cals'!L141,'Oil and Gas Production'!$Q$50:$S$81,2,FALSE)</f>
        <v>17303097</v>
      </c>
      <c r="M148" s="84">
        <f>VLOOKUP('Industrial Water Use Cals'!M141,'Oil and Gas Production'!$Q$50:$S$81,2,FALSE)</f>
        <v>18983195</v>
      </c>
      <c r="N148" s="84">
        <f>VLOOKUP('Industrial Water Use Cals'!N141,'Oil and Gas Production'!$Q$50:$S$81,2,FALSE)</f>
        <v>20593484</v>
      </c>
      <c r="O148" s="84">
        <f>VLOOKUP('Industrial Water Use Cals'!O141,'Oil and Gas Production'!$Q$50:$S$81,2,FALSE)</f>
        <v>23425872</v>
      </c>
      <c r="P148" s="84">
        <f>VLOOKUP('Industrial Water Use Cals'!P141,'Oil and Gas Production'!$Q$50:$S$81,2,FALSE)</f>
        <v>30590055</v>
      </c>
      <c r="Q148" s="84">
        <f>VLOOKUP('Industrial Water Use Cals'!Q141,'Oil and Gas Production'!$Q$50:$S$81,2,FALSE)</f>
        <v>41644950</v>
      </c>
      <c r="R148" s="84">
        <f>VLOOKUP('Industrial Water Use Cals'!R141,'Oil and Gas Production'!$Q$50:$S$81,2,FALSE)</f>
        <v>50455923</v>
      </c>
      <c r="S148" s="84">
        <f>VLOOKUP('Industrial Water Use Cals'!S141,'Oil and Gas Production'!$Q$50:$S$81,2,FALSE)</f>
        <v>38709215</v>
      </c>
      <c r="T148" s="84">
        <f>VLOOKUP('Industrial Water Use Cals'!T141,'Oil and Gas Production'!$Q$50:$S$81,2,FALSE)</f>
        <v>39581558</v>
      </c>
      <c r="U148" s="84">
        <f>VLOOKUP('Industrial Water Use Cals'!U141,'Oil and Gas Production'!$Q$50:$S$81,2,FALSE)</f>
        <v>46598570</v>
      </c>
      <c r="V148" s="84" t="str">
        <f>VLOOKUP('Industrial Water Use Cals'!V141,'Oil and Gas Production'!$Q$50:$S$81,2,FALSE)</f>
        <v/>
      </c>
      <c r="W148" s="84" t="str">
        <f>VLOOKUP('Industrial Water Use Cals'!W141,'Oil and Gas Production'!$Q$50:$S$81,2,FALSE)</f>
        <v/>
      </c>
      <c r="X148" s="84" t="str">
        <f>VLOOKUP('Industrial Water Use Cals'!X141,'Oil and Gas Production'!$Q$50:$S$81,2,FALSE)</f>
        <v/>
      </c>
      <c r="Y148" s="84" t="str">
        <f>VLOOKUP('Industrial Water Use Cals'!Y141,'Oil and Gas Production'!$Q$50:$S$81,2,FALSE)</f>
        <v/>
      </c>
      <c r="Z148" s="84" t="str">
        <f>VLOOKUP('Industrial Water Use Cals'!Z141,'Oil and Gas Production'!$Q$50:$S$81,2,FALSE)</f>
        <v/>
      </c>
      <c r="AA148" s="84" t="str">
        <f>VLOOKUP('Industrial Water Use Cals'!AA141,'Oil and Gas Production'!$Q$50:$S$81,2,FALSE)</f>
        <v/>
      </c>
      <c r="AB148" s="84" t="str">
        <f>VLOOKUP('Industrial Water Use Cals'!AB141,'Oil and Gas Production'!$Q$50:$S$81,2,FALSE)</f>
        <v/>
      </c>
      <c r="AC148" s="84" t="str">
        <f>VLOOKUP('Industrial Water Use Cals'!AC141,'Oil and Gas Production'!$Q$50:$S$81,2,FALSE)</f>
        <v/>
      </c>
      <c r="AD148" s="84" t="str">
        <f>VLOOKUP('Industrial Water Use Cals'!AD141,'Oil and Gas Production'!$Q$50:$S$81,2,FALSE)</f>
        <v/>
      </c>
      <c r="AE148" s="84" t="str">
        <f>VLOOKUP('Industrial Water Use Cals'!AE141,'Oil and Gas Production'!$Q$50:$S$81,2,FALSE)</f>
        <v/>
      </c>
      <c r="AF148" s="84" t="str">
        <f>VLOOKUP('Industrial Water Use Cals'!AF141,'Oil and Gas Production'!$Q$50:$S$81,2,FALSE)</f>
        <v/>
      </c>
      <c r="AG148" s="88" t="str">
        <f>VLOOKUP('Industrial Water Use Cals'!AG141,'Oil and Gas Production'!$Q$50:$S$81,2,FALSE)</f>
        <v/>
      </c>
      <c r="AH148" s="24"/>
      <c r="AI148" s="24"/>
      <c r="AJ148" s="24"/>
      <c r="AK148" s="24"/>
      <c r="AL148" s="24"/>
      <c r="AM148" s="24"/>
      <c r="AN148" s="24"/>
      <c r="AO148" s="24"/>
      <c r="AP148" s="24"/>
      <c r="AQ148" s="24"/>
      <c r="AR148" s="24"/>
      <c r="AS148" s="24"/>
      <c r="AT148" s="24"/>
      <c r="AU148" s="24"/>
      <c r="AV148" s="24"/>
      <c r="AW148" s="24"/>
      <c r="AX148" s="24"/>
      <c r="AY148" s="24"/>
      <c r="AZ148" s="24"/>
      <c r="BA148" s="24"/>
    </row>
    <row r="149" ht="12.75" customHeight="1">
      <c r="A149" s="46" t="s">
        <v>596</v>
      </c>
      <c r="B149" s="51" t="s">
        <v>52</v>
      </c>
      <c r="C149" s="84">
        <v>0.0</v>
      </c>
      <c r="D149" s="84">
        <v>0.0</v>
      </c>
      <c r="E149" s="84">
        <v>0.0</v>
      </c>
      <c r="F149" s="84">
        <v>0.0</v>
      </c>
      <c r="G149" s="84">
        <v>0.0</v>
      </c>
      <c r="H149" s="84">
        <v>0.0</v>
      </c>
      <c r="I149" s="84">
        <v>0.0</v>
      </c>
      <c r="J149" s="84">
        <v>0.0</v>
      </c>
      <c r="K149" s="84">
        <v>0.0</v>
      </c>
      <c r="L149" s="84">
        <v>0.0</v>
      </c>
      <c r="M149" s="84">
        <v>0.0</v>
      </c>
      <c r="N149" s="84">
        <v>0.0</v>
      </c>
      <c r="O149" s="84">
        <v>0.0</v>
      </c>
      <c r="P149" s="84">
        <v>0.0</v>
      </c>
      <c r="Q149" s="84">
        <v>0.0</v>
      </c>
      <c r="R149" s="84">
        <v>0.0</v>
      </c>
      <c r="S149" s="84">
        <v>0.0</v>
      </c>
      <c r="T149" s="84">
        <v>0.0</v>
      </c>
      <c r="U149" s="84">
        <v>0.0</v>
      </c>
      <c r="V149" s="84">
        <v>0.0</v>
      </c>
      <c r="W149" s="84">
        <v>0.0</v>
      </c>
      <c r="X149" s="84">
        <v>0.0</v>
      </c>
      <c r="Y149" s="84">
        <v>0.0</v>
      </c>
      <c r="Z149" s="84">
        <v>0.0</v>
      </c>
      <c r="AA149" s="84">
        <v>0.0</v>
      </c>
      <c r="AB149" s="84">
        <v>0.0</v>
      </c>
      <c r="AC149" s="84">
        <v>0.0</v>
      </c>
      <c r="AD149" s="84">
        <v>0.0</v>
      </c>
      <c r="AE149" s="84">
        <v>0.0</v>
      </c>
      <c r="AF149" s="84">
        <v>0.0</v>
      </c>
      <c r="AG149" s="88">
        <v>0.0</v>
      </c>
      <c r="AH149" s="24"/>
      <c r="AI149" s="24"/>
      <c r="AJ149" s="24"/>
      <c r="AK149" s="24"/>
      <c r="AL149" s="24"/>
      <c r="AM149" s="24"/>
      <c r="AN149" s="24"/>
      <c r="AO149" s="24"/>
      <c r="AP149" s="24"/>
      <c r="AQ149" s="24"/>
      <c r="AR149" s="24"/>
      <c r="AS149" s="24"/>
      <c r="AT149" s="24"/>
      <c r="AU149" s="24"/>
      <c r="AV149" s="24"/>
      <c r="AW149" s="24"/>
      <c r="AX149" s="24"/>
      <c r="AY149" s="24"/>
      <c r="AZ149" s="24"/>
      <c r="BA149" s="24"/>
    </row>
    <row r="150" ht="12.75" customHeight="1">
      <c r="A150" s="349" t="s">
        <v>321</v>
      </c>
      <c r="B150" s="350"/>
      <c r="C150" s="398"/>
      <c r="D150" s="398"/>
      <c r="E150" s="398"/>
      <c r="F150" s="398"/>
      <c r="G150" s="398"/>
      <c r="H150" s="398"/>
      <c r="I150" s="398"/>
      <c r="J150" s="398"/>
      <c r="K150" s="398"/>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9"/>
      <c r="AH150" s="24"/>
      <c r="AI150" s="148"/>
      <c r="AJ150" s="148"/>
      <c r="AK150" s="24"/>
      <c r="AL150" s="24"/>
      <c r="AM150" s="24"/>
      <c r="AN150" s="24"/>
      <c r="AO150" s="24"/>
      <c r="AP150" s="24"/>
      <c r="AQ150" s="24"/>
      <c r="AR150" s="24"/>
      <c r="AS150" s="24"/>
      <c r="AT150" s="24"/>
      <c r="AU150" s="24"/>
      <c r="AV150" s="24"/>
      <c r="AW150" s="24"/>
      <c r="AX150" s="24"/>
      <c r="AY150" s="24"/>
      <c r="AZ150" s="24"/>
      <c r="BA150" s="24"/>
    </row>
    <row r="151" ht="12.75" customHeight="1">
      <c r="A151" s="46" t="s">
        <v>48</v>
      </c>
      <c r="B151" s="51" t="s">
        <v>51</v>
      </c>
      <c r="C151" s="71">
        <f>C144+C147</f>
        <v>21780.30089</v>
      </c>
      <c r="D151" s="271">
        <f t="shared" ref="D151:E151" si="56">D147+$C$144*D148/$C$148</f>
        <v>33326.36021</v>
      </c>
      <c r="E151" s="71">
        <f t="shared" si="56"/>
        <v>45697.15296</v>
      </c>
      <c r="F151" s="71">
        <f t="shared" ref="F151:AG151" si="57">$D$143*F147/$D$147+$C$144*F148/$C$148</f>
        <v>40520.07128</v>
      </c>
      <c r="G151" s="71">
        <f t="shared" si="57"/>
        <v>41304.16111</v>
      </c>
      <c r="H151" s="71">
        <f t="shared" si="57"/>
        <v>49254.41805</v>
      </c>
      <c r="I151" s="71">
        <f t="shared" si="57"/>
        <v>63088.27503</v>
      </c>
      <c r="J151" s="71">
        <f t="shared" si="57"/>
        <v>66507.90314</v>
      </c>
      <c r="K151" s="71">
        <f t="shared" si="57"/>
        <v>72071.97155</v>
      </c>
      <c r="L151" s="71">
        <f t="shared" si="57"/>
        <v>62193.71054</v>
      </c>
      <c r="M151" s="71">
        <f t="shared" si="57"/>
        <v>60246.4978</v>
      </c>
      <c r="N151" s="71">
        <f t="shared" si="57"/>
        <v>56981.7237</v>
      </c>
      <c r="O151" s="71">
        <f t="shared" si="57"/>
        <v>45891.30729</v>
      </c>
      <c r="P151" s="71">
        <f t="shared" si="57"/>
        <v>40178.17119</v>
      </c>
      <c r="Q151" s="71">
        <f t="shared" si="57"/>
        <v>38206.60609</v>
      </c>
      <c r="R151" s="71">
        <f t="shared" si="57"/>
        <v>33235.19055</v>
      </c>
      <c r="S151" s="71">
        <f t="shared" si="57"/>
        <v>28430.72087</v>
      </c>
      <c r="T151" s="71">
        <f t="shared" si="57"/>
        <v>27669.93023</v>
      </c>
      <c r="U151" s="71">
        <f t="shared" si="57"/>
        <v>26409.08542</v>
      </c>
      <c r="V151" s="71">
        <f t="shared" si="57"/>
        <v>0</v>
      </c>
      <c r="W151" s="71">
        <f t="shared" si="57"/>
        <v>0</v>
      </c>
      <c r="X151" s="71">
        <f t="shared" si="57"/>
        <v>0</v>
      </c>
      <c r="Y151" s="71">
        <f t="shared" si="57"/>
        <v>0</v>
      </c>
      <c r="Z151" s="71">
        <f t="shared" si="57"/>
        <v>0</v>
      </c>
      <c r="AA151" s="71">
        <f t="shared" si="57"/>
        <v>0</v>
      </c>
      <c r="AB151" s="71">
        <f t="shared" si="57"/>
        <v>0</v>
      </c>
      <c r="AC151" s="71">
        <f t="shared" si="57"/>
        <v>0</v>
      </c>
      <c r="AD151" s="71">
        <f t="shared" si="57"/>
        <v>0</v>
      </c>
      <c r="AE151" s="71">
        <f t="shared" si="57"/>
        <v>0</v>
      </c>
      <c r="AF151" s="71">
        <f t="shared" si="57"/>
        <v>0</v>
      </c>
      <c r="AG151" s="358">
        <f t="shared" si="57"/>
        <v>0</v>
      </c>
      <c r="AH151" s="148"/>
      <c r="AI151" s="24"/>
      <c r="AJ151" s="24"/>
      <c r="AK151" s="24"/>
      <c r="AL151" s="24"/>
      <c r="AM151" s="24"/>
      <c r="AN151" s="24"/>
      <c r="AO151" s="24"/>
      <c r="AP151" s="24"/>
      <c r="AQ151" s="24"/>
      <c r="AR151" s="24"/>
      <c r="AS151" s="24"/>
      <c r="AT151" s="24"/>
      <c r="AU151" s="24"/>
      <c r="AV151" s="24"/>
      <c r="AW151" s="24"/>
      <c r="AX151" s="24"/>
      <c r="AY151" s="24"/>
      <c r="AZ151" s="24"/>
      <c r="BA151" s="24"/>
    </row>
    <row r="152" ht="12.75" customHeight="1">
      <c r="A152" s="153" t="s">
        <v>49</v>
      </c>
      <c r="B152" s="215" t="s">
        <v>52</v>
      </c>
      <c r="C152" s="511">
        <f>C145</f>
        <v>0</v>
      </c>
      <c r="D152" s="512">
        <f t="shared" ref="D152:AG152" si="58">C152</f>
        <v>0</v>
      </c>
      <c r="E152" s="512">
        <f t="shared" si="58"/>
        <v>0</v>
      </c>
      <c r="F152" s="512">
        <f t="shared" si="58"/>
        <v>0</v>
      </c>
      <c r="G152" s="512">
        <f t="shared" si="58"/>
        <v>0</v>
      </c>
      <c r="H152" s="512">
        <f t="shared" si="58"/>
        <v>0</v>
      </c>
      <c r="I152" s="512">
        <f t="shared" si="58"/>
        <v>0</v>
      </c>
      <c r="J152" s="512">
        <f t="shared" si="58"/>
        <v>0</v>
      </c>
      <c r="K152" s="512">
        <f t="shared" si="58"/>
        <v>0</v>
      </c>
      <c r="L152" s="512">
        <f t="shared" si="58"/>
        <v>0</v>
      </c>
      <c r="M152" s="512">
        <f t="shared" si="58"/>
        <v>0</v>
      </c>
      <c r="N152" s="512">
        <f t="shared" si="58"/>
        <v>0</v>
      </c>
      <c r="O152" s="512">
        <f t="shared" si="58"/>
        <v>0</v>
      </c>
      <c r="P152" s="512">
        <f t="shared" si="58"/>
        <v>0</v>
      </c>
      <c r="Q152" s="512">
        <f t="shared" si="58"/>
        <v>0</v>
      </c>
      <c r="R152" s="512">
        <f t="shared" si="58"/>
        <v>0</v>
      </c>
      <c r="S152" s="512">
        <f t="shared" si="58"/>
        <v>0</v>
      </c>
      <c r="T152" s="512">
        <f t="shared" si="58"/>
        <v>0</v>
      </c>
      <c r="U152" s="512">
        <f t="shared" si="58"/>
        <v>0</v>
      </c>
      <c r="V152" s="512">
        <f t="shared" si="58"/>
        <v>0</v>
      </c>
      <c r="W152" s="512">
        <f t="shared" si="58"/>
        <v>0</v>
      </c>
      <c r="X152" s="512">
        <f t="shared" si="58"/>
        <v>0</v>
      </c>
      <c r="Y152" s="512">
        <f t="shared" si="58"/>
        <v>0</v>
      </c>
      <c r="Z152" s="512">
        <f t="shared" si="58"/>
        <v>0</v>
      </c>
      <c r="AA152" s="512">
        <f t="shared" si="58"/>
        <v>0</v>
      </c>
      <c r="AB152" s="512">
        <f t="shared" si="58"/>
        <v>0</v>
      </c>
      <c r="AC152" s="512">
        <f t="shared" si="58"/>
        <v>0</v>
      </c>
      <c r="AD152" s="512">
        <f t="shared" si="58"/>
        <v>0</v>
      </c>
      <c r="AE152" s="512">
        <f t="shared" si="58"/>
        <v>0</v>
      </c>
      <c r="AF152" s="512">
        <f t="shared" si="58"/>
        <v>0</v>
      </c>
      <c r="AG152" s="513">
        <f t="shared" si="58"/>
        <v>0</v>
      </c>
      <c r="AH152" s="24"/>
      <c r="AI152" s="24"/>
      <c r="AJ152" s="24"/>
      <c r="AK152" s="24"/>
      <c r="AL152" s="24"/>
      <c r="AM152" s="24"/>
      <c r="AN152" s="24"/>
      <c r="AO152" s="24"/>
      <c r="AP152" s="24"/>
      <c r="AQ152" s="24"/>
      <c r="AR152" s="24"/>
      <c r="AS152" s="24"/>
      <c r="AT152" s="24"/>
      <c r="AU152" s="24"/>
      <c r="AV152" s="24"/>
      <c r="AW152" s="24"/>
      <c r="AX152" s="24"/>
      <c r="AY152" s="24"/>
      <c r="AZ152" s="24"/>
      <c r="BA152" s="24"/>
    </row>
    <row r="153" ht="12.75" customHeight="1">
      <c r="A153" s="46"/>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row>
    <row r="154" ht="12.75" customHeight="1">
      <c r="A154" s="46"/>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row>
    <row r="155" ht="12.75" customHeight="1">
      <c r="A155" s="30" t="s">
        <v>359</v>
      </c>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2"/>
      <c r="AH155" s="24"/>
      <c r="AI155" s="24"/>
      <c r="AJ155" s="24"/>
      <c r="AK155" s="24"/>
      <c r="AL155" s="24"/>
      <c r="AM155" s="24"/>
      <c r="AN155" s="24"/>
      <c r="AO155" s="24"/>
      <c r="AP155" s="24"/>
      <c r="AQ155" s="24"/>
      <c r="AR155" s="24"/>
      <c r="AS155" s="24"/>
      <c r="AT155" s="24"/>
      <c r="AU155" s="24"/>
      <c r="AV155" s="24"/>
      <c r="AW155" s="24"/>
      <c r="AX155" s="24"/>
      <c r="AY155" s="24"/>
      <c r="AZ155" s="24"/>
      <c r="BA155" s="24"/>
    </row>
    <row r="156" ht="12.75" customHeight="1">
      <c r="A156" s="343" t="s">
        <v>37</v>
      </c>
      <c r="B156" s="345"/>
      <c r="C156" s="347">
        <v>2000.0</v>
      </c>
      <c r="D156" s="347">
        <v>2001.0</v>
      </c>
      <c r="E156" s="347">
        <v>2002.0</v>
      </c>
      <c r="F156" s="347">
        <v>2003.0</v>
      </c>
      <c r="G156" s="347">
        <v>2004.0</v>
      </c>
      <c r="H156" s="347">
        <v>2005.0</v>
      </c>
      <c r="I156" s="347">
        <v>2006.0</v>
      </c>
      <c r="J156" s="347">
        <v>2007.0</v>
      </c>
      <c r="K156" s="347">
        <v>2008.0</v>
      </c>
      <c r="L156" s="347">
        <v>2009.0</v>
      </c>
      <c r="M156" s="347">
        <v>2010.0</v>
      </c>
      <c r="N156" s="347">
        <v>2011.0</v>
      </c>
      <c r="O156" s="347">
        <v>2012.0</v>
      </c>
      <c r="P156" s="347">
        <v>2013.0</v>
      </c>
      <c r="Q156" s="347">
        <v>2014.0</v>
      </c>
      <c r="R156" s="347">
        <v>2015.0</v>
      </c>
      <c r="S156" s="347">
        <v>2016.0</v>
      </c>
      <c r="T156" s="347">
        <v>2017.0</v>
      </c>
      <c r="U156" s="347">
        <v>2018.0</v>
      </c>
      <c r="V156" s="347">
        <v>2019.0</v>
      </c>
      <c r="W156" s="347">
        <v>2020.0</v>
      </c>
      <c r="X156" s="347">
        <v>2021.0</v>
      </c>
      <c r="Y156" s="347">
        <v>2022.0</v>
      </c>
      <c r="Z156" s="347">
        <v>2023.0</v>
      </c>
      <c r="AA156" s="347">
        <v>2024.0</v>
      </c>
      <c r="AB156" s="347">
        <v>2025.0</v>
      </c>
      <c r="AC156" s="347">
        <v>2026.0</v>
      </c>
      <c r="AD156" s="347">
        <v>2027.0</v>
      </c>
      <c r="AE156" s="347">
        <v>2028.0</v>
      </c>
      <c r="AF156" s="347">
        <v>2029.0</v>
      </c>
      <c r="AG156" s="348">
        <v>2030.0</v>
      </c>
      <c r="AH156" s="24"/>
      <c r="AI156" s="24"/>
      <c r="AJ156" s="24"/>
      <c r="AK156" s="24"/>
      <c r="AL156" s="24"/>
      <c r="AM156" s="24"/>
      <c r="AN156" s="24"/>
      <c r="AO156" s="24"/>
      <c r="AP156" s="24"/>
      <c r="AQ156" s="24"/>
      <c r="AR156" s="24"/>
      <c r="AS156" s="24"/>
      <c r="AT156" s="24"/>
      <c r="AU156" s="24"/>
      <c r="AV156" s="24"/>
      <c r="AW156" s="24"/>
      <c r="AX156" s="24"/>
      <c r="AY156" s="24"/>
      <c r="AZ156" s="24"/>
      <c r="BA156" s="24"/>
    </row>
    <row r="157" ht="12.75" customHeight="1">
      <c r="A157" s="349" t="s">
        <v>300</v>
      </c>
      <c r="B157" s="350"/>
      <c r="C157" s="398"/>
      <c r="D157" s="398"/>
      <c r="E157" s="353"/>
      <c r="F157" s="353"/>
      <c r="G157" s="353"/>
      <c r="H157" s="353"/>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4"/>
      <c r="AH157" s="24"/>
      <c r="AI157" s="24"/>
      <c r="AJ157" s="24"/>
      <c r="AK157" s="24"/>
      <c r="AL157" s="24"/>
      <c r="AM157" s="24"/>
      <c r="AN157" s="24"/>
      <c r="AO157" s="24"/>
      <c r="AP157" s="24"/>
      <c r="AQ157" s="24"/>
      <c r="AR157" s="24"/>
      <c r="AS157" s="24"/>
      <c r="AT157" s="24"/>
      <c r="AU157" s="24"/>
      <c r="AV157" s="24"/>
      <c r="AW157" s="24"/>
      <c r="AX157" s="24"/>
      <c r="AY157" s="24"/>
      <c r="AZ157" s="24"/>
      <c r="BA157" s="24"/>
    </row>
    <row r="158" ht="12.75" customHeight="1">
      <c r="A158" s="46" t="s">
        <v>48</v>
      </c>
      <c r="B158" s="51" t="s">
        <v>51</v>
      </c>
      <c r="C158" s="49"/>
      <c r="D158" s="24"/>
      <c r="E158" s="301">
        <v>0.0</v>
      </c>
      <c r="F158" s="49"/>
      <c r="G158" s="49"/>
      <c r="H158" s="49"/>
      <c r="I158" s="49"/>
      <c r="J158" s="49"/>
      <c r="K158" s="49"/>
      <c r="L158" s="49"/>
      <c r="M158" s="49"/>
      <c r="N158" s="49"/>
      <c r="O158" s="49"/>
      <c r="P158" s="49"/>
      <c r="Q158" s="301">
        <v>0.0</v>
      </c>
      <c r="R158" s="49"/>
      <c r="S158" s="49"/>
      <c r="T158" s="49"/>
      <c r="U158" s="49"/>
      <c r="V158" s="49"/>
      <c r="W158" s="49"/>
      <c r="X158" s="49"/>
      <c r="Y158" s="49"/>
      <c r="Z158" s="49"/>
      <c r="AA158" s="49"/>
      <c r="AB158" s="49"/>
      <c r="AC158" s="49"/>
      <c r="AD158" s="49"/>
      <c r="AE158" s="49"/>
      <c r="AF158" s="49"/>
      <c r="AG158" s="51"/>
      <c r="AH158" s="24"/>
      <c r="AI158" s="24"/>
      <c r="AJ158" s="24"/>
      <c r="AK158" s="24"/>
      <c r="AL158" s="24"/>
      <c r="AM158" s="24"/>
      <c r="AN158" s="24"/>
      <c r="AO158" s="24"/>
      <c r="AP158" s="24"/>
      <c r="AQ158" s="24"/>
      <c r="AR158" s="24"/>
      <c r="AS158" s="24"/>
      <c r="AT158" s="24"/>
      <c r="AU158" s="24"/>
      <c r="AV158" s="24"/>
      <c r="AW158" s="24"/>
      <c r="AX158" s="24"/>
      <c r="AY158" s="24"/>
      <c r="AZ158" s="24"/>
      <c r="BA158" s="24"/>
    </row>
    <row r="159" ht="12.75" customHeight="1">
      <c r="A159" s="46" t="s">
        <v>49</v>
      </c>
      <c r="B159" s="51" t="s">
        <v>52</v>
      </c>
      <c r="C159" s="514"/>
      <c r="D159" s="24"/>
      <c r="E159" s="301">
        <v>112.0</v>
      </c>
      <c r="F159" s="49"/>
      <c r="G159" s="49"/>
      <c r="H159" s="49"/>
      <c r="I159" s="49"/>
      <c r="J159" s="49"/>
      <c r="K159" s="49"/>
      <c r="L159" s="49"/>
      <c r="M159" s="49"/>
      <c r="N159" s="49"/>
      <c r="O159" s="49"/>
      <c r="P159" s="49"/>
      <c r="Q159" s="301">
        <v>0.0</v>
      </c>
      <c r="R159" s="49"/>
      <c r="S159" s="49"/>
      <c r="T159" s="49"/>
      <c r="U159" s="49"/>
      <c r="V159" s="49"/>
      <c r="W159" s="49"/>
      <c r="X159" s="49"/>
      <c r="Y159" s="49"/>
      <c r="Z159" s="49"/>
      <c r="AA159" s="49"/>
      <c r="AB159" s="49"/>
      <c r="AC159" s="49"/>
      <c r="AD159" s="49"/>
      <c r="AE159" s="49"/>
      <c r="AF159" s="49"/>
      <c r="AG159" s="51"/>
      <c r="AH159" s="24"/>
      <c r="AI159" s="24"/>
      <c r="AJ159" s="24"/>
      <c r="AK159" s="24"/>
      <c r="AL159" s="24"/>
      <c r="AM159" s="24"/>
      <c r="AN159" s="24"/>
      <c r="AO159" s="24"/>
      <c r="AP159" s="24"/>
      <c r="AQ159" s="24"/>
      <c r="AR159" s="24"/>
      <c r="AS159" s="24"/>
      <c r="AT159" s="24"/>
      <c r="AU159" s="24"/>
      <c r="AV159" s="24"/>
      <c r="AW159" s="24"/>
      <c r="AX159" s="24"/>
      <c r="AY159" s="24"/>
      <c r="AZ159" s="24"/>
      <c r="BA159" s="24"/>
    </row>
    <row r="160" ht="12.75" customHeight="1">
      <c r="A160" s="349" t="s">
        <v>306</v>
      </c>
      <c r="B160" s="350"/>
      <c r="C160" s="398"/>
      <c r="D160" s="398"/>
      <c r="E160" s="398"/>
      <c r="F160" s="398"/>
      <c r="G160" s="398"/>
      <c r="H160" s="398"/>
      <c r="I160" s="398"/>
      <c r="J160" s="398"/>
      <c r="K160" s="398"/>
      <c r="L160" s="398"/>
      <c r="M160" s="398"/>
      <c r="N160" s="398"/>
      <c r="O160" s="398"/>
      <c r="P160" s="398"/>
      <c r="Q160" s="398"/>
      <c r="R160" s="398"/>
      <c r="S160" s="398"/>
      <c r="T160" s="398"/>
      <c r="U160" s="398"/>
      <c r="V160" s="398"/>
      <c r="W160" s="398"/>
      <c r="X160" s="398"/>
      <c r="Y160" s="398"/>
      <c r="Z160" s="398"/>
      <c r="AA160" s="398"/>
      <c r="AB160" s="398"/>
      <c r="AC160" s="398"/>
      <c r="AD160" s="398"/>
      <c r="AE160" s="398"/>
      <c r="AF160" s="398"/>
      <c r="AG160" s="399"/>
      <c r="AH160" s="24"/>
      <c r="AI160" s="24"/>
      <c r="AJ160" s="24"/>
      <c r="AK160" s="24"/>
      <c r="AL160" s="24"/>
      <c r="AM160" s="24"/>
      <c r="AN160" s="24"/>
      <c r="AO160" s="24"/>
      <c r="AP160" s="24"/>
      <c r="AQ160" s="24"/>
      <c r="AR160" s="24"/>
      <c r="AS160" s="24"/>
      <c r="AT160" s="24"/>
      <c r="AU160" s="24"/>
      <c r="AV160" s="24"/>
      <c r="AW160" s="24"/>
      <c r="AX160" s="24"/>
      <c r="AY160" s="24"/>
      <c r="AZ160" s="24"/>
      <c r="BA160" s="24"/>
    </row>
    <row r="161" ht="12.75" customHeight="1">
      <c r="A161" s="46" t="s">
        <v>597</v>
      </c>
      <c r="B161" s="51" t="s">
        <v>52</v>
      </c>
      <c r="C161" s="49">
        <v>1.0</v>
      </c>
      <c r="D161" s="49">
        <v>1.0</v>
      </c>
      <c r="E161" s="49">
        <v>1.0</v>
      </c>
      <c r="F161" s="49">
        <v>1.0</v>
      </c>
      <c r="G161" s="49">
        <v>1.0</v>
      </c>
      <c r="H161" s="49">
        <v>1.0</v>
      </c>
      <c r="I161" s="49">
        <v>0.0</v>
      </c>
      <c r="J161" s="49">
        <v>0.0</v>
      </c>
      <c r="K161" s="49">
        <v>0.0</v>
      </c>
      <c r="L161" s="49">
        <v>0.0</v>
      </c>
      <c r="M161" s="49">
        <v>0.0</v>
      </c>
      <c r="N161" s="49">
        <v>0.0</v>
      </c>
      <c r="O161" s="49">
        <v>0.0</v>
      </c>
      <c r="P161" s="49">
        <v>0.0</v>
      </c>
      <c r="Q161" s="49">
        <v>0.0</v>
      </c>
      <c r="R161" s="49">
        <v>0.0</v>
      </c>
      <c r="S161" s="49">
        <v>0.0</v>
      </c>
      <c r="T161" s="49">
        <v>0.0</v>
      </c>
      <c r="U161" s="49">
        <v>0.0</v>
      </c>
      <c r="V161" s="49">
        <v>0.0</v>
      </c>
      <c r="W161" s="49">
        <v>0.0</v>
      </c>
      <c r="X161" s="49">
        <v>0.0</v>
      </c>
      <c r="Y161" s="49">
        <v>0.0</v>
      </c>
      <c r="Z161" s="49">
        <v>0.0</v>
      </c>
      <c r="AA161" s="49">
        <v>0.0</v>
      </c>
      <c r="AB161" s="49">
        <v>0.0</v>
      </c>
      <c r="AC161" s="49">
        <v>0.0</v>
      </c>
      <c r="AD161" s="49">
        <v>0.0</v>
      </c>
      <c r="AE161" s="49">
        <v>0.0</v>
      </c>
      <c r="AF161" s="49">
        <v>0.0</v>
      </c>
      <c r="AG161" s="51">
        <v>0.0</v>
      </c>
      <c r="AH161" s="49"/>
      <c r="AI161" s="24"/>
      <c r="AJ161" s="24"/>
      <c r="AK161" s="24"/>
      <c r="AL161" s="24"/>
      <c r="AM161" s="24"/>
      <c r="AN161" s="24"/>
      <c r="AO161" s="24"/>
      <c r="AP161" s="24"/>
      <c r="AQ161" s="24"/>
      <c r="AR161" s="24"/>
      <c r="AS161" s="24"/>
      <c r="AT161" s="24"/>
      <c r="AU161" s="24"/>
      <c r="AV161" s="24"/>
      <c r="AW161" s="24"/>
      <c r="AX161" s="24"/>
      <c r="AY161" s="24"/>
      <c r="AZ161" s="24"/>
      <c r="BA161" s="24"/>
    </row>
    <row r="162" ht="12.75" customHeight="1">
      <c r="A162" s="349" t="s">
        <v>321</v>
      </c>
      <c r="B162" s="350"/>
      <c r="C162" s="398"/>
      <c r="D162" s="398"/>
      <c r="E162" s="398"/>
      <c r="F162" s="398"/>
      <c r="G162" s="398"/>
      <c r="H162" s="398"/>
      <c r="I162" s="398"/>
      <c r="J162" s="398"/>
      <c r="K162" s="398"/>
      <c r="L162" s="398"/>
      <c r="M162" s="398"/>
      <c r="N162" s="398"/>
      <c r="O162" s="398"/>
      <c r="P162" s="398"/>
      <c r="Q162" s="398"/>
      <c r="R162" s="398"/>
      <c r="S162" s="398"/>
      <c r="T162" s="398"/>
      <c r="U162" s="398"/>
      <c r="V162" s="398"/>
      <c r="W162" s="398"/>
      <c r="X162" s="398"/>
      <c r="Y162" s="398"/>
      <c r="Z162" s="398"/>
      <c r="AA162" s="398"/>
      <c r="AB162" s="398"/>
      <c r="AC162" s="398"/>
      <c r="AD162" s="398"/>
      <c r="AE162" s="398"/>
      <c r="AF162" s="398"/>
      <c r="AG162" s="399"/>
      <c r="AH162" s="24"/>
      <c r="AI162" s="24"/>
      <c r="AJ162" s="24"/>
      <c r="AK162" s="24"/>
      <c r="AL162" s="24"/>
      <c r="AM162" s="24"/>
      <c r="AN162" s="24"/>
      <c r="AO162" s="24"/>
      <c r="AP162" s="24"/>
      <c r="AQ162" s="24"/>
      <c r="AR162" s="24"/>
      <c r="AS162" s="24"/>
      <c r="AT162" s="24"/>
      <c r="AU162" s="24"/>
      <c r="AV162" s="24"/>
      <c r="AW162" s="24"/>
      <c r="AX162" s="24"/>
      <c r="AY162" s="24"/>
      <c r="AZ162" s="24"/>
      <c r="BA162" s="24"/>
    </row>
    <row r="163" ht="12.75" customHeight="1">
      <c r="A163" s="46" t="s">
        <v>48</v>
      </c>
      <c r="B163" s="47"/>
      <c r="C163" s="509">
        <f t="shared" ref="C163:D163" si="59">$E$163*C161</f>
        <v>0</v>
      </c>
      <c r="D163" s="509">
        <f t="shared" si="59"/>
        <v>0</v>
      </c>
      <c r="E163" s="515">
        <f t="shared" ref="E163:E164" si="63">E158</f>
        <v>0</v>
      </c>
      <c r="F163" s="509">
        <f t="shared" ref="F163:P163" si="60">$E$163*F161</f>
        <v>0</v>
      </c>
      <c r="G163" s="509">
        <f t="shared" si="60"/>
        <v>0</v>
      </c>
      <c r="H163" s="509">
        <f t="shared" si="60"/>
        <v>0</v>
      </c>
      <c r="I163" s="509">
        <f t="shared" si="60"/>
        <v>0</v>
      </c>
      <c r="J163" s="509">
        <f t="shared" si="60"/>
        <v>0</v>
      </c>
      <c r="K163" s="509">
        <f t="shared" si="60"/>
        <v>0</v>
      </c>
      <c r="L163" s="509">
        <f t="shared" si="60"/>
        <v>0</v>
      </c>
      <c r="M163" s="509">
        <f t="shared" si="60"/>
        <v>0</v>
      </c>
      <c r="N163" s="509">
        <f t="shared" si="60"/>
        <v>0</v>
      </c>
      <c r="O163" s="509">
        <f t="shared" si="60"/>
        <v>0</v>
      </c>
      <c r="P163" s="509">
        <f t="shared" si="60"/>
        <v>0</v>
      </c>
      <c r="Q163" s="515">
        <f t="shared" ref="Q163:AG163" si="61">Q158</f>
        <v>0</v>
      </c>
      <c r="R163" s="509" t="str">
        <f t="shared" si="61"/>
        <v/>
      </c>
      <c r="S163" s="509" t="str">
        <f t="shared" si="61"/>
        <v/>
      </c>
      <c r="T163" s="509" t="str">
        <f t="shared" si="61"/>
        <v/>
      </c>
      <c r="U163" s="509" t="str">
        <f t="shared" si="61"/>
        <v/>
      </c>
      <c r="V163" s="509" t="str">
        <f t="shared" si="61"/>
        <v/>
      </c>
      <c r="W163" s="509" t="str">
        <f t="shared" si="61"/>
        <v/>
      </c>
      <c r="X163" s="509" t="str">
        <f t="shared" si="61"/>
        <v/>
      </c>
      <c r="Y163" s="509" t="str">
        <f t="shared" si="61"/>
        <v/>
      </c>
      <c r="Z163" s="509" t="str">
        <f t="shared" si="61"/>
        <v/>
      </c>
      <c r="AA163" s="509" t="str">
        <f t="shared" si="61"/>
        <v/>
      </c>
      <c r="AB163" s="509" t="str">
        <f t="shared" si="61"/>
        <v/>
      </c>
      <c r="AC163" s="509" t="str">
        <f t="shared" si="61"/>
        <v/>
      </c>
      <c r="AD163" s="509" t="str">
        <f t="shared" si="61"/>
        <v/>
      </c>
      <c r="AE163" s="509" t="str">
        <f t="shared" si="61"/>
        <v/>
      </c>
      <c r="AF163" s="509" t="str">
        <f t="shared" si="61"/>
        <v/>
      </c>
      <c r="AG163" s="516" t="str">
        <f t="shared" si="61"/>
        <v/>
      </c>
      <c r="AH163" s="509"/>
      <c r="AI163" s="24"/>
      <c r="AJ163" s="24"/>
      <c r="AK163" s="24"/>
      <c r="AL163" s="24"/>
      <c r="AM163" s="24"/>
      <c r="AN163" s="24"/>
      <c r="AO163" s="24"/>
      <c r="AP163" s="24"/>
      <c r="AQ163" s="24"/>
      <c r="AR163" s="24"/>
      <c r="AS163" s="24"/>
      <c r="AT163" s="24"/>
      <c r="AU163" s="24"/>
      <c r="AV163" s="24"/>
      <c r="AW163" s="24"/>
      <c r="AX163" s="24"/>
      <c r="AY163" s="24"/>
      <c r="AZ163" s="24"/>
      <c r="BA163" s="24"/>
    </row>
    <row r="164" ht="12.75" customHeight="1">
      <c r="A164" s="153" t="s">
        <v>49</v>
      </c>
      <c r="B164" s="314"/>
      <c r="C164" s="517">
        <f t="shared" ref="C164:D164" si="62">$E$164*C161</f>
        <v>112</v>
      </c>
      <c r="D164" s="517">
        <f t="shared" si="62"/>
        <v>112</v>
      </c>
      <c r="E164" s="518">
        <f t="shared" si="63"/>
        <v>112</v>
      </c>
      <c r="F164" s="517">
        <f t="shared" ref="F164:P164" si="64">$E$164*F161</f>
        <v>112</v>
      </c>
      <c r="G164" s="517">
        <f t="shared" si="64"/>
        <v>112</v>
      </c>
      <c r="H164" s="517">
        <f t="shared" si="64"/>
        <v>112</v>
      </c>
      <c r="I164" s="517">
        <f t="shared" si="64"/>
        <v>0</v>
      </c>
      <c r="J164" s="517">
        <f t="shared" si="64"/>
        <v>0</v>
      </c>
      <c r="K164" s="517">
        <f t="shared" si="64"/>
        <v>0</v>
      </c>
      <c r="L164" s="517">
        <f t="shared" si="64"/>
        <v>0</v>
      </c>
      <c r="M164" s="517">
        <f t="shared" si="64"/>
        <v>0</v>
      </c>
      <c r="N164" s="517">
        <f t="shared" si="64"/>
        <v>0</v>
      </c>
      <c r="O164" s="517">
        <f t="shared" si="64"/>
        <v>0</v>
      </c>
      <c r="P164" s="517">
        <f t="shared" si="64"/>
        <v>0</v>
      </c>
      <c r="Q164" s="519">
        <f t="shared" ref="Q164:AG164" si="65">Q159</f>
        <v>0</v>
      </c>
      <c r="R164" s="315" t="str">
        <f t="shared" si="65"/>
        <v/>
      </c>
      <c r="S164" s="315" t="str">
        <f t="shared" si="65"/>
        <v/>
      </c>
      <c r="T164" s="315" t="str">
        <f t="shared" si="65"/>
        <v/>
      </c>
      <c r="U164" s="315" t="str">
        <f t="shared" si="65"/>
        <v/>
      </c>
      <c r="V164" s="315" t="str">
        <f t="shared" si="65"/>
        <v/>
      </c>
      <c r="W164" s="315" t="str">
        <f t="shared" si="65"/>
        <v/>
      </c>
      <c r="X164" s="315" t="str">
        <f t="shared" si="65"/>
        <v/>
      </c>
      <c r="Y164" s="315" t="str">
        <f t="shared" si="65"/>
        <v/>
      </c>
      <c r="Z164" s="315" t="str">
        <f t="shared" si="65"/>
        <v/>
      </c>
      <c r="AA164" s="315" t="str">
        <f t="shared" si="65"/>
        <v/>
      </c>
      <c r="AB164" s="315" t="str">
        <f t="shared" si="65"/>
        <v/>
      </c>
      <c r="AC164" s="315" t="str">
        <f t="shared" si="65"/>
        <v/>
      </c>
      <c r="AD164" s="315" t="str">
        <f t="shared" si="65"/>
        <v/>
      </c>
      <c r="AE164" s="315" t="str">
        <f t="shared" si="65"/>
        <v/>
      </c>
      <c r="AF164" s="315" t="str">
        <f t="shared" si="65"/>
        <v/>
      </c>
      <c r="AG164" s="215" t="str">
        <f t="shared" si="65"/>
        <v/>
      </c>
      <c r="AH164" s="49"/>
      <c r="AI164" s="24"/>
      <c r="AJ164" s="24"/>
      <c r="AK164" s="24"/>
      <c r="AL164" s="24"/>
      <c r="AM164" s="24"/>
      <c r="AN164" s="24"/>
      <c r="AO164" s="24"/>
      <c r="AP164" s="24"/>
      <c r="AQ164" s="24"/>
      <c r="AR164" s="24"/>
      <c r="AS164" s="24"/>
      <c r="AT164" s="24"/>
      <c r="AU164" s="24"/>
      <c r="AV164" s="24"/>
      <c r="AW164" s="24"/>
      <c r="AX164" s="24"/>
      <c r="AY164" s="24"/>
      <c r="AZ164" s="24"/>
      <c r="BA164" s="24"/>
    </row>
    <row r="165" ht="12.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row>
    <row r="166" ht="12.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row>
    <row r="167" ht="12.75" customHeight="1">
      <c r="A167" s="30" t="s">
        <v>411</v>
      </c>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2"/>
      <c r="AH167" s="24"/>
      <c r="AI167" s="24"/>
      <c r="AJ167" s="24"/>
      <c r="AK167" s="24"/>
      <c r="AL167" s="24"/>
      <c r="AM167" s="24"/>
      <c r="AN167" s="24"/>
      <c r="AO167" s="24"/>
      <c r="AP167" s="24"/>
      <c r="AQ167" s="24"/>
      <c r="AR167" s="24"/>
      <c r="AS167" s="24"/>
      <c r="AT167" s="24"/>
      <c r="AU167" s="24"/>
      <c r="AV167" s="24"/>
      <c r="AW167" s="24"/>
      <c r="AX167" s="24"/>
      <c r="AY167" s="24"/>
      <c r="AZ167" s="24"/>
      <c r="BA167" s="24"/>
    </row>
    <row r="168" ht="12.75" customHeight="1">
      <c r="A168" s="343" t="s">
        <v>37</v>
      </c>
      <c r="B168" s="345"/>
      <c r="C168" s="347">
        <v>2000.0</v>
      </c>
      <c r="D168" s="347">
        <v>2001.0</v>
      </c>
      <c r="E168" s="347">
        <v>2002.0</v>
      </c>
      <c r="F168" s="347">
        <v>2003.0</v>
      </c>
      <c r="G168" s="347">
        <v>2004.0</v>
      </c>
      <c r="H168" s="347">
        <v>2005.0</v>
      </c>
      <c r="I168" s="347">
        <v>2006.0</v>
      </c>
      <c r="J168" s="347">
        <v>2007.0</v>
      </c>
      <c r="K168" s="347">
        <v>2008.0</v>
      </c>
      <c r="L168" s="347">
        <v>2009.0</v>
      </c>
      <c r="M168" s="347">
        <v>2010.0</v>
      </c>
      <c r="N168" s="347">
        <v>2011.0</v>
      </c>
      <c r="O168" s="347">
        <v>2012.0</v>
      </c>
      <c r="P168" s="347">
        <v>2013.0</v>
      </c>
      <c r="Q168" s="347">
        <v>2014.0</v>
      </c>
      <c r="R168" s="347">
        <v>2015.0</v>
      </c>
      <c r="S168" s="347">
        <v>2016.0</v>
      </c>
      <c r="T168" s="347">
        <v>2017.0</v>
      </c>
      <c r="U168" s="347">
        <v>2018.0</v>
      </c>
      <c r="V168" s="347">
        <v>2019.0</v>
      </c>
      <c r="W168" s="347">
        <v>2020.0</v>
      </c>
      <c r="X168" s="347">
        <v>2021.0</v>
      </c>
      <c r="Y168" s="347">
        <v>2022.0</v>
      </c>
      <c r="Z168" s="347">
        <v>2023.0</v>
      </c>
      <c r="AA168" s="347">
        <v>2024.0</v>
      </c>
      <c r="AB168" s="347">
        <v>2025.0</v>
      </c>
      <c r="AC168" s="347">
        <v>2026.0</v>
      </c>
      <c r="AD168" s="347">
        <v>2027.0</v>
      </c>
      <c r="AE168" s="347">
        <v>2028.0</v>
      </c>
      <c r="AF168" s="347">
        <v>2029.0</v>
      </c>
      <c r="AG168" s="348">
        <v>2030.0</v>
      </c>
      <c r="AH168" s="24"/>
      <c r="AI168" s="24"/>
      <c r="AJ168" s="24"/>
      <c r="AK168" s="24"/>
      <c r="AL168" s="24"/>
      <c r="AM168" s="24"/>
      <c r="AN168" s="24"/>
      <c r="AO168" s="24"/>
      <c r="AP168" s="24"/>
      <c r="AQ168" s="24"/>
      <c r="AR168" s="24"/>
      <c r="AS168" s="24"/>
      <c r="AT168" s="24"/>
      <c r="AU168" s="24"/>
      <c r="AV168" s="24"/>
      <c r="AW168" s="24"/>
      <c r="AX168" s="24"/>
      <c r="AY168" s="24"/>
      <c r="AZ168" s="24"/>
      <c r="BA168" s="24"/>
    </row>
    <row r="169" ht="12.75" customHeight="1">
      <c r="A169" s="349" t="s">
        <v>300</v>
      </c>
      <c r="B169" s="350"/>
      <c r="C169" s="398"/>
      <c r="D169" s="398"/>
      <c r="E169" s="353"/>
      <c r="F169" s="353"/>
      <c r="G169" s="353"/>
      <c r="H169" s="353"/>
      <c r="I169" s="353"/>
      <c r="J169" s="353"/>
      <c r="K169" s="353"/>
      <c r="L169" s="353"/>
      <c r="M169" s="353"/>
      <c r="N169" s="353"/>
      <c r="O169" s="353"/>
      <c r="P169" s="353"/>
      <c r="Q169" s="353"/>
      <c r="R169" s="353"/>
      <c r="S169" s="353"/>
      <c r="T169" s="353"/>
      <c r="U169" s="353"/>
      <c r="V169" s="353"/>
      <c r="W169" s="353"/>
      <c r="X169" s="353"/>
      <c r="Y169" s="353"/>
      <c r="Z169" s="353"/>
      <c r="AA169" s="353"/>
      <c r="AB169" s="353"/>
      <c r="AC169" s="353"/>
      <c r="AD169" s="353"/>
      <c r="AE169" s="353"/>
      <c r="AF169" s="353"/>
      <c r="AG169" s="354"/>
      <c r="AH169" s="24"/>
      <c r="AI169" s="24"/>
      <c r="AJ169" s="24"/>
      <c r="AK169" s="24"/>
      <c r="AL169" s="24"/>
      <c r="AM169" s="24"/>
      <c r="AN169" s="24"/>
      <c r="AO169" s="24"/>
      <c r="AP169" s="24"/>
      <c r="AQ169" s="24"/>
      <c r="AR169" s="24"/>
      <c r="AS169" s="24"/>
      <c r="AT169" s="24"/>
      <c r="AU169" s="24"/>
      <c r="AV169" s="24"/>
      <c r="AW169" s="24"/>
      <c r="AX169" s="24"/>
      <c r="AY169" s="24"/>
      <c r="AZ169" s="24"/>
      <c r="BA169" s="24"/>
    </row>
    <row r="170" ht="12.75" customHeight="1">
      <c r="A170" s="46" t="s">
        <v>48</v>
      </c>
      <c r="B170" s="51" t="s">
        <v>51</v>
      </c>
      <c r="C170" s="50">
        <v>11392.0</v>
      </c>
      <c r="D170" s="24"/>
      <c r="E170" s="24"/>
      <c r="F170" s="24"/>
      <c r="G170" s="49"/>
      <c r="H170" s="49"/>
      <c r="I170" s="49"/>
      <c r="J170" s="49"/>
      <c r="K170" s="24"/>
      <c r="L170" s="48">
        <v>91258.0</v>
      </c>
      <c r="M170" s="49"/>
      <c r="N170" s="49"/>
      <c r="O170" s="49"/>
      <c r="P170" s="49"/>
      <c r="Q170" s="49"/>
      <c r="R170" s="49"/>
      <c r="S170" s="49"/>
      <c r="T170" s="49"/>
      <c r="U170" s="49"/>
      <c r="V170" s="49"/>
      <c r="W170" s="49"/>
      <c r="X170" s="49"/>
      <c r="Y170" s="49"/>
      <c r="Z170" s="49"/>
      <c r="AA170" s="49"/>
      <c r="AB170" s="49"/>
      <c r="AC170" s="49"/>
      <c r="AD170" s="49"/>
      <c r="AE170" s="49"/>
      <c r="AF170" s="49"/>
      <c r="AG170" s="51"/>
      <c r="AH170" s="24"/>
      <c r="AI170" s="24"/>
      <c r="AJ170" s="24"/>
      <c r="AK170" s="24"/>
      <c r="AL170" s="24"/>
      <c r="AM170" s="24"/>
      <c r="AN170" s="24"/>
      <c r="AO170" s="24"/>
      <c r="AP170" s="24"/>
      <c r="AQ170" s="24"/>
      <c r="AR170" s="24"/>
      <c r="AS170" s="24"/>
      <c r="AT170" s="24"/>
      <c r="AU170" s="24"/>
      <c r="AV170" s="24"/>
      <c r="AW170" s="24"/>
      <c r="AX170" s="24"/>
      <c r="AY170" s="24"/>
      <c r="AZ170" s="24"/>
      <c r="BA170" s="24"/>
    </row>
    <row r="171" ht="12.75" customHeight="1">
      <c r="A171" s="46" t="s">
        <v>49</v>
      </c>
      <c r="B171" s="51" t="s">
        <v>52</v>
      </c>
      <c r="C171" s="50">
        <v>82225.0</v>
      </c>
      <c r="D171" s="24"/>
      <c r="E171" s="24"/>
      <c r="F171" s="24"/>
      <c r="G171" s="49"/>
      <c r="H171" s="49"/>
      <c r="I171" s="49"/>
      <c r="J171" s="49"/>
      <c r="K171" s="24"/>
      <c r="L171" s="48">
        <v>982.0</v>
      </c>
      <c r="M171" s="49"/>
      <c r="N171" s="49"/>
      <c r="O171" s="49"/>
      <c r="P171" s="49"/>
      <c r="Q171" s="49"/>
      <c r="R171" s="49"/>
      <c r="S171" s="49"/>
      <c r="T171" s="49"/>
      <c r="U171" s="49"/>
      <c r="V171" s="49"/>
      <c r="W171" s="49"/>
      <c r="X171" s="49"/>
      <c r="Y171" s="49"/>
      <c r="Z171" s="49"/>
      <c r="AA171" s="49"/>
      <c r="AB171" s="49"/>
      <c r="AC171" s="49"/>
      <c r="AD171" s="49"/>
      <c r="AE171" s="49"/>
      <c r="AF171" s="49"/>
      <c r="AG171" s="51"/>
      <c r="AH171" s="24"/>
      <c r="AI171" s="24"/>
      <c r="AJ171" s="24"/>
      <c r="AK171" s="24"/>
      <c r="AL171" s="24"/>
      <c r="AM171" s="24"/>
      <c r="AN171" s="24"/>
      <c r="AO171" s="24"/>
      <c r="AP171" s="24"/>
      <c r="AQ171" s="24"/>
      <c r="AR171" s="24"/>
      <c r="AS171" s="24"/>
      <c r="AT171" s="24"/>
      <c r="AU171" s="24"/>
      <c r="AV171" s="24"/>
      <c r="AW171" s="24"/>
      <c r="AX171" s="24"/>
      <c r="AY171" s="24"/>
      <c r="AZ171" s="24"/>
      <c r="BA171" s="24"/>
    </row>
    <row r="172" ht="12.75" customHeight="1">
      <c r="A172" s="349" t="s">
        <v>306</v>
      </c>
      <c r="B172" s="350"/>
      <c r="C172" s="398"/>
      <c r="D172" s="398"/>
      <c r="E172" s="398"/>
      <c r="F172" s="398"/>
      <c r="G172" s="398"/>
      <c r="H172" s="398"/>
      <c r="I172" s="398"/>
      <c r="J172" s="398"/>
      <c r="K172" s="398"/>
      <c r="L172" s="398"/>
      <c r="M172" s="398"/>
      <c r="N172" s="398"/>
      <c r="O172" s="398"/>
      <c r="P172" s="398"/>
      <c r="Q172" s="398"/>
      <c r="R172" s="398"/>
      <c r="S172" s="398"/>
      <c r="T172" s="398"/>
      <c r="U172" s="398"/>
      <c r="V172" s="398"/>
      <c r="W172" s="398"/>
      <c r="X172" s="398"/>
      <c r="Y172" s="398"/>
      <c r="Z172" s="398"/>
      <c r="AA172" s="398"/>
      <c r="AB172" s="398"/>
      <c r="AC172" s="398"/>
      <c r="AD172" s="398"/>
      <c r="AE172" s="398"/>
      <c r="AF172" s="398"/>
      <c r="AG172" s="399"/>
      <c r="AH172" s="24"/>
      <c r="AI172" s="24"/>
      <c r="AJ172" s="24"/>
      <c r="AK172" s="24"/>
      <c r="AL172" s="24"/>
      <c r="AM172" s="24"/>
      <c r="AN172" s="24"/>
      <c r="AO172" s="24"/>
      <c r="AP172" s="24"/>
      <c r="AQ172" s="24"/>
      <c r="AR172" s="24"/>
      <c r="AS172" s="24"/>
      <c r="AT172" s="24"/>
      <c r="AU172" s="24"/>
      <c r="AV172" s="24"/>
      <c r="AW172" s="24"/>
      <c r="AX172" s="24"/>
      <c r="AY172" s="24"/>
      <c r="AZ172" s="24"/>
      <c r="BA172" s="24"/>
    </row>
    <row r="173" ht="12.75" customHeight="1">
      <c r="A173" s="46" t="s">
        <v>598</v>
      </c>
      <c r="B173" s="51"/>
      <c r="C173" s="84">
        <v>881335.0</v>
      </c>
      <c r="D173" s="84">
        <v>892722.0</v>
      </c>
      <c r="E173" s="84">
        <v>902980.0</v>
      </c>
      <c r="F173" s="84">
        <v>985434.0</v>
      </c>
      <c r="G173" s="84">
        <v>1127877.0</v>
      </c>
      <c r="H173" s="84">
        <v>1102272.0</v>
      </c>
      <c r="I173" s="84">
        <v>1173387.0</v>
      </c>
      <c r="J173" s="84">
        <v>1253518.0</v>
      </c>
      <c r="K173" s="84">
        <v>1167832.0</v>
      </c>
      <c r="L173" s="84">
        <v>863908.0</v>
      </c>
      <c r="M173" s="84">
        <v>1032126.0</v>
      </c>
      <c r="N173" s="84">
        <v>1134692.0</v>
      </c>
      <c r="O173" s="84">
        <v>1154283.0</v>
      </c>
      <c r="P173" s="84">
        <v>1106222.0</v>
      </c>
      <c r="Q173" s="84">
        <v>1164182.0</v>
      </c>
      <c r="R173" s="84">
        <v>1001152.0</v>
      </c>
      <c r="S173" s="84">
        <v>870520.0</v>
      </c>
      <c r="T173" s="84">
        <v>897373.0</v>
      </c>
      <c r="U173" s="84">
        <v>861574.0</v>
      </c>
      <c r="V173" s="84"/>
      <c r="W173" s="84"/>
      <c r="X173" s="84"/>
      <c r="Y173" s="84"/>
      <c r="Z173" s="84"/>
      <c r="AA173" s="84"/>
      <c r="AB173" s="84"/>
      <c r="AC173" s="84"/>
      <c r="AD173" s="84"/>
      <c r="AE173" s="84"/>
      <c r="AF173" s="84"/>
      <c r="AG173" s="88"/>
      <c r="AH173" s="24"/>
      <c r="AI173" s="24"/>
      <c r="AJ173" s="24"/>
      <c r="AK173" s="24"/>
      <c r="AL173" s="24"/>
      <c r="AM173" s="24"/>
      <c r="AN173" s="24"/>
      <c r="AO173" s="24"/>
      <c r="AP173" s="24"/>
      <c r="AQ173" s="24"/>
      <c r="AR173" s="24"/>
      <c r="AS173" s="24"/>
      <c r="AT173" s="24"/>
      <c r="AU173" s="24"/>
      <c r="AV173" s="24"/>
      <c r="AW173" s="24"/>
      <c r="AX173" s="24"/>
      <c r="AY173" s="24"/>
      <c r="AZ173" s="24"/>
      <c r="BA173" s="24"/>
    </row>
    <row r="174" ht="12.75" customHeight="1">
      <c r="A174" s="46" t="s">
        <v>297</v>
      </c>
      <c r="B174" s="51"/>
      <c r="C174" s="84">
        <f>VLOOKUP(C168,'Oil and Gas Production'!$Y$50:$AA$81,2,FALSE)</f>
        <v>20969034</v>
      </c>
      <c r="D174" s="84">
        <f>VLOOKUP(D168,'Oil and Gas Production'!$Y$50:$AA$81,2,FALSE)</f>
        <v>20327855</v>
      </c>
      <c r="E174" s="84">
        <f>VLOOKUP(E168,'Oil and Gas Production'!$Y$50:$AA$81,2,FALSE)</f>
        <v>19294021</v>
      </c>
      <c r="F174" s="84">
        <f>VLOOKUP(F168,'Oil and Gas Production'!$Y$50:$AA$81,2,FALSE)</f>
        <v>18903953</v>
      </c>
      <c r="G174" s="84">
        <f>VLOOKUP(G168,'Oil and Gas Production'!$Y$50:$AA$81,2,FALSE)</f>
        <v>18936828</v>
      </c>
      <c r="H174" s="84">
        <f>VLOOKUP(H168,'Oil and Gas Production'!$Y$50:$AA$81,2,FALSE)</f>
        <v>18478285</v>
      </c>
      <c r="I174" s="84">
        <f>VLOOKUP(I168,'Oil and Gas Production'!$Y$50:$AA$81,2,FALSE)</f>
        <v>18409476</v>
      </c>
      <c r="J174" s="84">
        <f>VLOOKUP(J168,'Oil and Gas Production'!$Y$50:$AA$81,2,FALSE)</f>
        <v>18326587</v>
      </c>
      <c r="K174" s="84">
        <f>VLOOKUP(K168,'Oil and Gas Production'!$Y$50:$AA$81,2,FALSE)</f>
        <v>17718913</v>
      </c>
      <c r="L174" s="84">
        <f>VLOOKUP(L168,'Oil and Gas Production'!$Y$50:$AA$81,2,FALSE)</f>
        <v>16791442</v>
      </c>
      <c r="M174" s="84">
        <f>VLOOKUP(M168,'Oil and Gas Production'!$Y$50:$AA$81,2,FALSE)</f>
        <v>17046683</v>
      </c>
      <c r="N174" s="84">
        <f>VLOOKUP(N168,'Oil and Gas Production'!$Y$50:$AA$81,2,FALSE)</f>
        <v>16687671</v>
      </c>
      <c r="O174" s="84">
        <f>VLOOKUP(O168,'Oil and Gas Production'!$Y$50:$AA$81,2,FALSE)</f>
        <v>17191993</v>
      </c>
      <c r="P174" s="84">
        <f>VLOOKUP(P168,'Oil and Gas Production'!$Y$50:$AA$81,2,FALSE)</f>
        <v>16352322</v>
      </c>
      <c r="Q174" s="84">
        <f>VLOOKUP(Q168,'Oil and Gas Production'!$Y$50:$AA$81,2,FALSE)</f>
        <v>15806449</v>
      </c>
      <c r="R174" s="84">
        <f>VLOOKUP(R168,'Oil and Gas Production'!$Y$50:$AA$81,2,FALSE)</f>
        <v>15523297</v>
      </c>
      <c r="S174" s="84">
        <f>VLOOKUP(S168,'Oil and Gas Production'!$Y$50:$AA$81,2,FALSE)</f>
        <v>14476848</v>
      </c>
      <c r="T174" s="84">
        <f>VLOOKUP(T168,'Oil and Gas Production'!$Y$50:$AA$81,2,FALSE)</f>
        <v>14115667</v>
      </c>
      <c r="U174" s="84">
        <f>VLOOKUP(U168,'Oil and Gas Production'!$Y$50:$AA$81,2,FALSE)</f>
        <v>13966538</v>
      </c>
      <c r="V174" s="84">
        <f>VLOOKUP(V168,'Oil and Gas Production'!$Y$50:$AA$81,2,FALSE)</f>
        <v>0</v>
      </c>
      <c r="W174" s="84">
        <f>VLOOKUP(W168,'Oil and Gas Production'!$Y$50:$AA$81,2,FALSE)</f>
        <v>0</v>
      </c>
      <c r="X174" s="84">
        <f>VLOOKUP(X168,'Oil and Gas Production'!$Y$50:$AA$81,2,FALSE)</f>
        <v>0</v>
      </c>
      <c r="Y174" s="84">
        <f>VLOOKUP(Y168,'Oil and Gas Production'!$Y$50:$AA$81,2,FALSE)</f>
        <v>0</v>
      </c>
      <c r="Z174" s="84">
        <f>VLOOKUP(Z168,'Oil and Gas Production'!$Y$50:$AA$81,2,FALSE)</f>
        <v>0</v>
      </c>
      <c r="AA174" s="84">
        <f>VLOOKUP(AA168,'Oil and Gas Production'!$Y$50:$AA$81,2,FALSE)</f>
        <v>0</v>
      </c>
      <c r="AB174" s="84">
        <f>VLOOKUP(AB168,'Oil and Gas Production'!$Y$50:$AA$81,2,FALSE)</f>
        <v>0</v>
      </c>
      <c r="AC174" s="84">
        <f>VLOOKUP(AC168,'Oil and Gas Production'!$Y$50:$AA$81,2,FALSE)</f>
        <v>0</v>
      </c>
      <c r="AD174" s="84">
        <f>VLOOKUP(AD168,'Oil and Gas Production'!$Y$50:$AA$81,2,FALSE)</f>
        <v>0</v>
      </c>
      <c r="AE174" s="84">
        <f>VLOOKUP(AE168,'Oil and Gas Production'!$Y$50:$AA$81,2,FALSE)</f>
        <v>0</v>
      </c>
      <c r="AF174" s="84">
        <f>VLOOKUP(AF168,'Oil and Gas Production'!$Y$50:$AA$81,2,FALSE)</f>
        <v>0</v>
      </c>
      <c r="AG174" s="88">
        <f>VLOOKUP(AG168,'Oil and Gas Production'!$Y$50:$AA$81,2,FALSE)</f>
        <v>0</v>
      </c>
      <c r="AH174" s="24"/>
      <c r="AI174" s="24"/>
      <c r="AJ174" s="24"/>
      <c r="AK174" s="24"/>
      <c r="AL174" s="24"/>
      <c r="AM174" s="24"/>
      <c r="AN174" s="24"/>
      <c r="AO174" s="24"/>
      <c r="AP174" s="24"/>
      <c r="AQ174" s="24"/>
      <c r="AR174" s="24"/>
      <c r="AS174" s="24"/>
      <c r="AT174" s="24"/>
      <c r="AU174" s="24"/>
      <c r="AV174" s="24"/>
      <c r="AW174" s="24"/>
      <c r="AX174" s="24"/>
      <c r="AY174" s="24"/>
      <c r="AZ174" s="24"/>
      <c r="BA174" s="24"/>
    </row>
    <row r="175" ht="12.75" customHeight="1">
      <c r="A175" s="349" t="s">
        <v>321</v>
      </c>
      <c r="B175" s="350"/>
      <c r="C175" s="398"/>
      <c r="D175" s="398"/>
      <c r="E175" s="398" t="s">
        <v>599</v>
      </c>
      <c r="F175" s="398" t="s">
        <v>599</v>
      </c>
      <c r="G175" s="398" t="s">
        <v>599</v>
      </c>
      <c r="H175" s="398" t="s">
        <v>599</v>
      </c>
      <c r="I175" s="398" t="s">
        <v>599</v>
      </c>
      <c r="J175" s="398" t="s">
        <v>599</v>
      </c>
      <c r="K175" s="398" t="s">
        <v>599</v>
      </c>
      <c r="L175" s="398" t="s">
        <v>599</v>
      </c>
      <c r="M175" s="398" t="s">
        <v>599</v>
      </c>
      <c r="N175" s="398" t="s">
        <v>599</v>
      </c>
      <c r="O175" s="398" t="s">
        <v>599</v>
      </c>
      <c r="P175" s="398" t="s">
        <v>599</v>
      </c>
      <c r="Q175" s="398" t="s">
        <v>599</v>
      </c>
      <c r="R175" s="398" t="s">
        <v>599</v>
      </c>
      <c r="S175" s="398" t="s">
        <v>599</v>
      </c>
      <c r="T175" s="398" t="s">
        <v>599</v>
      </c>
      <c r="U175" s="398" t="s">
        <v>599</v>
      </c>
      <c r="V175" s="398"/>
      <c r="W175" s="398"/>
      <c r="X175" s="398"/>
      <c r="Y175" s="398"/>
      <c r="Z175" s="398"/>
      <c r="AA175" s="398"/>
      <c r="AB175" s="398"/>
      <c r="AC175" s="398"/>
      <c r="AD175" s="398"/>
      <c r="AE175" s="398"/>
      <c r="AF175" s="398"/>
      <c r="AG175" s="399"/>
      <c r="AH175" s="24"/>
      <c r="AI175" s="24"/>
      <c r="AJ175" s="24"/>
      <c r="AK175" s="24"/>
      <c r="AL175" s="24"/>
      <c r="AM175" s="24"/>
      <c r="AN175" s="24"/>
      <c r="AO175" s="24"/>
      <c r="AP175" s="24"/>
      <c r="AQ175" s="24"/>
      <c r="AR175" s="24"/>
      <c r="AS175" s="24"/>
      <c r="AT175" s="24"/>
      <c r="AU175" s="24"/>
      <c r="AV175" s="24"/>
      <c r="AW175" s="24"/>
      <c r="AX175" s="24"/>
      <c r="AY175" s="24"/>
      <c r="AZ175" s="24"/>
      <c r="BA175" s="24"/>
    </row>
    <row r="176" ht="12.75" customHeight="1">
      <c r="A176" s="46" t="s">
        <v>48</v>
      </c>
      <c r="B176" s="51" t="s">
        <v>51</v>
      </c>
      <c r="C176" s="50">
        <f t="shared" ref="C176:C177" si="68">C170</f>
        <v>11392</v>
      </c>
      <c r="D176" s="71">
        <f t="shared" ref="D176:K176" si="66">0.2*$C$170*(D173/$C$173)+0.8*$C$170*(D174/$C$174)</f>
        <v>11142.76693</v>
      </c>
      <c r="E176" s="71">
        <f t="shared" si="66"/>
        <v>10719.95876</v>
      </c>
      <c r="F176" s="71">
        <f t="shared" si="66"/>
        <v>10763.58423</v>
      </c>
      <c r="G176" s="71">
        <f t="shared" si="66"/>
        <v>11146.11166</v>
      </c>
      <c r="H176" s="71">
        <f t="shared" si="66"/>
        <v>10880.62561</v>
      </c>
      <c r="I176" s="71">
        <f t="shared" si="66"/>
        <v>11034.56401</v>
      </c>
      <c r="J176" s="71">
        <f t="shared" si="66"/>
        <v>11205.69083</v>
      </c>
      <c r="K176" s="71">
        <f t="shared" si="66"/>
        <v>10720.06964</v>
      </c>
      <c r="L176" s="50">
        <f t="shared" ref="L176:L177" si="70">L170</f>
        <v>91258</v>
      </c>
      <c r="M176" s="71">
        <f t="shared" ref="M176:AG176" si="67">0.2*$L$170*(M173/$L$173)+0.8*$L$170*(M174/$L$174)</f>
        <v>95921.65126</v>
      </c>
      <c r="N176" s="71">
        <f t="shared" si="67"/>
        <v>96527.61673</v>
      </c>
      <c r="O176" s="71">
        <f t="shared" si="67"/>
        <v>99134.21987</v>
      </c>
      <c r="P176" s="71">
        <f t="shared" si="67"/>
        <v>94468.09538</v>
      </c>
      <c r="Q176" s="71">
        <f t="shared" si="67"/>
        <v>93319.23882</v>
      </c>
      <c r="R176" s="71">
        <f t="shared" si="67"/>
        <v>88643.84094</v>
      </c>
      <c r="S176" s="71">
        <f t="shared" si="67"/>
        <v>81334.22016</v>
      </c>
      <c r="T176" s="71">
        <f t="shared" si="67"/>
        <v>80331.18278</v>
      </c>
      <c r="U176" s="71">
        <f t="shared" si="67"/>
        <v>78926.47683</v>
      </c>
      <c r="V176" s="71">
        <f t="shared" si="67"/>
        <v>0</v>
      </c>
      <c r="W176" s="71">
        <f t="shared" si="67"/>
        <v>0</v>
      </c>
      <c r="X176" s="71">
        <f t="shared" si="67"/>
        <v>0</v>
      </c>
      <c r="Y176" s="71">
        <f t="shared" si="67"/>
        <v>0</v>
      </c>
      <c r="Z176" s="71">
        <f t="shared" si="67"/>
        <v>0</v>
      </c>
      <c r="AA176" s="71">
        <f t="shared" si="67"/>
        <v>0</v>
      </c>
      <c r="AB176" s="71">
        <f t="shared" si="67"/>
        <v>0</v>
      </c>
      <c r="AC176" s="71">
        <f t="shared" si="67"/>
        <v>0</v>
      </c>
      <c r="AD176" s="71">
        <f t="shared" si="67"/>
        <v>0</v>
      </c>
      <c r="AE176" s="71">
        <f t="shared" si="67"/>
        <v>0</v>
      </c>
      <c r="AF176" s="71">
        <f t="shared" si="67"/>
        <v>0</v>
      </c>
      <c r="AG176" s="358">
        <f t="shared" si="67"/>
        <v>0</v>
      </c>
      <c r="AH176" s="148"/>
      <c r="AI176" s="24"/>
      <c r="AJ176" s="24"/>
      <c r="AK176" s="24"/>
      <c r="AL176" s="24"/>
      <c r="AM176" s="24"/>
      <c r="AN176" s="24"/>
      <c r="AO176" s="24"/>
      <c r="AP176" s="24"/>
      <c r="AQ176" s="24"/>
      <c r="AR176" s="24"/>
      <c r="AS176" s="24"/>
      <c r="AT176" s="24"/>
      <c r="AU176" s="24"/>
      <c r="AV176" s="24"/>
      <c r="AW176" s="24"/>
      <c r="AX176" s="24"/>
      <c r="AY176" s="24"/>
      <c r="AZ176" s="24"/>
      <c r="BA176" s="24"/>
    </row>
    <row r="177" ht="12.75" customHeight="1">
      <c r="A177" s="153" t="s">
        <v>49</v>
      </c>
      <c r="B177" s="215" t="s">
        <v>52</v>
      </c>
      <c r="C177" s="485">
        <f t="shared" si="68"/>
        <v>82225</v>
      </c>
      <c r="D177" s="484">
        <f t="shared" ref="D177:K177" si="69">0.2*$C$171*(D173/$C$173)+0.8*$C$171*(D174/$C$174)</f>
        <v>80426.08942</v>
      </c>
      <c r="E177" s="484">
        <f t="shared" si="69"/>
        <v>77374.35124</v>
      </c>
      <c r="F177" s="484">
        <f t="shared" si="69"/>
        <v>77689.23043</v>
      </c>
      <c r="G177" s="484">
        <f t="shared" si="69"/>
        <v>80450.23098</v>
      </c>
      <c r="H177" s="484">
        <f t="shared" si="69"/>
        <v>78534.00988</v>
      </c>
      <c r="I177" s="484">
        <f t="shared" si="69"/>
        <v>79645.1041</v>
      </c>
      <c r="J177" s="484">
        <f t="shared" si="69"/>
        <v>80880.26056</v>
      </c>
      <c r="K177" s="484">
        <f t="shared" si="69"/>
        <v>77375.15153</v>
      </c>
      <c r="L177" s="485">
        <f t="shared" si="70"/>
        <v>982</v>
      </c>
      <c r="M177" s="484">
        <f t="shared" ref="M177:AG177" si="71">0.2*$L$171*(M173/$L$173)+0.8*$L$171*(M174/$L$174)</f>
        <v>1032.184154</v>
      </c>
      <c r="N177" s="484">
        <f t="shared" si="71"/>
        <v>1038.704767</v>
      </c>
      <c r="O177" s="484">
        <f t="shared" si="71"/>
        <v>1066.753643</v>
      </c>
      <c r="P177" s="484">
        <f t="shared" si="71"/>
        <v>1016.542875</v>
      </c>
      <c r="Q177" s="484">
        <f t="shared" si="71"/>
        <v>1004.180373</v>
      </c>
      <c r="R177" s="484">
        <f t="shared" si="71"/>
        <v>953.8698175</v>
      </c>
      <c r="S177" s="484">
        <f t="shared" si="71"/>
        <v>875.213178</v>
      </c>
      <c r="T177" s="484">
        <f t="shared" si="71"/>
        <v>864.4197932</v>
      </c>
      <c r="U177" s="484">
        <f t="shared" si="71"/>
        <v>849.3041733</v>
      </c>
      <c r="V177" s="484">
        <f t="shared" si="71"/>
        <v>0</v>
      </c>
      <c r="W177" s="484">
        <f t="shared" si="71"/>
        <v>0</v>
      </c>
      <c r="X177" s="484">
        <f t="shared" si="71"/>
        <v>0</v>
      </c>
      <c r="Y177" s="484">
        <f t="shared" si="71"/>
        <v>0</v>
      </c>
      <c r="Z177" s="484">
        <f t="shared" si="71"/>
        <v>0</v>
      </c>
      <c r="AA177" s="484">
        <f t="shared" si="71"/>
        <v>0</v>
      </c>
      <c r="AB177" s="484">
        <f t="shared" si="71"/>
        <v>0</v>
      </c>
      <c r="AC177" s="484">
        <f t="shared" si="71"/>
        <v>0</v>
      </c>
      <c r="AD177" s="484">
        <f t="shared" si="71"/>
        <v>0</v>
      </c>
      <c r="AE177" s="484">
        <f t="shared" si="71"/>
        <v>0</v>
      </c>
      <c r="AF177" s="484">
        <f t="shared" si="71"/>
        <v>0</v>
      </c>
      <c r="AG177" s="520">
        <f t="shared" si="71"/>
        <v>0</v>
      </c>
      <c r="AH177" s="24"/>
      <c r="AI177" s="24"/>
      <c r="AJ177" s="24"/>
      <c r="AK177" s="24"/>
      <c r="AL177" s="24"/>
      <c r="AM177" s="24"/>
      <c r="AN177" s="24"/>
      <c r="AO177" s="24"/>
      <c r="AP177" s="24"/>
      <c r="AQ177" s="24"/>
      <c r="AR177" s="24"/>
      <c r="AS177" s="24"/>
      <c r="AT177" s="24"/>
      <c r="AU177" s="24"/>
      <c r="AV177" s="24"/>
      <c r="AW177" s="24"/>
      <c r="AX177" s="24"/>
      <c r="AY177" s="24"/>
      <c r="AZ177" s="24"/>
      <c r="BA177" s="24"/>
    </row>
    <row r="178" ht="12.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row>
    <row r="179" ht="12.75" customHeight="1">
      <c r="A179" s="46"/>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
      <c r="AZ179" s="24"/>
      <c r="BA179" s="24"/>
    </row>
    <row r="180" ht="12.75" customHeight="1">
      <c r="A180" s="46"/>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row>
    <row r="181" ht="12.75" customHeight="1">
      <c r="A181" s="46"/>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row>
    <row r="182" ht="12.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row>
    <row r="183" ht="12.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row>
    <row r="184" ht="12.75" customHeight="1">
      <c r="A184" s="46"/>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row>
    <row r="185" ht="12.75" customHeight="1">
      <c r="A185" s="46"/>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row>
    <row r="186" ht="12.75" customHeight="1">
      <c r="A186" s="46"/>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row>
    <row r="187" ht="12.75" customHeight="1">
      <c r="A187" s="46"/>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row>
    <row r="188" ht="12.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row>
    <row r="189" ht="12.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row>
    <row r="190" ht="12.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row>
    <row r="191" ht="12.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row>
    <row r="192" ht="12.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row>
    <row r="193" ht="12.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row>
    <row r="194" ht="12.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row>
    <row r="195" ht="12.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row>
    <row r="196" ht="12.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row>
    <row r="197" ht="12.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row>
    <row r="198" ht="12.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row>
    <row r="199" ht="12.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row>
    <row r="200" ht="12.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row>
    <row r="201" ht="12.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row>
    <row r="202" ht="12.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row>
    <row r="203" ht="12.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row>
    <row r="204" ht="12.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row>
    <row r="205" ht="12.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row>
    <row r="206" ht="12.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row>
    <row r="207" ht="12.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row>
    <row r="208" ht="12.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row>
    <row r="209" ht="12.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row>
    <row r="210" ht="12.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row>
    <row r="211" ht="12.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row>
    <row r="212" ht="12.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row>
    <row r="213" ht="12.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row>
    <row r="214" ht="12.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row>
    <row r="215" ht="12.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row>
    <row r="216" ht="12.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row>
    <row r="217" ht="12.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row>
    <row r="218" ht="12.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row>
    <row r="219" ht="12.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row>
    <row r="220" ht="12.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row>
    <row r="221" ht="12.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row>
    <row r="222" ht="12.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row>
    <row r="223" ht="12.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row>
    <row r="224" ht="12.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row>
    <row r="225" ht="12.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row>
    <row r="226" ht="12.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row>
    <row r="227" ht="12.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row>
    <row r="228" ht="12.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row>
    <row r="229" ht="12.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row>
    <row r="230" ht="12.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row>
    <row r="231" ht="12.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row>
    <row r="232" ht="12.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row>
    <row r="233" ht="12.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row>
    <row r="234" ht="12.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row>
    <row r="235" ht="12.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row>
    <row r="236" ht="12.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row>
    <row r="237" ht="12.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row>
    <row r="238" ht="12.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row>
    <row r="239" ht="12.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row>
    <row r="240" ht="12.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row>
    <row r="241" ht="12.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row>
    <row r="242" ht="12.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row>
    <row r="243" ht="12.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row>
    <row r="244" ht="12.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row>
    <row r="245" ht="12.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row>
    <row r="246" ht="12.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row>
    <row r="247" ht="12.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row>
    <row r="248" ht="12.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row>
    <row r="249" ht="12.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row>
    <row r="250" ht="12.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row>
    <row r="251" ht="12.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row>
    <row r="252" ht="12.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row>
    <row r="253" ht="12.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row>
    <row r="254" ht="12.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row>
    <row r="255" ht="12.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row>
    <row r="256" ht="12.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row>
    <row r="257" ht="12.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row>
    <row r="258" ht="12.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row>
    <row r="259" ht="12.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row>
    <row r="260" ht="12.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row>
    <row r="261" ht="12.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row>
    <row r="262" ht="12.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row>
    <row r="263" ht="12.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row>
    <row r="264" ht="12.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row>
    <row r="265" ht="12.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row>
    <row r="266" ht="12.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row>
    <row r="267" ht="12.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row>
    <row r="268" ht="12.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row>
    <row r="269" ht="12.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row>
    <row r="270" ht="12.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row>
    <row r="271" ht="12.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row>
    <row r="272" ht="12.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row>
    <row r="273" ht="12.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row>
    <row r="274" ht="12.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row>
    <row r="275" ht="12.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row>
    <row r="276" ht="12.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row>
    <row r="277" ht="12.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row>
    <row r="278" ht="12.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row>
    <row r="279" ht="12.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row>
    <row r="280" ht="12.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row>
    <row r="281" ht="12.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row>
    <row r="282" ht="12.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row>
    <row r="283" ht="12.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row>
    <row r="284" ht="12.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row>
    <row r="285" ht="12.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row>
    <row r="286" ht="12.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row>
    <row r="287" ht="12.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row>
    <row r="288" ht="12.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row>
    <row r="289" ht="12.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row>
    <row r="290" ht="12.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row>
    <row r="291" ht="12.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row>
    <row r="292" ht="12.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row>
    <row r="293" ht="12.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row>
    <row r="294" ht="12.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row>
    <row r="295" ht="12.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row>
    <row r="296" ht="12.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row>
    <row r="297" ht="12.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row>
    <row r="298" ht="12.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row>
    <row r="299" ht="12.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row>
    <row r="300" ht="12.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row>
    <row r="301" ht="12.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row>
    <row r="302" ht="12.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row>
    <row r="303" ht="12.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row>
    <row r="304" ht="12.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row>
    <row r="305" ht="12.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row>
    <row r="306" ht="12.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row>
    <row r="307" ht="12.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row>
    <row r="308" ht="12.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row>
    <row r="309" ht="12.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c r="AO309" s="24"/>
      <c r="AP309" s="24"/>
      <c r="AQ309" s="24"/>
      <c r="AR309" s="24"/>
      <c r="AS309" s="24"/>
      <c r="AT309" s="24"/>
      <c r="AU309" s="24"/>
      <c r="AV309" s="24"/>
      <c r="AW309" s="24"/>
      <c r="AX309" s="24"/>
      <c r="AY309" s="24"/>
      <c r="AZ309" s="24"/>
      <c r="BA309" s="24"/>
    </row>
    <row r="310" ht="12.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row>
    <row r="311" ht="12.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row>
    <row r="312" ht="12.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row>
    <row r="313" ht="12.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row>
    <row r="314" ht="12.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row>
    <row r="315" ht="12.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row>
    <row r="316" ht="12.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c r="AY316" s="24"/>
      <c r="AZ316" s="24"/>
      <c r="BA316" s="24"/>
    </row>
    <row r="317" ht="12.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row>
    <row r="318" ht="12.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c r="AY318" s="24"/>
      <c r="AZ318" s="24"/>
      <c r="BA318" s="24"/>
    </row>
    <row r="319" ht="12.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row>
    <row r="320" ht="12.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row>
    <row r="321" ht="12.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row>
    <row r="322" ht="12.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row>
    <row r="323" ht="12.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row>
    <row r="324" ht="12.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row>
    <row r="325" ht="12.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row>
    <row r="326" ht="12.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row>
    <row r="327" ht="12.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row>
    <row r="328" ht="12.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row>
    <row r="329" ht="12.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row>
    <row r="330" ht="12.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row>
    <row r="331" ht="12.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row>
    <row r="332" ht="12.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row>
    <row r="333" ht="12.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row>
    <row r="334" ht="12.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row>
    <row r="335" ht="12.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row>
    <row r="336" ht="12.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row>
    <row r="337" ht="12.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row>
    <row r="338" ht="12.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row>
    <row r="339" ht="12.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row>
    <row r="340" ht="12.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row>
    <row r="341" ht="12.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row>
    <row r="342" ht="12.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row>
    <row r="343" ht="12.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row>
    <row r="344" ht="12.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row>
    <row r="345" ht="12.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row>
    <row r="346" ht="12.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row>
    <row r="347" ht="12.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row>
    <row r="348" ht="12.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row>
    <row r="349" ht="12.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row>
    <row r="350" ht="12.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row>
    <row r="351" ht="12.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row>
    <row r="352" ht="12.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row>
    <row r="353" ht="12.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row>
    <row r="354" ht="12.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row>
    <row r="355" ht="12.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row>
    <row r="356" ht="12.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row>
    <row r="357" ht="12.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row>
    <row r="358" ht="12.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row>
    <row r="359" ht="12.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row>
    <row r="360" ht="12.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row>
    <row r="361" ht="12.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row>
    <row r="362" ht="12.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row>
    <row r="363" ht="12.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c r="AW363" s="24"/>
      <c r="AX363" s="24"/>
      <c r="AY363" s="24"/>
      <c r="AZ363" s="24"/>
      <c r="BA363" s="24"/>
    </row>
    <row r="364" ht="12.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row>
    <row r="365" ht="12.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24"/>
      <c r="AY365" s="24"/>
      <c r="AZ365" s="24"/>
      <c r="BA365" s="24"/>
    </row>
    <row r="366" ht="12.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c r="AY366" s="24"/>
      <c r="AZ366" s="24"/>
      <c r="BA366" s="24"/>
    </row>
    <row r="367" ht="12.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c r="AW367" s="24"/>
      <c r="AX367" s="24"/>
      <c r="AY367" s="24"/>
      <c r="AZ367" s="24"/>
      <c r="BA367" s="24"/>
    </row>
    <row r="368" ht="12.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row>
    <row r="369" ht="12.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c r="AP369" s="24"/>
      <c r="AQ369" s="24"/>
      <c r="AR369" s="24"/>
      <c r="AS369" s="24"/>
      <c r="AT369" s="24"/>
      <c r="AU369" s="24"/>
      <c r="AV369" s="24"/>
      <c r="AW369" s="24"/>
      <c r="AX369" s="24"/>
      <c r="AY369" s="24"/>
      <c r="AZ369" s="24"/>
      <c r="BA369" s="24"/>
    </row>
    <row r="370" ht="12.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c r="AY370" s="24"/>
      <c r="AZ370" s="24"/>
      <c r="BA370" s="24"/>
    </row>
    <row r="371" ht="12.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c r="AS371" s="24"/>
      <c r="AT371" s="24"/>
      <c r="AU371" s="24"/>
      <c r="AV371" s="24"/>
      <c r="AW371" s="24"/>
      <c r="AX371" s="24"/>
      <c r="AY371" s="24"/>
      <c r="AZ371" s="24"/>
      <c r="BA371" s="24"/>
    </row>
    <row r="372" ht="12.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c r="AY372" s="24"/>
      <c r="AZ372" s="24"/>
      <c r="BA372" s="24"/>
    </row>
    <row r="373" ht="12.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c r="AP373" s="24"/>
      <c r="AQ373" s="24"/>
      <c r="AR373" s="24"/>
      <c r="AS373" s="24"/>
      <c r="AT373" s="24"/>
      <c r="AU373" s="24"/>
      <c r="AV373" s="24"/>
      <c r="AW373" s="24"/>
      <c r="AX373" s="24"/>
      <c r="AY373" s="24"/>
      <c r="AZ373" s="24"/>
      <c r="BA373" s="24"/>
    </row>
    <row r="374" ht="12.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c r="AY374" s="24"/>
      <c r="AZ374" s="24"/>
      <c r="BA374" s="24"/>
    </row>
    <row r="375" ht="12.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row>
    <row r="376" ht="12.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c r="AY376" s="24"/>
      <c r="AZ376" s="24"/>
      <c r="BA376" s="24"/>
    </row>
    <row r="377" ht="12.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s="24"/>
      <c r="AS377" s="24"/>
      <c r="AT377" s="24"/>
      <c r="AU377" s="24"/>
      <c r="AV377" s="24"/>
      <c r="AW377" s="24"/>
      <c r="AX377" s="24"/>
      <c r="AY377" s="24"/>
      <c r="AZ377" s="24"/>
      <c r="BA377" s="24"/>
    </row>
    <row r="378" ht="12.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c r="AY378" s="24"/>
      <c r="AZ378" s="24"/>
      <c r="BA378" s="24"/>
    </row>
    <row r="379" ht="12.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c r="AW379" s="24"/>
      <c r="AX379" s="24"/>
      <c r="AY379" s="24"/>
      <c r="AZ379" s="24"/>
      <c r="BA379" s="24"/>
    </row>
    <row r="380" ht="12.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c r="AY380" s="24"/>
      <c r="AZ380" s="24"/>
      <c r="BA380" s="24"/>
    </row>
    <row r="381" ht="12.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c r="AW381" s="24"/>
      <c r="AX381" s="24"/>
      <c r="AY381" s="24"/>
      <c r="AZ381" s="24"/>
      <c r="BA381" s="24"/>
    </row>
    <row r="382" ht="12.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row>
    <row r="383" ht="12.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24"/>
      <c r="AY383" s="24"/>
      <c r="AZ383" s="24"/>
      <c r="BA383" s="24"/>
    </row>
    <row r="384" ht="12.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c r="AY384" s="24"/>
      <c r="AZ384" s="24"/>
      <c r="BA384" s="24"/>
    </row>
    <row r="385" ht="12.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24"/>
      <c r="AY385" s="24"/>
      <c r="AZ385" s="24"/>
      <c r="BA385" s="24"/>
    </row>
    <row r="386" ht="12.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c r="AY386" s="24"/>
      <c r="AZ386" s="24"/>
      <c r="BA386" s="24"/>
    </row>
    <row r="387" ht="12.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24"/>
      <c r="AY387" s="24"/>
      <c r="AZ387" s="24"/>
      <c r="BA387" s="24"/>
    </row>
    <row r="388" ht="12.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c r="AY388" s="24"/>
      <c r="AZ388" s="24"/>
      <c r="BA388" s="24"/>
    </row>
    <row r="389" ht="12.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row>
    <row r="390" ht="12.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c r="AY390" s="24"/>
      <c r="AZ390" s="24"/>
      <c r="BA390" s="24"/>
    </row>
    <row r="391" ht="12.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c r="AW391" s="24"/>
      <c r="AX391" s="24"/>
      <c r="AY391" s="24"/>
      <c r="AZ391" s="24"/>
      <c r="BA391" s="24"/>
    </row>
    <row r="392" ht="12.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c r="AY392" s="24"/>
      <c r="AZ392" s="24"/>
      <c r="BA392" s="24"/>
    </row>
    <row r="393" ht="12.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c r="AW393" s="24"/>
      <c r="AX393" s="24"/>
      <c r="AY393" s="24"/>
      <c r="AZ393" s="24"/>
      <c r="BA393" s="24"/>
    </row>
    <row r="394" ht="12.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c r="AY394" s="24"/>
      <c r="AZ394" s="24"/>
      <c r="BA394" s="24"/>
    </row>
    <row r="395" ht="12.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24"/>
      <c r="AQ395" s="24"/>
      <c r="AR395" s="24"/>
      <c r="AS395" s="24"/>
      <c r="AT395" s="24"/>
      <c r="AU395" s="24"/>
      <c r="AV395" s="24"/>
      <c r="AW395" s="24"/>
      <c r="AX395" s="24"/>
      <c r="AY395" s="24"/>
      <c r="AZ395" s="24"/>
      <c r="BA395" s="24"/>
    </row>
    <row r="396" ht="12.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c r="AY396" s="24"/>
      <c r="AZ396" s="24"/>
      <c r="BA396" s="24"/>
    </row>
    <row r="397" ht="12.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s="24"/>
      <c r="AS397" s="24"/>
      <c r="AT397" s="24"/>
      <c r="AU397" s="24"/>
      <c r="AV397" s="24"/>
      <c r="AW397" s="24"/>
      <c r="AX397" s="24"/>
      <c r="AY397" s="24"/>
      <c r="AZ397" s="24"/>
      <c r="BA397" s="24"/>
    </row>
    <row r="398" ht="12.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c r="AY398" s="24"/>
      <c r="AZ398" s="24"/>
      <c r="BA398" s="24"/>
    </row>
    <row r="399" ht="12.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24"/>
      <c r="AY399" s="24"/>
      <c r="AZ399" s="24"/>
      <c r="BA399" s="24"/>
    </row>
    <row r="400" ht="12.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c r="AY400" s="24"/>
      <c r="AZ400" s="24"/>
      <c r="BA400" s="24"/>
    </row>
    <row r="401" ht="12.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c r="AP401" s="24"/>
      <c r="AQ401" s="24"/>
      <c r="AR401" s="24"/>
      <c r="AS401" s="24"/>
      <c r="AT401" s="24"/>
      <c r="AU401" s="24"/>
      <c r="AV401" s="24"/>
      <c r="AW401" s="24"/>
      <c r="AX401" s="24"/>
      <c r="AY401" s="24"/>
      <c r="AZ401" s="24"/>
      <c r="BA401" s="24"/>
    </row>
    <row r="402" ht="12.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c r="AY402" s="24"/>
      <c r="AZ402" s="24"/>
      <c r="BA402" s="24"/>
    </row>
    <row r="403" ht="12.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24"/>
      <c r="AY403" s="24"/>
      <c r="AZ403" s="24"/>
      <c r="BA403" s="24"/>
    </row>
    <row r="404" ht="12.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c r="AY404" s="24"/>
      <c r="AZ404" s="24"/>
      <c r="BA404" s="24"/>
    </row>
    <row r="405" ht="12.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s="24"/>
      <c r="AS405" s="24"/>
      <c r="AT405" s="24"/>
      <c r="AU405" s="24"/>
      <c r="AV405" s="24"/>
      <c r="AW405" s="24"/>
      <c r="AX405" s="24"/>
      <c r="AY405" s="24"/>
      <c r="AZ405" s="24"/>
      <c r="BA405" s="24"/>
    </row>
    <row r="406" ht="12.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c r="AY406" s="24"/>
      <c r="AZ406" s="24"/>
      <c r="BA406" s="24"/>
    </row>
    <row r="407" ht="12.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24"/>
      <c r="AY407" s="24"/>
      <c r="AZ407" s="24"/>
      <c r="BA407" s="24"/>
    </row>
    <row r="408" ht="12.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c r="AY408" s="24"/>
      <c r="AZ408" s="24"/>
      <c r="BA408" s="24"/>
    </row>
    <row r="409" ht="12.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s="24"/>
      <c r="AS409" s="24"/>
      <c r="AT409" s="24"/>
      <c r="AU409" s="24"/>
      <c r="AV409" s="24"/>
      <c r="AW409" s="24"/>
      <c r="AX409" s="24"/>
      <c r="AY409" s="24"/>
      <c r="AZ409" s="24"/>
      <c r="BA409" s="24"/>
    </row>
    <row r="410" ht="12.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c r="AY410" s="24"/>
      <c r="AZ410" s="24"/>
      <c r="BA410" s="24"/>
    </row>
    <row r="411" ht="12.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s="24"/>
      <c r="AS411" s="24"/>
      <c r="AT411" s="24"/>
      <c r="AU411" s="24"/>
      <c r="AV411" s="24"/>
      <c r="AW411" s="24"/>
      <c r="AX411" s="24"/>
      <c r="AY411" s="24"/>
      <c r="AZ411" s="24"/>
      <c r="BA411" s="24"/>
    </row>
    <row r="412" ht="12.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c r="AY412" s="24"/>
      <c r="AZ412" s="24"/>
      <c r="BA412" s="24"/>
    </row>
    <row r="413" ht="12.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c r="AU413" s="24"/>
      <c r="AV413" s="24"/>
      <c r="AW413" s="24"/>
      <c r="AX413" s="24"/>
      <c r="AY413" s="24"/>
      <c r="AZ413" s="24"/>
      <c r="BA413" s="24"/>
    </row>
    <row r="414" ht="12.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row>
    <row r="415" ht="12.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24"/>
      <c r="AY415" s="24"/>
      <c r="AZ415" s="24"/>
      <c r="BA415" s="24"/>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c r="AY416" s="24"/>
      <c r="AZ416" s="24"/>
      <c r="BA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c r="AY420" s="24"/>
      <c r="AZ420" s="24"/>
      <c r="BA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c r="AY424" s="24"/>
      <c r="AZ424" s="24"/>
      <c r="BA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24"/>
      <c r="AY425" s="24"/>
      <c r="AZ425" s="24"/>
      <c r="BA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c r="AY426" s="24"/>
      <c r="AZ426" s="24"/>
      <c r="BA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c r="AU427" s="24"/>
      <c r="AV427" s="24"/>
      <c r="AW427" s="24"/>
      <c r="AX427" s="24"/>
      <c r="AY427" s="24"/>
      <c r="AZ427" s="24"/>
      <c r="BA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c r="AY428" s="24"/>
      <c r="AZ428" s="24"/>
      <c r="BA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s="24"/>
      <c r="AS429" s="24"/>
      <c r="AT429" s="24"/>
      <c r="AU429" s="24"/>
      <c r="AV429" s="24"/>
      <c r="AW429" s="24"/>
      <c r="AX429" s="24"/>
      <c r="AY429" s="24"/>
      <c r="AZ429" s="24"/>
      <c r="BA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c r="AY430" s="24"/>
      <c r="AZ430" s="24"/>
      <c r="BA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c r="AU431" s="24"/>
      <c r="AV431" s="24"/>
      <c r="AW431" s="24"/>
      <c r="AX431" s="24"/>
      <c r="AY431" s="24"/>
      <c r="AZ431" s="24"/>
      <c r="BA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c r="AY432" s="24"/>
      <c r="AZ432" s="24"/>
      <c r="BA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24"/>
      <c r="AY433" s="24"/>
      <c r="AZ433" s="24"/>
      <c r="BA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c r="AY434" s="24"/>
      <c r="AZ434" s="24"/>
      <c r="BA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c r="AS435" s="24"/>
      <c r="AT435" s="24"/>
      <c r="AU435" s="24"/>
      <c r="AV435" s="24"/>
      <c r="AW435" s="24"/>
      <c r="AX435" s="24"/>
      <c r="AY435" s="24"/>
      <c r="AZ435" s="24"/>
      <c r="BA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c r="AY436" s="24"/>
      <c r="AZ436" s="24"/>
      <c r="BA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s="24"/>
      <c r="AS437" s="24"/>
      <c r="AT437" s="24"/>
      <c r="AU437" s="24"/>
      <c r="AV437" s="24"/>
      <c r="AW437" s="24"/>
      <c r="AX437" s="24"/>
      <c r="AY437" s="24"/>
      <c r="AZ437" s="24"/>
      <c r="BA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c r="AY438" s="24"/>
      <c r="AZ438" s="24"/>
      <c r="BA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c r="AY440" s="24"/>
      <c r="AZ440" s="24"/>
      <c r="BA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s="24"/>
      <c r="AS441" s="24"/>
      <c r="AT441" s="24"/>
      <c r="AU441" s="24"/>
      <c r="AV441" s="24"/>
      <c r="AW441" s="24"/>
      <c r="AX441" s="24"/>
      <c r="AY441" s="24"/>
      <c r="AZ441" s="24"/>
      <c r="BA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c r="AY442" s="24"/>
      <c r="AZ442" s="24"/>
      <c r="BA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s="24"/>
      <c r="AS443" s="24"/>
      <c r="AT443" s="24"/>
      <c r="AU443" s="24"/>
      <c r="AV443" s="24"/>
      <c r="AW443" s="24"/>
      <c r="AX443" s="24"/>
      <c r="AY443" s="24"/>
      <c r="AZ443" s="24"/>
      <c r="BA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c r="AY444" s="24"/>
      <c r="AZ444" s="24"/>
      <c r="BA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s="24"/>
      <c r="AS445" s="24"/>
      <c r="AT445" s="24"/>
      <c r="AU445" s="24"/>
      <c r="AV445" s="24"/>
      <c r="AW445" s="24"/>
      <c r="AX445" s="24"/>
      <c r="AY445" s="24"/>
      <c r="AZ445" s="24"/>
      <c r="BA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c r="AY446" s="24"/>
      <c r="AZ446" s="24"/>
      <c r="BA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s="24"/>
      <c r="AS447" s="24"/>
      <c r="AT447" s="24"/>
      <c r="AU447" s="24"/>
      <c r="AV447" s="24"/>
      <c r="AW447" s="24"/>
      <c r="AX447" s="24"/>
      <c r="AY447" s="24"/>
      <c r="AZ447" s="24"/>
      <c r="BA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c r="AY448" s="24"/>
      <c r="AZ448" s="24"/>
      <c r="BA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s="24"/>
      <c r="AS449" s="24"/>
      <c r="AT449" s="24"/>
      <c r="AU449" s="24"/>
      <c r="AV449" s="24"/>
      <c r="AW449" s="24"/>
      <c r="AX449" s="24"/>
      <c r="AY449" s="24"/>
      <c r="AZ449" s="24"/>
      <c r="BA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c r="AY450" s="24"/>
      <c r="AZ450" s="24"/>
      <c r="BA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s="24"/>
      <c r="AS451" s="24"/>
      <c r="AT451" s="24"/>
      <c r="AU451" s="24"/>
      <c r="AV451" s="24"/>
      <c r="AW451" s="24"/>
      <c r="AX451" s="24"/>
      <c r="AY451" s="24"/>
      <c r="AZ451" s="24"/>
      <c r="BA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c r="AY452" s="24"/>
      <c r="AZ452" s="24"/>
      <c r="BA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c r="AP453" s="24"/>
      <c r="AQ453" s="24"/>
      <c r="AR453" s="24"/>
      <c r="AS453" s="24"/>
      <c r="AT453" s="24"/>
      <c r="AU453" s="24"/>
      <c r="AV453" s="24"/>
      <c r="AW453" s="24"/>
      <c r="AX453" s="24"/>
      <c r="AY453" s="24"/>
      <c r="AZ453" s="24"/>
      <c r="BA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c r="AY454" s="24"/>
      <c r="AZ454" s="24"/>
      <c r="BA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24"/>
      <c r="AY455" s="24"/>
      <c r="AZ455" s="24"/>
      <c r="BA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c r="AY456" s="24"/>
      <c r="AZ456" s="24"/>
      <c r="BA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c r="AW457" s="24"/>
      <c r="AX457" s="24"/>
      <c r="AY457" s="24"/>
      <c r="AZ457" s="24"/>
      <c r="BA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c r="AY458" s="24"/>
      <c r="AZ458" s="24"/>
      <c r="BA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s="24"/>
      <c r="AS459" s="24"/>
      <c r="AT459" s="24"/>
      <c r="AU459" s="24"/>
      <c r="AV459" s="24"/>
      <c r="AW459" s="24"/>
      <c r="AX459" s="24"/>
      <c r="AY459" s="24"/>
      <c r="AZ459" s="24"/>
      <c r="BA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c r="AY460" s="24"/>
      <c r="AZ460" s="24"/>
      <c r="BA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24"/>
      <c r="AY461" s="24"/>
      <c r="AZ461" s="24"/>
      <c r="BA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c r="AY462" s="24"/>
      <c r="AZ462" s="24"/>
      <c r="BA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24"/>
      <c r="AY463" s="24"/>
      <c r="AZ463" s="24"/>
      <c r="BA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c r="AP465" s="24"/>
      <c r="AQ465" s="24"/>
      <c r="AR465" s="24"/>
      <c r="AS465" s="24"/>
      <c r="AT465" s="24"/>
      <c r="AU465" s="24"/>
      <c r="AV465" s="24"/>
      <c r="AW465" s="24"/>
      <c r="AX465" s="24"/>
      <c r="AY465" s="24"/>
      <c r="AZ465" s="24"/>
      <c r="BA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c r="AY466" s="24"/>
      <c r="AZ466" s="24"/>
      <c r="BA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s="24"/>
      <c r="AS467" s="24"/>
      <c r="AT467" s="24"/>
      <c r="AU467" s="24"/>
      <c r="AV467" s="24"/>
      <c r="AW467" s="24"/>
      <c r="AX467" s="24"/>
      <c r="AY467" s="24"/>
      <c r="AZ467" s="24"/>
      <c r="BA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c r="AY468" s="24"/>
      <c r="AZ468" s="24"/>
      <c r="BA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s="24"/>
      <c r="AS469" s="24"/>
      <c r="AT469" s="24"/>
      <c r="AU469" s="24"/>
      <c r="AV469" s="24"/>
      <c r="AW469" s="24"/>
      <c r="AX469" s="24"/>
      <c r="AY469" s="24"/>
      <c r="AZ469" s="24"/>
      <c r="BA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c r="AY470" s="24"/>
      <c r="AZ470" s="24"/>
      <c r="BA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s="24"/>
      <c r="AS471" s="24"/>
      <c r="AT471" s="24"/>
      <c r="AU471" s="24"/>
      <c r="AV471" s="24"/>
      <c r="AW471" s="24"/>
      <c r="AX471" s="24"/>
      <c r="AY471" s="24"/>
      <c r="AZ471" s="24"/>
      <c r="BA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c r="AY472" s="24"/>
      <c r="AZ472" s="24"/>
      <c r="BA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s="24"/>
      <c r="AS473" s="24"/>
      <c r="AT473" s="24"/>
      <c r="AU473" s="24"/>
      <c r="AV473" s="24"/>
      <c r="AW473" s="24"/>
      <c r="AX473" s="24"/>
      <c r="AY473" s="24"/>
      <c r="AZ473" s="24"/>
      <c r="BA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c r="AV475" s="24"/>
      <c r="AW475" s="24"/>
      <c r="AX475" s="24"/>
      <c r="AY475" s="24"/>
      <c r="AZ475" s="24"/>
      <c r="BA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c r="AY476" s="24"/>
      <c r="AZ476" s="24"/>
      <c r="BA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c r="AP477" s="24"/>
      <c r="AQ477" s="24"/>
      <c r="AR477" s="24"/>
      <c r="AS477" s="24"/>
      <c r="AT477" s="24"/>
      <c r="AU477" s="24"/>
      <c r="AV477" s="24"/>
      <c r="AW477" s="24"/>
      <c r="AX477" s="24"/>
      <c r="AY477" s="24"/>
      <c r="AZ477" s="24"/>
      <c r="BA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c r="AY478" s="24"/>
      <c r="AZ478" s="24"/>
      <c r="BA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s="24"/>
      <c r="AS479" s="24"/>
      <c r="AT479" s="24"/>
      <c r="AU479" s="24"/>
      <c r="AV479" s="24"/>
      <c r="AW479" s="24"/>
      <c r="AX479" s="24"/>
      <c r="AY479" s="24"/>
      <c r="AZ479" s="24"/>
      <c r="BA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c r="AY480" s="24"/>
      <c r="AZ480" s="24"/>
      <c r="BA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s="24"/>
      <c r="AS481" s="24"/>
      <c r="AT481" s="24"/>
      <c r="AU481" s="24"/>
      <c r="AV481" s="24"/>
      <c r="AW481" s="24"/>
      <c r="AX481" s="24"/>
      <c r="AY481" s="24"/>
      <c r="AZ481" s="24"/>
      <c r="BA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c r="AY482" s="24"/>
      <c r="AZ482" s="24"/>
      <c r="BA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s="24"/>
      <c r="AS483" s="24"/>
      <c r="AT483" s="24"/>
      <c r="AU483" s="24"/>
      <c r="AV483" s="24"/>
      <c r="AW483" s="24"/>
      <c r="AX483" s="24"/>
      <c r="AY483" s="24"/>
      <c r="AZ483" s="24"/>
      <c r="BA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c r="AY484" s="24"/>
      <c r="AZ484" s="24"/>
      <c r="BA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c r="AW485" s="24"/>
      <c r="AX485" s="24"/>
      <c r="AY485" s="24"/>
      <c r="AZ485" s="24"/>
      <c r="BA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c r="AY486" s="24"/>
      <c r="AZ486" s="24"/>
      <c r="BA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c r="AY488" s="24"/>
      <c r="AZ488" s="24"/>
      <c r="BA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c r="AY490" s="24"/>
      <c r="AZ490" s="24"/>
      <c r="BA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s="24"/>
      <c r="AS491" s="24"/>
      <c r="AT491" s="24"/>
      <c r="AU491" s="24"/>
      <c r="AV491" s="24"/>
      <c r="AW491" s="24"/>
      <c r="AX491" s="24"/>
      <c r="AY491" s="24"/>
      <c r="AZ491" s="24"/>
      <c r="BA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c r="AY492" s="24"/>
      <c r="AZ492" s="24"/>
      <c r="BA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24"/>
      <c r="AY493" s="24"/>
      <c r="AZ493" s="24"/>
      <c r="BA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c r="AY494" s="24"/>
      <c r="AZ494" s="24"/>
      <c r="BA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s="24"/>
      <c r="AS495" s="24"/>
      <c r="AT495" s="24"/>
      <c r="AU495" s="24"/>
      <c r="AV495" s="24"/>
      <c r="AW495" s="24"/>
      <c r="AX495" s="24"/>
      <c r="AY495" s="24"/>
      <c r="AZ495" s="24"/>
      <c r="BA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c r="AY496" s="24"/>
      <c r="AZ496" s="24"/>
      <c r="BA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s="24"/>
      <c r="AS497" s="24"/>
      <c r="AT497" s="24"/>
      <c r="AU497" s="24"/>
      <c r="AV497" s="24"/>
      <c r="AW497" s="24"/>
      <c r="AX497" s="24"/>
      <c r="AY497" s="24"/>
      <c r="AZ497" s="24"/>
      <c r="BA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c r="AY498" s="24"/>
      <c r="AZ498" s="24"/>
      <c r="BA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s="24"/>
      <c r="AS499" s="24"/>
      <c r="AT499" s="24"/>
      <c r="AU499" s="24"/>
      <c r="AV499" s="24"/>
      <c r="AW499" s="24"/>
      <c r="AX499" s="24"/>
      <c r="AY499" s="24"/>
      <c r="AZ499" s="24"/>
      <c r="BA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c r="AY500" s="24"/>
      <c r="AZ500" s="24"/>
      <c r="BA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s="24"/>
      <c r="AS501" s="24"/>
      <c r="AT501" s="24"/>
      <c r="AU501" s="24"/>
      <c r="AV501" s="24"/>
      <c r="AW501" s="24"/>
      <c r="AX501" s="24"/>
      <c r="AY501" s="24"/>
      <c r="AZ501" s="24"/>
      <c r="BA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c r="AY502" s="24"/>
      <c r="AZ502" s="24"/>
      <c r="BA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c r="AP503" s="24"/>
      <c r="AQ503" s="24"/>
      <c r="AR503" s="24"/>
      <c r="AS503" s="24"/>
      <c r="AT503" s="24"/>
      <c r="AU503" s="24"/>
      <c r="AV503" s="24"/>
      <c r="AW503" s="24"/>
      <c r="AX503" s="24"/>
      <c r="AY503" s="24"/>
      <c r="AZ503" s="24"/>
      <c r="BA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c r="AY504" s="24"/>
      <c r="AZ504" s="24"/>
      <c r="BA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24"/>
      <c r="AY505" s="24"/>
      <c r="AZ505" s="24"/>
      <c r="BA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24"/>
      <c r="AY507" s="24"/>
      <c r="AZ507" s="24"/>
      <c r="BA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c r="AY512" s="24"/>
      <c r="AZ512" s="24"/>
      <c r="BA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24"/>
      <c r="AY513" s="24"/>
      <c r="AZ513" s="24"/>
      <c r="BA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s="24"/>
      <c r="AS515" s="24"/>
      <c r="AT515" s="24"/>
      <c r="AU515" s="24"/>
      <c r="AV515" s="24"/>
      <c r="AW515" s="24"/>
      <c r="AX515" s="24"/>
      <c r="AY515" s="24"/>
      <c r="AZ515" s="24"/>
      <c r="BA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c r="AY516" s="24"/>
      <c r="AZ516" s="24"/>
      <c r="BA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24"/>
      <c r="AY517" s="24"/>
      <c r="AZ517" s="24"/>
      <c r="BA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24"/>
      <c r="AY519" s="24"/>
      <c r="AZ519" s="24"/>
      <c r="BA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c r="AY520" s="24"/>
      <c r="AZ520" s="24"/>
      <c r="BA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24"/>
      <c r="AW521" s="24"/>
      <c r="AX521" s="24"/>
      <c r="AY521" s="24"/>
      <c r="AZ521" s="24"/>
      <c r="BA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c r="AY522" s="24"/>
      <c r="AZ522" s="24"/>
      <c r="BA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s="24"/>
      <c r="AS523" s="24"/>
      <c r="AT523" s="24"/>
      <c r="AU523" s="24"/>
      <c r="AV523" s="24"/>
      <c r="AW523" s="24"/>
      <c r="AX523" s="24"/>
      <c r="AY523" s="24"/>
      <c r="AZ523" s="24"/>
      <c r="BA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c r="AY524" s="24"/>
      <c r="AZ524" s="24"/>
      <c r="BA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24"/>
      <c r="AY525" s="24"/>
      <c r="AZ525" s="24"/>
      <c r="BA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c r="AY526" s="24"/>
      <c r="AZ526" s="24"/>
      <c r="BA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c r="AP527" s="24"/>
      <c r="AQ527" s="24"/>
      <c r="AR527" s="24"/>
      <c r="AS527" s="24"/>
      <c r="AT527" s="24"/>
      <c r="AU527" s="24"/>
      <c r="AV527" s="24"/>
      <c r="AW527" s="24"/>
      <c r="AX527" s="24"/>
      <c r="AY527" s="24"/>
      <c r="AZ527" s="24"/>
      <c r="BA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c r="AY528" s="24"/>
      <c r="AZ528" s="24"/>
      <c r="BA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s="24"/>
      <c r="AS529" s="24"/>
      <c r="AT529" s="24"/>
      <c r="AU529" s="24"/>
      <c r="AV529" s="24"/>
      <c r="AW529" s="24"/>
      <c r="AX529" s="24"/>
      <c r="AY529" s="24"/>
      <c r="AZ529" s="24"/>
      <c r="BA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c r="AY530" s="24"/>
      <c r="AZ530" s="24"/>
      <c r="BA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s="24"/>
      <c r="AS531" s="24"/>
      <c r="AT531" s="24"/>
      <c r="AU531" s="24"/>
      <c r="AV531" s="24"/>
      <c r="AW531" s="24"/>
      <c r="AX531" s="24"/>
      <c r="AY531" s="24"/>
      <c r="AZ531" s="24"/>
      <c r="BA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c r="AY532" s="24"/>
      <c r="AZ532" s="24"/>
      <c r="BA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24"/>
      <c r="AY533" s="24"/>
      <c r="AZ533" s="24"/>
      <c r="BA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c r="AY534" s="24"/>
      <c r="AZ534" s="24"/>
      <c r="BA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24"/>
      <c r="AY535" s="24"/>
      <c r="AZ535" s="24"/>
      <c r="BA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c r="AY536" s="24"/>
      <c r="AZ536" s="24"/>
      <c r="BA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c r="AW537" s="24"/>
      <c r="AX537" s="24"/>
      <c r="AY537" s="24"/>
      <c r="AZ537" s="24"/>
      <c r="BA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c r="AY538" s="24"/>
      <c r="AZ538" s="24"/>
      <c r="BA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c r="AY540" s="24"/>
      <c r="AZ540" s="24"/>
      <c r="BA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s="24"/>
      <c r="AS541" s="24"/>
      <c r="AT541" s="24"/>
      <c r="AU541" s="24"/>
      <c r="AV541" s="24"/>
      <c r="AW541" s="24"/>
      <c r="AX541" s="24"/>
      <c r="AY541" s="24"/>
      <c r="AZ541" s="24"/>
      <c r="BA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c r="AY542" s="24"/>
      <c r="AZ542" s="24"/>
      <c r="BA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24"/>
      <c r="AY543" s="24"/>
      <c r="AZ543" s="24"/>
      <c r="BA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c r="AY544" s="24"/>
      <c r="AZ544" s="24"/>
      <c r="BA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c r="AS545" s="24"/>
      <c r="AT545" s="24"/>
      <c r="AU545" s="24"/>
      <c r="AV545" s="24"/>
      <c r="AW545" s="24"/>
      <c r="AX545" s="24"/>
      <c r="AY545" s="24"/>
      <c r="AZ545" s="24"/>
      <c r="BA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c r="AY546" s="24"/>
      <c r="AZ546" s="24"/>
      <c r="BA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c r="AW547" s="24"/>
      <c r="AX547" s="24"/>
      <c r="AY547" s="24"/>
      <c r="AZ547" s="24"/>
      <c r="BA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c r="AY548" s="24"/>
      <c r="AZ548" s="24"/>
      <c r="BA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c r="AW549" s="24"/>
      <c r="AX549" s="24"/>
      <c r="AY549" s="24"/>
      <c r="AZ549" s="24"/>
      <c r="BA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c r="AY550" s="24"/>
      <c r="AZ550" s="24"/>
      <c r="BA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c r="AS551" s="24"/>
      <c r="AT551" s="24"/>
      <c r="AU551" s="24"/>
      <c r="AV551" s="24"/>
      <c r="AW551" s="24"/>
      <c r="AX551" s="24"/>
      <c r="AY551" s="24"/>
      <c r="AZ551" s="24"/>
      <c r="BA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c r="AY552" s="24"/>
      <c r="AZ552" s="24"/>
      <c r="BA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24"/>
      <c r="AY553" s="24"/>
      <c r="AZ553" s="24"/>
      <c r="BA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c r="AY554" s="24"/>
      <c r="AZ554" s="24"/>
      <c r="BA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s="24"/>
      <c r="AS555" s="24"/>
      <c r="AT555" s="24"/>
      <c r="AU555" s="24"/>
      <c r="AV555" s="24"/>
      <c r="AW555" s="24"/>
      <c r="AX555" s="24"/>
      <c r="AY555" s="24"/>
      <c r="AZ555" s="24"/>
      <c r="BA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c r="AY556" s="24"/>
      <c r="AZ556" s="24"/>
      <c r="BA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24"/>
      <c r="AY557" s="24"/>
      <c r="AZ557" s="24"/>
      <c r="BA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c r="AY558" s="24"/>
      <c r="AZ558" s="24"/>
      <c r="BA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24"/>
      <c r="AY559" s="24"/>
      <c r="AZ559" s="24"/>
      <c r="BA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c r="AY560" s="24"/>
      <c r="AZ560" s="24"/>
      <c r="BA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24"/>
      <c r="AY561" s="24"/>
      <c r="AZ561" s="24"/>
      <c r="BA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c r="AY562" s="24"/>
      <c r="AZ562" s="24"/>
      <c r="BA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s="24"/>
      <c r="AS563" s="24"/>
      <c r="AT563" s="24"/>
      <c r="AU563" s="24"/>
      <c r="AV563" s="24"/>
      <c r="AW563" s="24"/>
      <c r="AX563" s="24"/>
      <c r="AY563" s="24"/>
      <c r="AZ563" s="24"/>
      <c r="BA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c r="AS565" s="24"/>
      <c r="AT565" s="24"/>
      <c r="AU565" s="24"/>
      <c r="AV565" s="24"/>
      <c r="AW565" s="24"/>
      <c r="AX565" s="24"/>
      <c r="AY565" s="24"/>
      <c r="AZ565" s="24"/>
      <c r="BA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c r="AY566" s="24"/>
      <c r="AZ566" s="24"/>
      <c r="BA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s="24"/>
      <c r="AS567" s="24"/>
      <c r="AT567" s="24"/>
      <c r="AU567" s="24"/>
      <c r="AV567" s="24"/>
      <c r="AW567" s="24"/>
      <c r="AX567" s="24"/>
      <c r="AY567" s="24"/>
      <c r="AZ567" s="24"/>
      <c r="BA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c r="AY568" s="24"/>
      <c r="AZ568" s="24"/>
      <c r="BA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c r="AP569" s="24"/>
      <c r="AQ569" s="24"/>
      <c r="AR569" s="24"/>
      <c r="AS569" s="24"/>
      <c r="AT569" s="24"/>
      <c r="AU569" s="24"/>
      <c r="AV569" s="24"/>
      <c r="AW569" s="24"/>
      <c r="AX569" s="24"/>
      <c r="AY569" s="24"/>
      <c r="AZ569" s="24"/>
      <c r="BA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c r="AY570" s="24"/>
      <c r="AZ570" s="24"/>
      <c r="BA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c r="AS571" s="24"/>
      <c r="AT571" s="24"/>
      <c r="AU571" s="24"/>
      <c r="AV571" s="24"/>
      <c r="AW571" s="24"/>
      <c r="AX571" s="24"/>
      <c r="AY571" s="24"/>
      <c r="AZ571" s="24"/>
      <c r="BA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c r="AY572" s="24"/>
      <c r="AZ572" s="24"/>
      <c r="BA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24"/>
      <c r="AY573" s="24"/>
      <c r="AZ573" s="24"/>
      <c r="BA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c r="AY574" s="24"/>
      <c r="AZ574" s="24"/>
      <c r="BA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c r="AP575" s="24"/>
      <c r="AQ575" s="24"/>
      <c r="AR575" s="24"/>
      <c r="AS575" s="24"/>
      <c r="AT575" s="24"/>
      <c r="AU575" s="24"/>
      <c r="AV575" s="24"/>
      <c r="AW575" s="24"/>
      <c r="AX575" s="24"/>
      <c r="AY575" s="24"/>
      <c r="AZ575" s="24"/>
      <c r="BA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c r="AY576" s="24"/>
      <c r="AZ576" s="24"/>
      <c r="BA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s="24"/>
      <c r="AS577" s="24"/>
      <c r="AT577" s="24"/>
      <c r="AU577" s="24"/>
      <c r="AV577" s="24"/>
      <c r="AW577" s="24"/>
      <c r="AX577" s="24"/>
      <c r="AY577" s="24"/>
      <c r="AZ577" s="24"/>
      <c r="BA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24"/>
      <c r="AY579" s="24"/>
      <c r="AZ579" s="24"/>
      <c r="BA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c r="AY580" s="24"/>
      <c r="AZ580" s="24"/>
      <c r="BA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c r="AY582" s="24"/>
      <c r="AZ582" s="24"/>
      <c r="BA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c r="AY584" s="24"/>
      <c r="AZ584" s="24"/>
      <c r="BA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24"/>
      <c r="AY585" s="24"/>
      <c r="AZ585" s="24"/>
      <c r="BA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c r="AY590" s="24"/>
      <c r="AZ590" s="24"/>
      <c r="BA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24"/>
      <c r="AY591" s="24"/>
      <c r="AZ591" s="24"/>
      <c r="BA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c r="AY592" s="24"/>
      <c r="AZ592" s="24"/>
      <c r="BA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24"/>
      <c r="AY593" s="24"/>
      <c r="AZ593" s="24"/>
      <c r="BA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c r="AY594" s="24"/>
      <c r="AZ594" s="24"/>
      <c r="BA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24"/>
      <c r="AY595" s="24"/>
      <c r="AZ595" s="24"/>
      <c r="BA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c r="AY596" s="24"/>
      <c r="AZ596" s="24"/>
      <c r="BA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24"/>
      <c r="AY597" s="24"/>
      <c r="AZ597" s="24"/>
      <c r="BA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c r="AS599" s="24"/>
      <c r="AT599" s="24"/>
      <c r="AU599" s="24"/>
      <c r="AV599" s="24"/>
      <c r="AW599" s="24"/>
      <c r="AX599" s="24"/>
      <c r="AY599" s="24"/>
      <c r="AZ599" s="24"/>
      <c r="BA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c r="AY600" s="24"/>
      <c r="AZ600" s="24"/>
      <c r="BA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24"/>
      <c r="AY601" s="24"/>
      <c r="AZ601" s="24"/>
      <c r="BA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row>
  </sheetData>
  <mergeCells count="44">
    <mergeCell ref="A27:B27"/>
    <mergeCell ref="A31:B31"/>
    <mergeCell ref="A72:B72"/>
    <mergeCell ref="A59:B59"/>
    <mergeCell ref="A38:B38"/>
    <mergeCell ref="A42:B42"/>
    <mergeCell ref="A22:B22"/>
    <mergeCell ref="A14:B14"/>
    <mergeCell ref="A15:B15"/>
    <mergeCell ref="A26:B26"/>
    <mergeCell ref="A142:B142"/>
    <mergeCell ref="A140:AG140"/>
    <mergeCell ref="A141:B141"/>
    <mergeCell ref="A146:B146"/>
    <mergeCell ref="A150:B150"/>
    <mergeCell ref="A155:AG155"/>
    <mergeCell ref="A156:B156"/>
    <mergeCell ref="A113:B113"/>
    <mergeCell ref="A126:B126"/>
    <mergeCell ref="A135:B135"/>
    <mergeCell ref="A79:B79"/>
    <mergeCell ref="A77:AG77"/>
    <mergeCell ref="A78:B78"/>
    <mergeCell ref="A43:B43"/>
    <mergeCell ref="A41:AG41"/>
    <mergeCell ref="A172:B172"/>
    <mergeCell ref="A175:B175"/>
    <mergeCell ref="A157:B157"/>
    <mergeCell ref="A160:B160"/>
    <mergeCell ref="A167:AG167"/>
    <mergeCell ref="A162:B162"/>
    <mergeCell ref="A163:B163"/>
    <mergeCell ref="A164:B164"/>
    <mergeCell ref="A169:B169"/>
    <mergeCell ref="A168:B168"/>
    <mergeCell ref="A16:B16"/>
    <mergeCell ref="A17:B17"/>
    <mergeCell ref="A12:AG12"/>
    <mergeCell ref="A13:B13"/>
    <mergeCell ref="A20:B20"/>
    <mergeCell ref="A21:B21"/>
    <mergeCell ref="A25:AG25"/>
    <mergeCell ref="A36:B36"/>
    <mergeCell ref="A37:B37"/>
  </mergeCells>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AAC"/>
    <pageSetUpPr/>
  </sheetPr>
  <sheetViews>
    <sheetView workbookViewId="0"/>
  </sheetViews>
  <sheetFormatPr customHeight="1" defaultColWidth="14.43" defaultRowHeight="15.0"/>
  <cols>
    <col customWidth="1" min="1" max="1" width="33.71"/>
    <col customWidth="1" min="2" max="15" width="29.71"/>
    <col customWidth="1" min="16" max="16" width="8.86"/>
    <col customWidth="1" min="17" max="17" width="15.71"/>
    <col customWidth="1" min="18" max="26" width="8.71"/>
  </cols>
  <sheetData>
    <row r="1">
      <c r="A1" s="326" t="s">
        <v>294</v>
      </c>
      <c r="B1" s="326"/>
      <c r="C1" s="327"/>
      <c r="D1" s="328" t="s">
        <v>356</v>
      </c>
      <c r="E1" s="329" t="s">
        <v>357</v>
      </c>
      <c r="F1" s="326"/>
      <c r="G1" s="326"/>
      <c r="H1" s="326"/>
      <c r="I1" s="326"/>
      <c r="J1" s="326"/>
      <c r="K1" s="326"/>
      <c r="L1" s="326"/>
      <c r="M1" s="326"/>
      <c r="N1" s="326"/>
      <c r="O1" s="326"/>
      <c r="P1" s="326"/>
      <c r="Q1" s="326"/>
      <c r="S1" s="326"/>
    </row>
    <row r="2">
      <c r="B2" s="327"/>
      <c r="C2" s="327"/>
      <c r="D2" s="327"/>
      <c r="E2" s="330" t="s">
        <v>358</v>
      </c>
      <c r="F2" s="327"/>
      <c r="G2" s="327"/>
      <c r="H2" s="330"/>
      <c r="I2" s="327"/>
      <c r="J2" s="327"/>
      <c r="K2" s="327"/>
      <c r="L2" s="327"/>
      <c r="M2" s="327"/>
      <c r="N2" s="327"/>
      <c r="O2" s="327"/>
      <c r="P2" s="327"/>
      <c r="Q2" s="331"/>
    </row>
    <row r="3" ht="28.5" customHeight="1">
      <c r="A3" s="332" t="s">
        <v>360</v>
      </c>
      <c r="B3" s="327"/>
      <c r="C3" s="327"/>
      <c r="D3" s="327"/>
      <c r="E3" s="333" t="s">
        <v>361</v>
      </c>
      <c r="F3" s="327"/>
      <c r="G3" s="327"/>
      <c r="H3" s="327"/>
      <c r="I3" s="327"/>
      <c r="J3" s="327"/>
      <c r="K3" s="327"/>
      <c r="L3" s="327"/>
      <c r="M3" s="327"/>
      <c r="N3" s="327"/>
      <c r="O3" s="327"/>
      <c r="P3" s="327"/>
      <c r="Q3" s="334"/>
    </row>
    <row r="4" ht="43.5" customHeight="1">
      <c r="C4" s="327"/>
      <c r="D4" s="327"/>
      <c r="E4" s="327"/>
      <c r="F4" s="327"/>
      <c r="Q4" s="336"/>
    </row>
    <row r="5" ht="42.0" customHeight="1">
      <c r="A5" s="337" t="s">
        <v>362</v>
      </c>
      <c r="B5" s="31"/>
      <c r="C5" s="31"/>
      <c r="D5" s="31"/>
      <c r="E5" s="31"/>
      <c r="F5" s="31"/>
      <c r="G5" s="31"/>
      <c r="H5" s="31"/>
      <c r="I5" s="31"/>
      <c r="J5" s="31"/>
      <c r="K5" s="31"/>
      <c r="L5" s="31"/>
      <c r="M5" s="31"/>
      <c r="N5" s="31"/>
      <c r="O5" s="32"/>
      <c r="P5" s="338"/>
      <c r="Q5" s="334"/>
    </row>
    <row r="6">
      <c r="A6" s="339" t="s">
        <v>53</v>
      </c>
      <c r="B6" s="340" t="s">
        <v>363</v>
      </c>
      <c r="C6" s="341" t="s">
        <v>364</v>
      </c>
      <c r="D6" s="341" t="s">
        <v>365</v>
      </c>
      <c r="E6" s="341" t="s">
        <v>366</v>
      </c>
      <c r="F6" s="341" t="s">
        <v>367</v>
      </c>
      <c r="G6" s="341" t="s">
        <v>368</v>
      </c>
      <c r="H6" s="341" t="s">
        <v>369</v>
      </c>
      <c r="I6" s="341" t="s">
        <v>370</v>
      </c>
      <c r="J6" s="341" t="s">
        <v>371</v>
      </c>
      <c r="K6" s="341" t="s">
        <v>372</v>
      </c>
      <c r="L6" s="341" t="s">
        <v>373</v>
      </c>
      <c r="M6" s="341" t="s">
        <v>374</v>
      </c>
      <c r="N6" s="341" t="s">
        <v>375</v>
      </c>
      <c r="O6" s="342" t="s">
        <v>376</v>
      </c>
      <c r="P6" s="344"/>
    </row>
    <row r="7">
      <c r="A7" s="346" t="s">
        <v>377</v>
      </c>
      <c r="B7" s="351" t="s">
        <v>378</v>
      </c>
      <c r="C7" s="355" t="s">
        <v>380</v>
      </c>
      <c r="D7" s="355" t="s">
        <v>383</v>
      </c>
      <c r="E7" s="355" t="s">
        <v>384</v>
      </c>
      <c r="F7" s="355" t="s">
        <v>385</v>
      </c>
      <c r="G7" s="355" t="s">
        <v>387</v>
      </c>
      <c r="H7" s="355" t="s">
        <v>388</v>
      </c>
      <c r="I7" s="355" t="s">
        <v>389</v>
      </c>
      <c r="J7" s="355" t="s">
        <v>391</v>
      </c>
      <c r="K7" s="355" t="s">
        <v>393</v>
      </c>
      <c r="L7" s="355" t="s">
        <v>394</v>
      </c>
      <c r="M7" s="355" t="s">
        <v>395</v>
      </c>
      <c r="N7" s="355" t="s">
        <v>396</v>
      </c>
      <c r="O7" s="362" t="s">
        <v>398</v>
      </c>
      <c r="P7" s="344"/>
    </row>
    <row r="8">
      <c r="A8" s="363" t="s">
        <v>399</v>
      </c>
      <c r="B8" s="364">
        <v>43517.0</v>
      </c>
      <c r="C8" s="365">
        <v>43517.0</v>
      </c>
      <c r="D8" s="365">
        <v>43517.0</v>
      </c>
      <c r="E8" s="365">
        <v>43516.0</v>
      </c>
      <c r="F8" s="365">
        <v>43517.0</v>
      </c>
      <c r="G8" s="365">
        <v>43517.0</v>
      </c>
      <c r="H8" s="365">
        <v>43505.0</v>
      </c>
      <c r="I8" s="365">
        <v>43516.0</v>
      </c>
      <c r="J8" s="365">
        <v>43505.0</v>
      </c>
      <c r="K8" s="365">
        <v>43517.0</v>
      </c>
      <c r="L8" s="365">
        <v>43516.0</v>
      </c>
      <c r="M8" s="365">
        <v>43517.0</v>
      </c>
      <c r="N8" s="365">
        <v>43517.0</v>
      </c>
      <c r="O8" s="366">
        <v>43517.0</v>
      </c>
      <c r="P8" s="344"/>
    </row>
    <row r="9">
      <c r="A9" s="363" t="s">
        <v>401</v>
      </c>
      <c r="B9" s="367" t="s">
        <v>402</v>
      </c>
      <c r="C9" s="368" t="s">
        <v>402</v>
      </c>
      <c r="D9" s="368" t="s">
        <v>402</v>
      </c>
      <c r="E9" s="368" t="s">
        <v>402</v>
      </c>
      <c r="F9" s="368" t="s">
        <v>402</v>
      </c>
      <c r="G9" s="368" t="s">
        <v>402</v>
      </c>
      <c r="H9" s="368" t="s">
        <v>402</v>
      </c>
      <c r="I9" s="368" t="s">
        <v>402</v>
      </c>
      <c r="J9" s="368" t="s">
        <v>402</v>
      </c>
      <c r="K9" s="368" t="s">
        <v>402</v>
      </c>
      <c r="L9" s="368" t="s">
        <v>402</v>
      </c>
      <c r="M9" s="368" t="s">
        <v>402</v>
      </c>
      <c r="N9" s="368" t="s">
        <v>402</v>
      </c>
      <c r="O9" s="369" t="s">
        <v>402</v>
      </c>
      <c r="P9" s="344"/>
    </row>
    <row r="10">
      <c r="A10" s="370" t="s">
        <v>403</v>
      </c>
      <c r="B10" s="371">
        <v>8028.0</v>
      </c>
      <c r="C10" s="372">
        <v>8030.0</v>
      </c>
      <c r="D10" s="372">
        <v>57703.0</v>
      </c>
      <c r="E10" s="372">
        <v>4158.0</v>
      </c>
      <c r="F10" s="372">
        <v>56609.0</v>
      </c>
      <c r="G10" s="372">
        <v>8026.0</v>
      </c>
      <c r="H10" s="372">
        <v>8066.0</v>
      </c>
      <c r="I10" s="372">
        <v>6204.0</v>
      </c>
      <c r="J10" s="372">
        <v>4162.0</v>
      </c>
      <c r="K10" s="372">
        <v>55477.0</v>
      </c>
      <c r="L10" s="372">
        <v>7504.0</v>
      </c>
      <c r="M10" s="372">
        <v>56319.0</v>
      </c>
      <c r="N10" s="372">
        <v>56596.0</v>
      </c>
      <c r="O10" s="373">
        <v>6101.0</v>
      </c>
      <c r="P10" s="344"/>
    </row>
    <row r="11">
      <c r="A11" s="374" t="s">
        <v>38</v>
      </c>
      <c r="B11" s="375">
        <v>2.0</v>
      </c>
      <c r="C11" s="376">
        <v>3.0</v>
      </c>
      <c r="D11" s="376">
        <v>4.0</v>
      </c>
      <c r="E11" s="376">
        <v>5.0</v>
      </c>
      <c r="F11" s="376">
        <v>6.0</v>
      </c>
      <c r="G11" s="376">
        <v>7.0</v>
      </c>
      <c r="H11" s="376">
        <v>8.0</v>
      </c>
      <c r="I11" s="376">
        <v>9.0</v>
      </c>
      <c r="J11" s="376">
        <v>10.0</v>
      </c>
      <c r="K11" s="376">
        <v>11.0</v>
      </c>
      <c r="L11" s="376">
        <v>12.0</v>
      </c>
      <c r="M11" s="376">
        <v>13.0</v>
      </c>
      <c r="N11" s="376">
        <v>14.0</v>
      </c>
      <c r="O11" s="377">
        <v>15.0</v>
      </c>
      <c r="P11" s="344"/>
    </row>
    <row r="12">
      <c r="A12" s="378">
        <v>2000.0</v>
      </c>
      <c r="B12" s="379"/>
      <c r="C12" s="380"/>
      <c r="D12" s="380"/>
      <c r="E12" s="380"/>
      <c r="F12" s="380"/>
      <c r="G12" s="380"/>
      <c r="H12" s="380"/>
      <c r="I12" s="380"/>
      <c r="J12" s="380"/>
      <c r="K12" s="380"/>
      <c r="L12" s="380"/>
      <c r="M12" s="380"/>
      <c r="N12" s="380"/>
      <c r="O12" s="381"/>
      <c r="P12" s="344"/>
    </row>
    <row r="13">
      <c r="A13" s="382">
        <v>2001.0</v>
      </c>
      <c r="B13" s="383">
        <v>0.0</v>
      </c>
      <c r="C13" s="384">
        <v>0.0</v>
      </c>
      <c r="D13" s="384">
        <v>0.0</v>
      </c>
      <c r="E13" s="384">
        <v>5633726.0</v>
      </c>
      <c r="F13" s="384">
        <v>0.0</v>
      </c>
      <c r="G13" s="384">
        <v>0.0</v>
      </c>
      <c r="H13" s="384">
        <v>1.5266415E7</v>
      </c>
      <c r="I13" s="384">
        <v>1.2473857E7</v>
      </c>
      <c r="J13" s="384">
        <v>5349697.0</v>
      </c>
      <c r="K13" s="384">
        <v>5947.0</v>
      </c>
      <c r="L13" s="384">
        <v>965084.0</v>
      </c>
      <c r="M13" s="384">
        <v>0.0</v>
      </c>
      <c r="N13" s="384">
        <v>0.0</v>
      </c>
      <c r="O13" s="385">
        <v>2812262.0</v>
      </c>
      <c r="P13" s="327"/>
    </row>
    <row r="14">
      <c r="A14" s="382">
        <v>2002.0</v>
      </c>
      <c r="B14" s="383">
        <v>13345.0</v>
      </c>
      <c r="C14" s="384">
        <v>8068.0</v>
      </c>
      <c r="D14" s="384">
        <v>0.0</v>
      </c>
      <c r="E14" s="384">
        <v>5759784.0</v>
      </c>
      <c r="F14" s="384">
        <v>0.0</v>
      </c>
      <c r="G14" s="384">
        <v>16147.0</v>
      </c>
      <c r="H14" s="384">
        <v>1.4593054E7</v>
      </c>
      <c r="I14" s="384">
        <v>1.2398253E7</v>
      </c>
      <c r="J14" s="384">
        <v>5019304.0</v>
      </c>
      <c r="K14" s="384">
        <v>157605.0</v>
      </c>
      <c r="L14" s="384">
        <v>878364.0</v>
      </c>
      <c r="M14" s="384">
        <v>0.0</v>
      </c>
      <c r="N14" s="384">
        <v>0.0</v>
      </c>
      <c r="O14" s="385">
        <v>2858049.0</v>
      </c>
      <c r="P14" s="327"/>
    </row>
    <row r="15">
      <c r="A15" s="382">
        <v>2003.0</v>
      </c>
      <c r="B15" s="383">
        <v>7069.0</v>
      </c>
      <c r="C15" s="384">
        <v>5657.0</v>
      </c>
      <c r="D15" s="384">
        <v>0.0</v>
      </c>
      <c r="E15" s="384">
        <v>5302528.0</v>
      </c>
      <c r="F15" s="384">
        <v>0.0</v>
      </c>
      <c r="G15" s="384">
        <v>8483.0</v>
      </c>
      <c r="H15" s="384">
        <v>1.4494677E7</v>
      </c>
      <c r="I15" s="384">
        <v>1.310188E7</v>
      </c>
      <c r="J15" s="384">
        <v>4807385.0</v>
      </c>
      <c r="K15" s="384">
        <v>69587.0</v>
      </c>
      <c r="L15" s="384">
        <v>787456.0</v>
      </c>
      <c r="M15" s="384">
        <v>0.0</v>
      </c>
      <c r="N15" s="384">
        <v>0.0</v>
      </c>
      <c r="O15" s="385">
        <v>2743028.0</v>
      </c>
      <c r="P15" s="327"/>
    </row>
    <row r="16">
      <c r="A16" s="382">
        <v>2004.0</v>
      </c>
      <c r="B16" s="383">
        <v>5376.0</v>
      </c>
      <c r="C16" s="384">
        <v>7080.0</v>
      </c>
      <c r="D16" s="384">
        <v>0.0</v>
      </c>
      <c r="E16" s="384">
        <v>5824643.0</v>
      </c>
      <c r="F16" s="384">
        <v>0.0</v>
      </c>
      <c r="G16" s="384">
        <v>1380.0</v>
      </c>
      <c r="H16" s="384">
        <v>1.4771166E7</v>
      </c>
      <c r="I16" s="384">
        <v>1.283034E7</v>
      </c>
      <c r="J16" s="384">
        <v>5245831.0</v>
      </c>
      <c r="K16" s="384">
        <v>9108.0</v>
      </c>
      <c r="L16" s="384">
        <v>693487.0</v>
      </c>
      <c r="M16" s="384">
        <v>0.0</v>
      </c>
      <c r="N16" s="384">
        <v>0.0</v>
      </c>
      <c r="O16" s="385">
        <v>2685120.0</v>
      </c>
      <c r="P16" s="327"/>
    </row>
    <row r="17">
      <c r="A17" s="382">
        <v>2005.0</v>
      </c>
      <c r="B17" s="383">
        <v>899.0</v>
      </c>
      <c r="C17" s="384">
        <v>153.0</v>
      </c>
      <c r="D17" s="384">
        <v>0.0</v>
      </c>
      <c r="E17" s="384">
        <v>5684004.0</v>
      </c>
      <c r="F17" s="384">
        <v>0.0</v>
      </c>
      <c r="G17" s="384">
        <v>781.0</v>
      </c>
      <c r="H17" s="384">
        <v>1.4789516E7</v>
      </c>
      <c r="I17" s="384">
        <v>1.3024102E7</v>
      </c>
      <c r="J17" s="384">
        <v>5238417.0</v>
      </c>
      <c r="K17" s="384">
        <v>26116.0</v>
      </c>
      <c r="L17" s="384">
        <v>666605.0</v>
      </c>
      <c r="M17" s="384">
        <v>0.0</v>
      </c>
      <c r="N17" s="384">
        <v>0.0</v>
      </c>
      <c r="O17" s="385">
        <v>2675359.0</v>
      </c>
      <c r="P17" s="327"/>
    </row>
    <row r="18">
      <c r="A18" s="382">
        <v>2006.0</v>
      </c>
      <c r="B18" s="383">
        <v>1885.0</v>
      </c>
      <c r="C18" s="384">
        <v>2058.0</v>
      </c>
      <c r="D18" s="384">
        <v>0.0</v>
      </c>
      <c r="E18" s="384">
        <v>5776835.0</v>
      </c>
      <c r="F18" s="384">
        <v>0.0</v>
      </c>
      <c r="G18" s="384">
        <v>1873.0</v>
      </c>
      <c r="H18" s="384">
        <v>1.5053852E7</v>
      </c>
      <c r="I18" s="384">
        <v>1.2777567E7</v>
      </c>
      <c r="J18" s="384">
        <v>4929916.0</v>
      </c>
      <c r="K18" s="384">
        <v>30906.0</v>
      </c>
      <c r="L18" s="384">
        <v>740758.0</v>
      </c>
      <c r="M18" s="384">
        <v>0.0</v>
      </c>
      <c r="N18" s="384">
        <v>0.0</v>
      </c>
      <c r="O18" s="385">
        <v>2353507.0</v>
      </c>
      <c r="P18" s="327"/>
    </row>
    <row r="19">
      <c r="A19" s="382">
        <v>2007.0</v>
      </c>
      <c r="B19" s="383">
        <v>23513.0</v>
      </c>
      <c r="C19" s="384">
        <v>24378.0</v>
      </c>
      <c r="D19" s="384">
        <v>0.0</v>
      </c>
      <c r="E19" s="384">
        <v>5696857.0</v>
      </c>
      <c r="F19" s="384">
        <v>0.0</v>
      </c>
      <c r="G19" s="384">
        <v>26194.0</v>
      </c>
      <c r="H19" s="384">
        <v>1.5119379004E7</v>
      </c>
      <c r="I19" s="384">
        <v>1.2286482E7</v>
      </c>
      <c r="J19" s="386">
        <v>5210618.001</v>
      </c>
      <c r="K19" s="386">
        <v>20031.0</v>
      </c>
      <c r="L19" s="386">
        <v>732220.0</v>
      </c>
      <c r="M19" s="386">
        <v>0.0</v>
      </c>
      <c r="N19" s="386">
        <v>0.0</v>
      </c>
      <c r="O19" s="387">
        <v>2895955.0</v>
      </c>
      <c r="P19" s="388"/>
    </row>
    <row r="20">
      <c r="A20" s="382">
        <v>2008.0</v>
      </c>
      <c r="B20" s="383">
        <v>5681.0</v>
      </c>
      <c r="C20" s="384">
        <v>12777.0</v>
      </c>
      <c r="D20" s="384">
        <v>0.0</v>
      </c>
      <c r="E20" s="384">
        <v>5638804.0</v>
      </c>
      <c r="F20" s="384">
        <v>0.0</v>
      </c>
      <c r="G20" s="384">
        <v>10847.0</v>
      </c>
      <c r="H20" s="384">
        <v>1.53034E7</v>
      </c>
      <c r="I20" s="384">
        <v>1.2301203E7</v>
      </c>
      <c r="J20" s="384">
        <v>5113629.0</v>
      </c>
      <c r="K20" s="384">
        <v>6699.0</v>
      </c>
      <c r="L20" s="384">
        <v>725358.0</v>
      </c>
      <c r="M20" s="384">
        <v>740051.0</v>
      </c>
      <c r="N20" s="384">
        <v>0.0</v>
      </c>
      <c r="O20" s="385">
        <v>2815922.0</v>
      </c>
      <c r="P20" s="327"/>
    </row>
    <row r="21" ht="15.75" customHeight="1">
      <c r="A21" s="382">
        <v>2009.0</v>
      </c>
      <c r="B21" s="383">
        <v>4569.0</v>
      </c>
      <c r="C21" s="384">
        <v>9579.0</v>
      </c>
      <c r="D21" s="384">
        <v>0.0</v>
      </c>
      <c r="E21" s="384">
        <v>5017796.0</v>
      </c>
      <c r="F21" s="384">
        <v>0.0</v>
      </c>
      <c r="G21" s="384">
        <v>8233.0</v>
      </c>
      <c r="H21" s="384">
        <v>1.5188184E7</v>
      </c>
      <c r="I21" s="384">
        <v>1.1671407E7</v>
      </c>
      <c r="J21" s="384">
        <v>4753363.0</v>
      </c>
      <c r="K21" s="384">
        <v>2229.0</v>
      </c>
      <c r="L21" s="384">
        <v>679546.0</v>
      </c>
      <c r="M21" s="384">
        <v>766943.0</v>
      </c>
      <c r="N21" s="384">
        <v>0.0</v>
      </c>
      <c r="O21" s="385">
        <v>2713256.0</v>
      </c>
      <c r="P21" s="327"/>
    </row>
    <row r="22" ht="15.75" customHeight="1">
      <c r="A22" s="382">
        <v>2010.0</v>
      </c>
      <c r="B22" s="383">
        <v>2334.0</v>
      </c>
      <c r="C22" s="384">
        <v>2192.0</v>
      </c>
      <c r="D22" s="384">
        <v>0.0</v>
      </c>
      <c r="E22" s="384">
        <v>4707330.0</v>
      </c>
      <c r="F22" s="384">
        <v>0.0</v>
      </c>
      <c r="G22" s="384">
        <v>2310.0</v>
      </c>
      <c r="H22" s="384">
        <v>1.4828906E7</v>
      </c>
      <c r="I22" s="384">
        <v>1.2468165E7</v>
      </c>
      <c r="J22" s="384">
        <v>5339385.0</v>
      </c>
      <c r="K22" s="384">
        <v>2540.0</v>
      </c>
      <c r="L22" s="384">
        <v>703661.0</v>
      </c>
      <c r="M22" s="384">
        <v>729018.0</v>
      </c>
      <c r="N22" s="384">
        <v>598363.0</v>
      </c>
      <c r="O22" s="385">
        <v>2564505.0</v>
      </c>
      <c r="P22" s="327"/>
    </row>
    <row r="23" ht="15.75" customHeight="1">
      <c r="A23" s="382">
        <v>2011.0</v>
      </c>
      <c r="B23" s="383">
        <v>1090.0</v>
      </c>
      <c r="C23" s="384">
        <v>741.0</v>
      </c>
      <c r="D23" s="384">
        <v>0.0</v>
      </c>
      <c r="E23" s="384">
        <v>5058930.0</v>
      </c>
      <c r="F23" s="384">
        <v>570978.0</v>
      </c>
      <c r="G23" s="384">
        <v>1434.0</v>
      </c>
      <c r="H23" s="384">
        <v>1.2771611E7</v>
      </c>
      <c r="I23" s="384">
        <v>1.2218777E7</v>
      </c>
      <c r="J23" s="384">
        <v>5102235.0</v>
      </c>
      <c r="K23" s="384">
        <v>7971.0</v>
      </c>
      <c r="L23" s="384">
        <v>656278.0</v>
      </c>
      <c r="M23" s="384">
        <v>674518.0</v>
      </c>
      <c r="N23" s="384">
        <v>821465.0</v>
      </c>
      <c r="O23" s="385">
        <v>1835927.0</v>
      </c>
      <c r="P23" s="327"/>
    </row>
    <row r="24" ht="15.75" customHeight="1">
      <c r="A24" s="382">
        <v>2012.0</v>
      </c>
      <c r="B24" s="383">
        <v>328.0</v>
      </c>
      <c r="C24" s="384">
        <v>259.0</v>
      </c>
      <c r="D24" s="384">
        <v>0.0</v>
      </c>
      <c r="E24" s="384">
        <v>4906510.0</v>
      </c>
      <c r="F24" s="384">
        <v>3093371.0</v>
      </c>
      <c r="G24" s="384">
        <v>401.0</v>
      </c>
      <c r="H24" s="384">
        <v>1.3625135E7</v>
      </c>
      <c r="I24" s="384">
        <v>1.0997853E7</v>
      </c>
      <c r="J24" s="384">
        <v>5064299.0</v>
      </c>
      <c r="K24" s="384">
        <v>15407.0</v>
      </c>
      <c r="L24" s="384">
        <v>585298.0</v>
      </c>
      <c r="M24" s="384">
        <v>587832.0</v>
      </c>
      <c r="N24" s="384">
        <v>855131.0</v>
      </c>
      <c r="O24" s="385">
        <v>2524024.0</v>
      </c>
      <c r="P24" s="327"/>
    </row>
    <row r="25" ht="15.75" customHeight="1">
      <c r="A25" s="382">
        <v>2013.0</v>
      </c>
      <c r="B25" s="383">
        <v>345.0</v>
      </c>
      <c r="C25" s="384">
        <v>113.0</v>
      </c>
      <c r="D25" s="384">
        <v>0.0</v>
      </c>
      <c r="E25" s="384">
        <v>5295074.0</v>
      </c>
      <c r="F25" s="384">
        <v>3066625.0</v>
      </c>
      <c r="G25" s="384">
        <v>130.0</v>
      </c>
      <c r="H25" s="384">
        <v>1.4817041E7</v>
      </c>
      <c r="I25" s="384">
        <v>1.1772095E7</v>
      </c>
      <c r="J25" s="384">
        <v>5533895.0</v>
      </c>
      <c r="K25" s="384">
        <v>15395.0</v>
      </c>
      <c r="L25" s="384">
        <v>678089.0</v>
      </c>
      <c r="M25" s="384">
        <v>688318.0</v>
      </c>
      <c r="N25" s="384">
        <v>837893.0</v>
      </c>
      <c r="O25" s="385">
        <v>2515396.0</v>
      </c>
      <c r="P25" s="327"/>
    </row>
    <row r="26" ht="15.75" customHeight="1">
      <c r="A26" s="382">
        <v>2014.0</v>
      </c>
      <c r="B26" s="383">
        <v>364.0</v>
      </c>
      <c r="C26" s="384">
        <v>222.0</v>
      </c>
      <c r="D26" s="384">
        <v>49025.0</v>
      </c>
      <c r="E26" s="384">
        <v>5183444.0</v>
      </c>
      <c r="F26" s="384">
        <v>3277439.0</v>
      </c>
      <c r="G26" s="384">
        <v>517.0</v>
      </c>
      <c r="H26" s="384">
        <v>1.4015875E7</v>
      </c>
      <c r="I26" s="384">
        <v>1.0102049E7</v>
      </c>
      <c r="J26" s="384">
        <v>4958589.0</v>
      </c>
      <c r="K26" s="384">
        <v>4504.0</v>
      </c>
      <c r="L26" s="384">
        <v>578932.0</v>
      </c>
      <c r="M26" s="384">
        <v>697290.0</v>
      </c>
      <c r="N26" s="384">
        <v>838977.0</v>
      </c>
      <c r="O26" s="385">
        <v>2622575.0</v>
      </c>
      <c r="P26" s="327"/>
    </row>
    <row r="27" ht="15.75" customHeight="1">
      <c r="A27" s="382">
        <v>2015.0</v>
      </c>
      <c r="B27" s="383">
        <v>150.0</v>
      </c>
      <c r="C27" s="384">
        <v>81.0</v>
      </c>
      <c r="D27" s="384">
        <v>108864.0</v>
      </c>
      <c r="E27" s="384">
        <v>5140970.0</v>
      </c>
      <c r="F27" s="384">
        <v>3160615.0</v>
      </c>
      <c r="G27" s="384">
        <v>548.0</v>
      </c>
      <c r="H27" s="384">
        <v>1.3439341E7</v>
      </c>
      <c r="I27" s="384">
        <v>1.0724956E7</v>
      </c>
      <c r="J27" s="384">
        <v>4899321.0</v>
      </c>
      <c r="K27" s="384">
        <v>6901.0</v>
      </c>
      <c r="L27" s="384">
        <v>611220.0</v>
      </c>
      <c r="M27" s="384">
        <v>690613.0</v>
      </c>
      <c r="N27" s="384">
        <v>773802.0</v>
      </c>
      <c r="O27" s="385">
        <v>2563582.0</v>
      </c>
      <c r="P27" s="327"/>
    </row>
    <row r="28" ht="15.75" customHeight="1">
      <c r="A28" s="382">
        <v>2016.0</v>
      </c>
      <c r="B28" s="383">
        <v>164.0</v>
      </c>
      <c r="C28" s="384">
        <v>122.0</v>
      </c>
      <c r="D28" s="384">
        <v>162364.0</v>
      </c>
      <c r="E28" s="384">
        <v>5088504.0</v>
      </c>
      <c r="F28" s="384">
        <v>2830760.0</v>
      </c>
      <c r="G28" s="384">
        <v>371.0</v>
      </c>
      <c r="H28" s="384">
        <v>1.1685771E7</v>
      </c>
      <c r="I28" s="384">
        <v>1.028295E7</v>
      </c>
      <c r="J28" s="384">
        <v>4871839.0</v>
      </c>
      <c r="K28" s="384">
        <v>5612.0</v>
      </c>
      <c r="L28" s="384">
        <v>609027.0</v>
      </c>
      <c r="M28" s="384">
        <v>734354.0</v>
      </c>
      <c r="N28" s="384">
        <v>821699.0</v>
      </c>
      <c r="O28" s="385">
        <v>2056358.0</v>
      </c>
      <c r="P28" s="327"/>
    </row>
    <row r="29" ht="15.75" customHeight="1">
      <c r="A29" s="382">
        <v>2017.0</v>
      </c>
      <c r="B29" s="383">
        <v>164.0</v>
      </c>
      <c r="C29" s="384">
        <v>97.0</v>
      </c>
      <c r="D29" s="384">
        <v>124271.0</v>
      </c>
      <c r="E29" s="384">
        <v>4519978.0</v>
      </c>
      <c r="F29" s="384">
        <v>3229808.0</v>
      </c>
      <c r="G29" s="384">
        <v>175.0</v>
      </c>
      <c r="H29" s="384">
        <v>1.164281E7</v>
      </c>
      <c r="I29" s="384">
        <v>1.0249037E7</v>
      </c>
      <c r="J29" s="384">
        <v>4740720.0</v>
      </c>
      <c r="K29" s="384">
        <v>6981.0</v>
      </c>
      <c r="L29" s="384">
        <v>557414.0</v>
      </c>
      <c r="M29" s="384">
        <v>745363.0</v>
      </c>
      <c r="N29" s="384">
        <v>772444.0</v>
      </c>
      <c r="O29" s="385">
        <v>2565053.0</v>
      </c>
      <c r="P29" s="327"/>
    </row>
    <row r="30" ht="15.75" customHeight="1">
      <c r="A30" s="382">
        <v>2018.0</v>
      </c>
      <c r="B30" s="389"/>
      <c r="C30" s="390"/>
      <c r="D30" s="384">
        <v>169447.0</v>
      </c>
      <c r="E30" s="384">
        <v>4429591.0</v>
      </c>
      <c r="F30" s="384">
        <v>2725067.0</v>
      </c>
      <c r="G30" s="390"/>
      <c r="H30" s="384">
        <v>9702052.0</v>
      </c>
      <c r="I30" s="384">
        <v>9669768.0</v>
      </c>
      <c r="J30" s="384">
        <v>4279152.0</v>
      </c>
      <c r="K30" s="390"/>
      <c r="L30" s="390"/>
      <c r="M30" s="390"/>
      <c r="N30" s="390"/>
      <c r="O30" s="385">
        <v>2072325.0</v>
      </c>
      <c r="P30" s="327"/>
    </row>
    <row r="31" ht="15.75" customHeight="1">
      <c r="A31" s="382">
        <v>2019.0</v>
      </c>
      <c r="B31" s="389"/>
      <c r="C31" s="390"/>
      <c r="D31" s="390"/>
      <c r="E31" s="390"/>
      <c r="F31" s="390"/>
      <c r="G31" s="390"/>
      <c r="H31" s="390"/>
      <c r="I31" s="390"/>
      <c r="J31" s="390"/>
      <c r="K31" s="390"/>
      <c r="L31" s="390"/>
      <c r="M31" s="390"/>
      <c r="N31" s="390"/>
      <c r="O31" s="391"/>
      <c r="P31" s="327"/>
    </row>
    <row r="32" ht="15.75" customHeight="1">
      <c r="A32" s="382">
        <v>2020.0</v>
      </c>
      <c r="B32" s="389"/>
      <c r="C32" s="390"/>
      <c r="D32" s="390"/>
      <c r="E32" s="390"/>
      <c r="F32" s="390"/>
      <c r="G32" s="390"/>
      <c r="H32" s="390"/>
      <c r="I32" s="390"/>
      <c r="J32" s="390"/>
      <c r="K32" s="390"/>
      <c r="L32" s="390"/>
      <c r="M32" s="390"/>
      <c r="N32" s="390"/>
      <c r="O32" s="391"/>
      <c r="P32" s="327"/>
    </row>
    <row r="33" ht="15.75" customHeight="1">
      <c r="A33" s="382">
        <v>2021.0</v>
      </c>
      <c r="B33" s="389"/>
      <c r="C33" s="390"/>
      <c r="D33" s="390"/>
      <c r="E33" s="390"/>
      <c r="F33" s="390"/>
      <c r="G33" s="390"/>
      <c r="H33" s="390"/>
      <c r="I33" s="390"/>
      <c r="J33" s="390"/>
      <c r="K33" s="390"/>
      <c r="L33" s="390"/>
      <c r="M33" s="390"/>
      <c r="N33" s="390"/>
      <c r="O33" s="391"/>
      <c r="P33" s="327"/>
    </row>
    <row r="34" ht="15.75" customHeight="1">
      <c r="A34" s="382">
        <v>2022.0</v>
      </c>
      <c r="B34" s="389"/>
      <c r="C34" s="390"/>
      <c r="D34" s="390"/>
      <c r="E34" s="390"/>
      <c r="F34" s="390"/>
      <c r="G34" s="390"/>
      <c r="H34" s="390"/>
      <c r="I34" s="390"/>
      <c r="J34" s="390"/>
      <c r="K34" s="390"/>
      <c r="L34" s="390"/>
      <c r="M34" s="390"/>
      <c r="N34" s="390"/>
      <c r="O34" s="391"/>
      <c r="P34" s="327"/>
    </row>
    <row r="35" ht="15.75" customHeight="1">
      <c r="A35" s="382">
        <v>2023.0</v>
      </c>
      <c r="B35" s="389"/>
      <c r="C35" s="390"/>
      <c r="D35" s="390"/>
      <c r="E35" s="390"/>
      <c r="F35" s="390"/>
      <c r="G35" s="390"/>
      <c r="H35" s="390"/>
      <c r="I35" s="390"/>
      <c r="J35" s="390"/>
      <c r="K35" s="390"/>
      <c r="L35" s="390"/>
      <c r="M35" s="390"/>
      <c r="N35" s="390"/>
      <c r="O35" s="391"/>
      <c r="P35" s="327"/>
    </row>
    <row r="36" ht="15.75" customHeight="1">
      <c r="A36" s="382">
        <v>2024.0</v>
      </c>
      <c r="B36" s="389"/>
      <c r="C36" s="390"/>
      <c r="D36" s="390"/>
      <c r="E36" s="390"/>
      <c r="F36" s="390"/>
      <c r="G36" s="390"/>
      <c r="H36" s="390"/>
      <c r="I36" s="390"/>
      <c r="J36" s="390"/>
      <c r="K36" s="390"/>
      <c r="L36" s="390"/>
      <c r="M36" s="390"/>
      <c r="N36" s="390"/>
      <c r="O36" s="391"/>
      <c r="P36" s="327"/>
    </row>
    <row r="37" ht="15.75" customHeight="1">
      <c r="A37" s="382">
        <v>2025.0</v>
      </c>
      <c r="B37" s="389"/>
      <c r="C37" s="390"/>
      <c r="D37" s="390"/>
      <c r="E37" s="390"/>
      <c r="F37" s="390"/>
      <c r="G37" s="390"/>
      <c r="H37" s="390"/>
      <c r="I37" s="390"/>
      <c r="J37" s="390"/>
      <c r="K37" s="390"/>
      <c r="L37" s="390"/>
      <c r="M37" s="390"/>
      <c r="N37" s="390"/>
      <c r="O37" s="391"/>
      <c r="P37" s="327"/>
    </row>
    <row r="38" ht="15.75" customHeight="1">
      <c r="A38" s="382">
        <v>2026.0</v>
      </c>
      <c r="B38" s="389"/>
      <c r="C38" s="390"/>
      <c r="D38" s="390"/>
      <c r="E38" s="390"/>
      <c r="F38" s="390"/>
      <c r="G38" s="390"/>
      <c r="H38" s="390"/>
      <c r="I38" s="390"/>
      <c r="J38" s="390"/>
      <c r="K38" s="390"/>
      <c r="L38" s="390"/>
      <c r="M38" s="390"/>
      <c r="N38" s="390"/>
      <c r="O38" s="391"/>
      <c r="P38" s="327"/>
    </row>
    <row r="39" ht="15.75" customHeight="1">
      <c r="A39" s="382">
        <v>2027.0</v>
      </c>
      <c r="B39" s="389"/>
      <c r="C39" s="390"/>
      <c r="D39" s="390"/>
      <c r="E39" s="390"/>
      <c r="F39" s="390"/>
      <c r="G39" s="390"/>
      <c r="H39" s="390"/>
      <c r="I39" s="390"/>
      <c r="J39" s="390"/>
      <c r="K39" s="390"/>
      <c r="L39" s="390"/>
      <c r="M39" s="390"/>
      <c r="N39" s="390"/>
      <c r="O39" s="391"/>
      <c r="P39" s="327"/>
    </row>
    <row r="40" ht="15.75" customHeight="1">
      <c r="A40" s="382">
        <v>2028.0</v>
      </c>
      <c r="B40" s="389"/>
      <c r="C40" s="390"/>
      <c r="D40" s="390"/>
      <c r="E40" s="390"/>
      <c r="F40" s="390"/>
      <c r="G40" s="390"/>
      <c r="H40" s="390"/>
      <c r="I40" s="390"/>
      <c r="J40" s="390"/>
      <c r="K40" s="390"/>
      <c r="L40" s="390"/>
      <c r="M40" s="390"/>
      <c r="N40" s="390"/>
      <c r="O40" s="391"/>
      <c r="P40" s="327"/>
    </row>
    <row r="41" ht="15.75" customHeight="1">
      <c r="A41" s="382">
        <v>2029.0</v>
      </c>
      <c r="B41" s="389"/>
      <c r="C41" s="390"/>
      <c r="D41" s="390"/>
      <c r="E41" s="390"/>
      <c r="F41" s="390"/>
      <c r="G41" s="390"/>
      <c r="H41" s="390"/>
      <c r="I41" s="390"/>
      <c r="J41" s="390"/>
      <c r="K41" s="390"/>
      <c r="L41" s="390"/>
      <c r="M41" s="390"/>
      <c r="N41" s="390"/>
      <c r="O41" s="391"/>
      <c r="P41" s="327"/>
    </row>
    <row r="42" ht="15.75" customHeight="1">
      <c r="A42" s="392">
        <v>2030.0</v>
      </c>
      <c r="B42" s="393"/>
      <c r="C42" s="394"/>
      <c r="D42" s="394"/>
      <c r="E42" s="394"/>
      <c r="F42" s="394"/>
      <c r="G42" s="394"/>
      <c r="H42" s="394"/>
      <c r="I42" s="394"/>
      <c r="J42" s="394"/>
      <c r="K42" s="394"/>
      <c r="L42" s="394"/>
      <c r="M42" s="394"/>
      <c r="N42" s="394"/>
      <c r="O42" s="395"/>
      <c r="P42" s="327"/>
    </row>
    <row r="43" ht="15.75" customHeight="1">
      <c r="O43" s="327"/>
      <c r="P43" s="327"/>
    </row>
    <row r="44" ht="15.75" customHeight="1">
      <c r="B44" s="327"/>
      <c r="C44" s="327"/>
      <c r="D44" s="327"/>
      <c r="E44" s="327"/>
      <c r="F44" s="327"/>
      <c r="G44" s="327"/>
      <c r="H44" s="327"/>
      <c r="I44" s="327"/>
      <c r="J44" s="327"/>
      <c r="K44" s="327"/>
      <c r="L44" s="327"/>
      <c r="M44" s="327"/>
      <c r="N44" s="327"/>
      <c r="O44" s="327"/>
      <c r="P44" s="327"/>
    </row>
    <row r="45" ht="15.75" customHeight="1">
      <c r="B45" s="327"/>
      <c r="C45" s="327"/>
      <c r="D45" s="327"/>
      <c r="E45" s="327"/>
      <c r="F45" s="327"/>
      <c r="G45" s="327"/>
      <c r="H45" s="327"/>
      <c r="I45" s="327"/>
      <c r="J45" s="327"/>
      <c r="K45" s="327"/>
      <c r="L45" s="327"/>
      <c r="M45" s="327"/>
      <c r="N45" s="327"/>
      <c r="O45" s="327"/>
      <c r="P45" s="327"/>
    </row>
    <row r="46" ht="15.75" customHeight="1">
      <c r="B46" s="327"/>
      <c r="C46" s="327"/>
      <c r="D46" s="327"/>
      <c r="E46" s="327"/>
      <c r="F46" s="327"/>
      <c r="G46" s="327"/>
      <c r="H46" s="327"/>
      <c r="I46" s="327"/>
      <c r="J46" s="327"/>
      <c r="K46" s="327"/>
      <c r="L46" s="327"/>
      <c r="M46" s="327"/>
      <c r="N46" s="327"/>
      <c r="O46" s="327"/>
      <c r="P46" s="327"/>
    </row>
    <row r="47" ht="15.75" customHeight="1">
      <c r="B47" s="327"/>
      <c r="C47" s="327"/>
      <c r="D47" s="327"/>
      <c r="E47" s="327"/>
      <c r="F47" s="327"/>
      <c r="G47" s="327"/>
      <c r="H47" s="327"/>
      <c r="I47" s="327"/>
      <c r="J47" s="327"/>
      <c r="K47" s="327"/>
      <c r="L47" s="327"/>
      <c r="M47" s="327"/>
      <c r="N47" s="327"/>
      <c r="O47" s="327"/>
      <c r="P47" s="327"/>
    </row>
    <row r="48" ht="15.75" customHeight="1">
      <c r="B48" s="327"/>
      <c r="C48" s="327"/>
      <c r="D48" s="327"/>
      <c r="E48" s="327"/>
      <c r="F48" s="327"/>
      <c r="G48" s="327"/>
      <c r="H48" s="327"/>
      <c r="I48" s="327"/>
      <c r="J48" s="327"/>
      <c r="K48" s="327"/>
      <c r="L48" s="327"/>
      <c r="M48" s="327"/>
      <c r="N48" s="327"/>
      <c r="O48" s="327"/>
      <c r="P48" s="327"/>
    </row>
    <row r="49" ht="15.75" customHeight="1">
      <c r="B49" s="327"/>
      <c r="C49" s="327"/>
      <c r="D49" s="327"/>
      <c r="E49" s="327"/>
      <c r="F49" s="327"/>
      <c r="G49" s="327"/>
      <c r="H49" s="327"/>
      <c r="I49" s="327"/>
      <c r="J49" s="327"/>
      <c r="K49" s="327"/>
      <c r="L49" s="327"/>
      <c r="M49" s="327"/>
      <c r="N49" s="327"/>
      <c r="O49" s="327"/>
      <c r="P49" s="327"/>
    </row>
    <row r="50" ht="15.75" customHeight="1">
      <c r="B50" s="327"/>
      <c r="C50" s="327"/>
      <c r="D50" s="327"/>
      <c r="E50" s="327"/>
      <c r="F50" s="327"/>
      <c r="G50" s="327"/>
      <c r="H50" s="327"/>
      <c r="I50" s="327"/>
      <c r="J50" s="327"/>
      <c r="K50" s="327"/>
      <c r="L50" s="327"/>
      <c r="M50" s="327"/>
      <c r="N50" s="327"/>
      <c r="O50" s="327"/>
      <c r="P50" s="327"/>
    </row>
    <row r="51" ht="15.75" customHeight="1">
      <c r="B51" s="327"/>
      <c r="C51" s="327"/>
      <c r="D51" s="327"/>
      <c r="E51" s="327"/>
      <c r="F51" s="327"/>
      <c r="G51" s="327"/>
      <c r="H51" s="327"/>
      <c r="I51" s="327"/>
      <c r="J51" s="327"/>
      <c r="K51" s="327"/>
      <c r="L51" s="327"/>
      <c r="M51" s="327"/>
      <c r="N51" s="327"/>
      <c r="O51" s="327"/>
      <c r="P51" s="327"/>
    </row>
    <row r="52" ht="15.75" customHeight="1">
      <c r="B52" s="327"/>
      <c r="C52" s="327"/>
      <c r="D52" s="327"/>
      <c r="E52" s="327"/>
      <c r="F52" s="327"/>
      <c r="G52" s="327"/>
      <c r="H52" s="327"/>
      <c r="I52" s="327"/>
      <c r="J52" s="327"/>
      <c r="K52" s="327"/>
      <c r="L52" s="327"/>
      <c r="M52" s="327"/>
      <c r="N52" s="327"/>
      <c r="O52" s="327"/>
      <c r="P52" s="327"/>
    </row>
    <row r="53" ht="15.75" customHeight="1">
      <c r="B53" s="327"/>
      <c r="C53" s="327"/>
      <c r="D53" s="327"/>
      <c r="E53" s="327"/>
      <c r="F53" s="327"/>
      <c r="G53" s="327"/>
      <c r="H53" s="327"/>
      <c r="I53" s="327"/>
      <c r="J53" s="327"/>
      <c r="K53" s="327"/>
      <c r="L53" s="327"/>
      <c r="M53" s="327"/>
      <c r="N53" s="327"/>
      <c r="O53" s="327"/>
      <c r="P53" s="327"/>
    </row>
    <row r="54" ht="15.75" customHeight="1">
      <c r="B54" s="327"/>
      <c r="C54" s="327"/>
      <c r="D54" s="327"/>
      <c r="E54" s="327"/>
      <c r="F54" s="327"/>
      <c r="G54" s="327"/>
      <c r="H54" s="327"/>
      <c r="I54" s="327"/>
      <c r="J54" s="327"/>
      <c r="K54" s="327"/>
      <c r="L54" s="327"/>
      <c r="M54" s="327"/>
      <c r="N54" s="327"/>
      <c r="O54" s="327"/>
      <c r="P54" s="327"/>
    </row>
    <row r="55" ht="15.75" customHeight="1">
      <c r="B55" s="327"/>
      <c r="C55" s="327"/>
      <c r="D55" s="327"/>
      <c r="E55" s="327"/>
      <c r="F55" s="327"/>
      <c r="G55" s="327"/>
      <c r="H55" s="327"/>
      <c r="I55" s="327"/>
      <c r="J55" s="327"/>
      <c r="K55" s="327"/>
      <c r="L55" s="327"/>
      <c r="M55" s="327"/>
      <c r="N55" s="327"/>
      <c r="O55" s="327"/>
      <c r="P55" s="327"/>
    </row>
    <row r="56" ht="15.75" customHeight="1">
      <c r="A56" s="327"/>
      <c r="B56" s="327"/>
      <c r="C56" s="327"/>
      <c r="D56" s="327"/>
      <c r="E56" s="327"/>
      <c r="F56" s="327"/>
      <c r="G56" s="327"/>
      <c r="H56" s="327"/>
      <c r="I56" s="327"/>
      <c r="J56" s="327"/>
      <c r="K56" s="327"/>
      <c r="L56" s="327"/>
      <c r="M56" s="327"/>
      <c r="N56" s="327"/>
      <c r="O56" s="327"/>
      <c r="P56" s="327"/>
    </row>
    <row r="57" ht="15.75" customHeight="1">
      <c r="A57" s="327"/>
      <c r="B57" s="327"/>
      <c r="C57" s="327"/>
      <c r="D57" s="327"/>
      <c r="E57" s="327"/>
      <c r="F57" s="327"/>
      <c r="G57" s="327"/>
      <c r="H57" s="327"/>
      <c r="I57" s="327"/>
      <c r="J57" s="327"/>
      <c r="K57" s="327"/>
      <c r="L57" s="327"/>
      <c r="M57" s="327"/>
      <c r="N57" s="327"/>
      <c r="O57" s="327"/>
      <c r="P57" s="327"/>
    </row>
    <row r="58" ht="15.75" customHeight="1">
      <c r="A58" s="327"/>
      <c r="B58" s="327"/>
      <c r="C58" s="327"/>
      <c r="D58" s="327"/>
      <c r="E58" s="327"/>
      <c r="F58" s="327"/>
      <c r="G58" s="327"/>
      <c r="H58" s="327"/>
      <c r="I58" s="327"/>
      <c r="J58" s="327"/>
      <c r="K58" s="327"/>
      <c r="L58" s="327"/>
      <c r="M58" s="327"/>
      <c r="N58" s="327"/>
      <c r="O58" s="327"/>
      <c r="P58" s="327"/>
    </row>
    <row r="59" ht="15.75" customHeight="1">
      <c r="A59" s="327"/>
      <c r="B59" s="327"/>
      <c r="C59" s="327"/>
      <c r="D59" s="327"/>
      <c r="E59" s="327"/>
      <c r="F59" s="327"/>
      <c r="G59" s="327"/>
      <c r="H59" s="327"/>
      <c r="I59" s="327"/>
      <c r="J59" s="327"/>
      <c r="K59" s="327"/>
      <c r="L59" s="327"/>
      <c r="M59" s="327"/>
      <c r="N59" s="327"/>
      <c r="O59" s="327"/>
      <c r="P59" s="327"/>
    </row>
    <row r="60" ht="15.75" customHeight="1">
      <c r="C60" s="327"/>
      <c r="D60" s="327"/>
      <c r="E60" s="327"/>
      <c r="F60" s="327"/>
      <c r="G60" s="327"/>
      <c r="H60" s="327"/>
      <c r="I60" s="327"/>
      <c r="J60" s="327"/>
      <c r="K60" s="327"/>
      <c r="L60" s="327"/>
      <c r="M60" s="327"/>
      <c r="N60" s="327"/>
      <c r="O60" s="327"/>
      <c r="P60" s="327"/>
    </row>
    <row r="61" ht="15.75" customHeight="1">
      <c r="C61" s="327"/>
      <c r="D61" s="327"/>
      <c r="E61" s="327"/>
      <c r="F61" s="327"/>
      <c r="G61" s="327"/>
      <c r="H61" s="327"/>
      <c r="I61" s="327"/>
      <c r="J61" s="327"/>
      <c r="K61" s="327"/>
      <c r="L61" s="327"/>
      <c r="M61" s="327"/>
      <c r="N61" s="327"/>
      <c r="O61" s="327"/>
      <c r="P61" s="327"/>
    </row>
    <row r="62" ht="15.75" customHeight="1">
      <c r="C62" s="327"/>
      <c r="D62" s="327"/>
      <c r="E62" s="327"/>
      <c r="F62" s="327"/>
      <c r="G62" s="327"/>
      <c r="H62" s="327"/>
      <c r="I62" s="327"/>
      <c r="J62" s="327"/>
      <c r="K62" s="327"/>
      <c r="L62" s="327"/>
      <c r="M62" s="327"/>
      <c r="N62" s="327"/>
      <c r="O62" s="327"/>
      <c r="P62" s="327"/>
    </row>
    <row r="63" ht="15.75" customHeight="1">
      <c r="C63" s="327"/>
      <c r="D63" s="327"/>
      <c r="E63" s="327"/>
      <c r="F63" s="327"/>
      <c r="G63" s="327"/>
      <c r="H63" s="327"/>
      <c r="I63" s="327"/>
      <c r="J63" s="327"/>
      <c r="K63" s="327"/>
      <c r="L63" s="327"/>
      <c r="M63" s="327"/>
      <c r="N63" s="327"/>
      <c r="O63" s="327"/>
      <c r="P63" s="327"/>
    </row>
    <row r="64" ht="15.75" customHeight="1">
      <c r="C64" s="327"/>
      <c r="D64" s="327"/>
      <c r="E64" s="327"/>
      <c r="F64" s="327"/>
      <c r="G64" s="327"/>
      <c r="H64" s="327"/>
      <c r="I64" s="327"/>
      <c r="J64" s="327"/>
      <c r="K64" s="327"/>
      <c r="L64" s="327"/>
      <c r="M64" s="327"/>
      <c r="N64" s="327"/>
      <c r="O64" s="327"/>
      <c r="P64" s="327"/>
    </row>
    <row r="65" ht="15.75" customHeight="1">
      <c r="C65" s="327"/>
      <c r="D65" s="327"/>
      <c r="E65" s="327"/>
      <c r="F65" s="327"/>
      <c r="G65" s="327"/>
      <c r="H65" s="327"/>
      <c r="I65" s="327"/>
      <c r="J65" s="327"/>
      <c r="K65" s="327"/>
      <c r="L65" s="327"/>
      <c r="M65" s="327"/>
      <c r="N65" s="327"/>
      <c r="O65" s="327"/>
      <c r="P65" s="327"/>
    </row>
    <row r="66" ht="15.75" customHeight="1">
      <c r="C66" s="327"/>
      <c r="D66" s="327"/>
      <c r="E66" s="327"/>
      <c r="F66" s="327"/>
      <c r="G66" s="327"/>
      <c r="H66" s="327"/>
      <c r="I66" s="327"/>
      <c r="J66" s="327"/>
      <c r="K66" s="327"/>
      <c r="L66" s="327"/>
      <c r="M66" s="327"/>
      <c r="N66" s="327"/>
      <c r="O66" s="327"/>
      <c r="P66" s="327"/>
    </row>
    <row r="67" ht="15.75" customHeight="1">
      <c r="C67" s="327"/>
      <c r="D67" s="327"/>
      <c r="E67" s="327"/>
      <c r="F67" s="327"/>
      <c r="G67" s="327"/>
      <c r="H67" s="327"/>
      <c r="I67" s="327"/>
      <c r="J67" s="327"/>
      <c r="K67" s="327"/>
      <c r="L67" s="327"/>
      <c r="M67" s="327"/>
      <c r="N67" s="327"/>
      <c r="O67" s="327"/>
      <c r="P67" s="327"/>
    </row>
    <row r="68" ht="15.75" customHeight="1">
      <c r="C68" s="327"/>
      <c r="D68" s="327"/>
      <c r="E68" s="327"/>
      <c r="F68" s="327"/>
      <c r="G68" s="327"/>
      <c r="H68" s="327"/>
      <c r="I68" s="327"/>
      <c r="J68" s="327"/>
      <c r="K68" s="327"/>
      <c r="L68" s="327"/>
      <c r="M68" s="327"/>
      <c r="N68" s="327"/>
      <c r="O68" s="327"/>
      <c r="P68" s="327"/>
    </row>
    <row r="69" ht="15.75" customHeight="1">
      <c r="B69" s="327"/>
      <c r="C69" s="327"/>
      <c r="D69" s="327"/>
      <c r="E69" s="327"/>
      <c r="F69" s="327"/>
      <c r="G69" s="327"/>
      <c r="H69" s="327"/>
      <c r="I69" s="327"/>
      <c r="J69" s="327"/>
      <c r="K69" s="327"/>
      <c r="L69" s="327"/>
      <c r="M69" s="327"/>
      <c r="N69" s="327"/>
      <c r="O69" s="327"/>
      <c r="P69" s="327"/>
    </row>
    <row r="70" ht="15.75" customHeight="1">
      <c r="B70" s="327"/>
      <c r="C70" s="327"/>
      <c r="D70" s="327"/>
      <c r="E70" s="327"/>
      <c r="F70" s="327"/>
      <c r="G70" s="327"/>
      <c r="H70" s="327"/>
      <c r="I70" s="327"/>
      <c r="J70" s="327"/>
      <c r="K70" s="327"/>
      <c r="L70" s="327"/>
      <c r="M70" s="327"/>
      <c r="N70" s="327"/>
      <c r="O70" s="327"/>
      <c r="P70" s="327"/>
    </row>
    <row r="71" ht="15.75" customHeight="1">
      <c r="B71" s="327"/>
      <c r="C71" s="327"/>
      <c r="D71" s="327"/>
      <c r="E71" s="327"/>
      <c r="F71" s="327"/>
      <c r="G71" s="327"/>
      <c r="H71" s="327"/>
      <c r="I71" s="327"/>
      <c r="J71" s="327"/>
      <c r="K71" s="327"/>
      <c r="L71" s="327"/>
      <c r="M71" s="327"/>
      <c r="N71" s="327"/>
      <c r="O71" s="327"/>
      <c r="P71" s="327"/>
    </row>
    <row r="72" ht="15.75" customHeight="1">
      <c r="B72" s="327"/>
      <c r="C72" s="327"/>
      <c r="D72" s="327"/>
      <c r="E72" s="327"/>
      <c r="F72" s="327"/>
      <c r="G72" s="327"/>
      <c r="H72" s="327"/>
      <c r="I72" s="327"/>
      <c r="J72" s="327"/>
      <c r="K72" s="327"/>
      <c r="L72" s="327"/>
      <c r="M72" s="327"/>
      <c r="N72" s="327"/>
      <c r="O72" s="327"/>
      <c r="P72" s="327"/>
    </row>
    <row r="73" ht="15.75" customHeight="1">
      <c r="B73" s="327"/>
      <c r="C73" s="327"/>
      <c r="D73" s="327"/>
      <c r="E73" s="327"/>
      <c r="F73" s="327"/>
      <c r="G73" s="327"/>
      <c r="H73" s="327"/>
      <c r="I73" s="327"/>
      <c r="J73" s="327"/>
      <c r="K73" s="327"/>
      <c r="L73" s="327"/>
      <c r="M73" s="327"/>
      <c r="N73" s="327"/>
      <c r="O73" s="327"/>
      <c r="P73" s="327"/>
    </row>
    <row r="74" ht="15.75" customHeight="1">
      <c r="B74" s="327"/>
      <c r="C74" s="327"/>
      <c r="D74" s="327"/>
      <c r="E74" s="327"/>
      <c r="F74" s="327"/>
      <c r="G74" s="327"/>
      <c r="H74" s="327"/>
      <c r="I74" s="327"/>
      <c r="J74" s="327"/>
      <c r="K74" s="327"/>
      <c r="L74" s="327"/>
      <c r="M74" s="327"/>
      <c r="N74" s="327"/>
      <c r="O74" s="327"/>
      <c r="P74" s="327"/>
    </row>
    <row r="75" ht="15.75" customHeight="1">
      <c r="B75" s="327"/>
      <c r="C75" s="327"/>
      <c r="D75" s="327"/>
      <c r="E75" s="327"/>
      <c r="F75" s="327"/>
      <c r="G75" s="327"/>
      <c r="H75" s="327"/>
      <c r="I75" s="327"/>
      <c r="J75" s="327"/>
      <c r="K75" s="327"/>
      <c r="L75" s="327"/>
      <c r="M75" s="327"/>
      <c r="N75" s="327"/>
      <c r="O75" s="327"/>
      <c r="P75" s="327"/>
    </row>
    <row r="76" ht="15.75" customHeight="1">
      <c r="B76" s="327"/>
      <c r="C76" s="327"/>
      <c r="D76" s="327"/>
      <c r="E76" s="327"/>
      <c r="F76" s="327"/>
      <c r="G76" s="327"/>
      <c r="H76" s="327"/>
      <c r="I76" s="327"/>
      <c r="J76" s="327"/>
      <c r="K76" s="327"/>
      <c r="L76" s="327"/>
      <c r="M76" s="327"/>
      <c r="N76" s="327"/>
      <c r="O76" s="327"/>
      <c r="P76" s="327"/>
    </row>
    <row r="77" ht="15.75" customHeight="1">
      <c r="B77" s="327"/>
      <c r="C77" s="327"/>
      <c r="D77" s="327"/>
      <c r="E77" s="327"/>
      <c r="F77" s="327"/>
      <c r="G77" s="327"/>
      <c r="H77" s="327"/>
      <c r="I77" s="327"/>
      <c r="J77" s="327"/>
      <c r="K77" s="327"/>
      <c r="L77" s="327"/>
      <c r="M77" s="327"/>
      <c r="N77" s="327"/>
      <c r="O77" s="327"/>
      <c r="P77" s="327"/>
    </row>
    <row r="78" ht="15.75" customHeight="1">
      <c r="B78" s="327"/>
      <c r="C78" s="327"/>
      <c r="D78" s="327"/>
      <c r="E78" s="327"/>
      <c r="F78" s="327"/>
      <c r="G78" s="327"/>
      <c r="H78" s="327"/>
      <c r="I78" s="327"/>
      <c r="J78" s="327"/>
      <c r="K78" s="327"/>
      <c r="L78" s="327"/>
      <c r="M78" s="327"/>
      <c r="N78" s="327"/>
      <c r="O78" s="327"/>
      <c r="P78" s="327"/>
    </row>
    <row r="79" ht="15.75" customHeight="1">
      <c r="B79" s="327"/>
      <c r="C79" s="327"/>
      <c r="D79" s="327"/>
      <c r="E79" s="327"/>
      <c r="F79" s="327"/>
      <c r="G79" s="327"/>
      <c r="H79" s="327"/>
      <c r="I79" s="327"/>
      <c r="J79" s="327"/>
      <c r="K79" s="327"/>
      <c r="L79" s="327"/>
      <c r="M79" s="327"/>
      <c r="N79" s="327"/>
      <c r="O79" s="327"/>
      <c r="P79" s="327"/>
    </row>
    <row r="80" ht="15.75" customHeight="1">
      <c r="B80" s="327"/>
      <c r="C80" s="327"/>
      <c r="D80" s="327"/>
      <c r="E80" s="327"/>
      <c r="F80" s="327"/>
      <c r="G80" s="327"/>
      <c r="H80" s="327"/>
      <c r="I80" s="327"/>
      <c r="J80" s="327"/>
      <c r="K80" s="327"/>
      <c r="L80" s="327"/>
      <c r="M80" s="327"/>
      <c r="N80" s="327"/>
      <c r="O80" s="327"/>
      <c r="P80" s="327"/>
    </row>
    <row r="81" ht="15.75" customHeight="1">
      <c r="B81" s="327"/>
      <c r="C81" s="327"/>
      <c r="D81" s="327"/>
      <c r="E81" s="327"/>
      <c r="F81" s="327"/>
      <c r="G81" s="327"/>
      <c r="H81" s="327"/>
      <c r="I81" s="327"/>
      <c r="J81" s="327"/>
      <c r="K81" s="327"/>
      <c r="L81" s="327"/>
      <c r="M81" s="327"/>
      <c r="N81" s="327"/>
      <c r="O81" s="327"/>
      <c r="P81" s="327"/>
    </row>
    <row r="82" ht="15.75" customHeight="1">
      <c r="B82" s="327"/>
      <c r="C82" s="327"/>
      <c r="D82" s="327"/>
      <c r="E82" s="327"/>
      <c r="F82" s="327"/>
      <c r="G82" s="327"/>
      <c r="H82" s="327"/>
      <c r="I82" s="327"/>
      <c r="J82" s="327"/>
      <c r="K82" s="327"/>
      <c r="L82" s="327"/>
      <c r="M82" s="327"/>
      <c r="N82" s="327"/>
      <c r="O82" s="327"/>
      <c r="P82" s="327"/>
    </row>
    <row r="83" ht="15.75" customHeight="1">
      <c r="B83" s="327"/>
      <c r="C83" s="327"/>
      <c r="D83" s="327"/>
      <c r="E83" s="327"/>
      <c r="F83" s="327"/>
      <c r="G83" s="327"/>
      <c r="H83" s="327"/>
      <c r="I83" s="327"/>
      <c r="J83" s="327"/>
      <c r="K83" s="327"/>
      <c r="L83" s="327"/>
      <c r="M83" s="327"/>
      <c r="N83" s="327"/>
      <c r="O83" s="327"/>
      <c r="P83" s="327"/>
    </row>
    <row r="84" ht="15.75" customHeight="1">
      <c r="B84" s="327"/>
      <c r="C84" s="327"/>
      <c r="D84" s="327"/>
      <c r="E84" s="327"/>
      <c r="F84" s="327"/>
      <c r="G84" s="327"/>
      <c r="H84" s="327"/>
      <c r="I84" s="327"/>
      <c r="J84" s="327"/>
      <c r="K84" s="327"/>
      <c r="L84" s="327"/>
      <c r="M84" s="327"/>
      <c r="N84" s="327"/>
      <c r="O84" s="327"/>
      <c r="P84" s="327"/>
    </row>
    <row r="85" ht="15.75" customHeight="1">
      <c r="B85" s="327"/>
      <c r="C85" s="327"/>
      <c r="D85" s="327"/>
      <c r="E85" s="327"/>
      <c r="F85" s="327"/>
      <c r="G85" s="327"/>
      <c r="H85" s="327"/>
      <c r="I85" s="327"/>
      <c r="J85" s="327"/>
      <c r="K85" s="327"/>
      <c r="L85" s="327"/>
      <c r="M85" s="327"/>
      <c r="N85" s="327"/>
      <c r="O85" s="327"/>
      <c r="P85" s="327"/>
    </row>
    <row r="86" ht="15.75" customHeight="1">
      <c r="B86" s="327"/>
      <c r="C86" s="327"/>
      <c r="D86" s="327"/>
      <c r="E86" s="327"/>
      <c r="F86" s="327"/>
      <c r="G86" s="327"/>
      <c r="H86" s="327"/>
      <c r="I86" s="327"/>
      <c r="J86" s="327"/>
      <c r="K86" s="327"/>
      <c r="L86" s="327"/>
      <c r="M86" s="327"/>
      <c r="N86" s="327"/>
      <c r="O86" s="327"/>
      <c r="P86" s="327"/>
    </row>
    <row r="87" ht="15.75" customHeight="1">
      <c r="B87" s="327"/>
      <c r="C87" s="327"/>
      <c r="D87" s="327"/>
      <c r="E87" s="327"/>
      <c r="F87" s="327"/>
      <c r="G87" s="327"/>
      <c r="H87" s="327"/>
      <c r="I87" s="327"/>
      <c r="J87" s="327"/>
      <c r="K87" s="327"/>
      <c r="L87" s="327"/>
      <c r="M87" s="327"/>
      <c r="N87" s="327"/>
      <c r="O87" s="327"/>
      <c r="P87" s="327"/>
    </row>
    <row r="88" ht="15.75" customHeight="1">
      <c r="B88" s="327"/>
      <c r="C88" s="327"/>
      <c r="D88" s="327"/>
      <c r="E88" s="327"/>
      <c r="F88" s="327"/>
      <c r="G88" s="327"/>
      <c r="H88" s="327"/>
      <c r="I88" s="327"/>
      <c r="J88" s="327"/>
      <c r="K88" s="327"/>
      <c r="L88" s="327"/>
      <c r="M88" s="327"/>
      <c r="N88" s="327"/>
      <c r="O88" s="327"/>
      <c r="P88" s="327"/>
    </row>
    <row r="89" ht="15.75" customHeight="1">
      <c r="B89" s="327"/>
      <c r="C89" s="327"/>
      <c r="D89" s="327"/>
      <c r="E89" s="327"/>
      <c r="F89" s="327"/>
      <c r="G89" s="327"/>
      <c r="H89" s="327"/>
      <c r="I89" s="327"/>
      <c r="J89" s="327"/>
      <c r="K89" s="327"/>
      <c r="L89" s="327"/>
      <c r="M89" s="327"/>
      <c r="N89" s="327"/>
      <c r="O89" s="327"/>
      <c r="P89" s="327"/>
    </row>
    <row r="90" ht="15.75" customHeight="1">
      <c r="B90" s="327"/>
      <c r="C90" s="327"/>
      <c r="D90" s="327"/>
      <c r="E90" s="327"/>
      <c r="F90" s="327"/>
      <c r="G90" s="327"/>
      <c r="H90" s="327"/>
      <c r="I90" s="327"/>
      <c r="J90" s="327"/>
      <c r="K90" s="327"/>
      <c r="L90" s="327"/>
      <c r="M90" s="327"/>
      <c r="N90" s="327"/>
      <c r="O90" s="327"/>
      <c r="P90" s="327"/>
    </row>
    <row r="91" ht="15.75" customHeight="1">
      <c r="B91" s="327"/>
      <c r="C91" s="327"/>
      <c r="D91" s="327"/>
      <c r="E91" s="327"/>
      <c r="F91" s="327"/>
      <c r="G91" s="327"/>
      <c r="H91" s="327"/>
      <c r="I91" s="327"/>
      <c r="J91" s="327"/>
      <c r="K91" s="327"/>
      <c r="L91" s="327"/>
      <c r="M91" s="327"/>
      <c r="N91" s="327"/>
      <c r="O91" s="327"/>
      <c r="P91" s="327"/>
    </row>
    <row r="92" ht="15.75" customHeight="1">
      <c r="B92" s="327"/>
      <c r="C92" s="327"/>
      <c r="D92" s="327"/>
      <c r="E92" s="327"/>
      <c r="F92" s="327"/>
      <c r="G92" s="327"/>
      <c r="H92" s="327"/>
      <c r="I92" s="327"/>
      <c r="J92" s="327"/>
      <c r="K92" s="327"/>
      <c r="L92" s="327"/>
      <c r="M92" s="327"/>
      <c r="N92" s="327"/>
      <c r="O92" s="327"/>
      <c r="P92" s="327"/>
    </row>
    <row r="93" ht="15.75" customHeight="1">
      <c r="B93" s="327"/>
      <c r="C93" s="327"/>
      <c r="D93" s="327"/>
      <c r="E93" s="327"/>
      <c r="F93" s="327"/>
      <c r="G93" s="327"/>
      <c r="H93" s="327"/>
      <c r="I93" s="327"/>
      <c r="J93" s="327"/>
      <c r="K93" s="327"/>
      <c r="L93" s="327"/>
      <c r="M93" s="327"/>
      <c r="N93" s="327"/>
      <c r="O93" s="327"/>
      <c r="P93" s="327"/>
    </row>
    <row r="94" ht="15.75" customHeight="1">
      <c r="B94" s="327"/>
      <c r="C94" s="327"/>
      <c r="D94" s="327"/>
      <c r="E94" s="327"/>
      <c r="F94" s="327"/>
      <c r="G94" s="327"/>
      <c r="H94" s="327"/>
      <c r="I94" s="327"/>
      <c r="J94" s="327"/>
      <c r="K94" s="327"/>
      <c r="L94" s="327"/>
      <c r="M94" s="327"/>
      <c r="N94" s="327"/>
      <c r="O94" s="327"/>
      <c r="P94" s="327"/>
    </row>
    <row r="95" ht="15.75" customHeight="1">
      <c r="B95" s="327"/>
      <c r="C95" s="327"/>
      <c r="D95" s="327"/>
      <c r="E95" s="327"/>
      <c r="F95" s="327"/>
      <c r="G95" s="327"/>
      <c r="H95" s="327"/>
      <c r="I95" s="327"/>
      <c r="J95" s="327"/>
      <c r="K95" s="327"/>
      <c r="L95" s="327"/>
      <c r="M95" s="327"/>
      <c r="N95" s="327"/>
      <c r="O95" s="327"/>
      <c r="P95" s="327"/>
    </row>
    <row r="96" ht="15.75" customHeight="1">
      <c r="B96" s="327"/>
      <c r="C96" s="327"/>
      <c r="D96" s="327"/>
      <c r="E96" s="327"/>
      <c r="F96" s="327"/>
      <c r="G96" s="327"/>
      <c r="H96" s="327"/>
      <c r="I96" s="327"/>
      <c r="J96" s="327"/>
      <c r="K96" s="327"/>
      <c r="L96" s="327"/>
      <c r="M96" s="327"/>
      <c r="N96" s="327"/>
      <c r="O96" s="327"/>
      <c r="P96" s="327"/>
    </row>
    <row r="97" ht="15.75" customHeight="1">
      <c r="B97" s="327"/>
      <c r="C97" s="327"/>
      <c r="D97" s="327"/>
      <c r="E97" s="327"/>
      <c r="F97" s="327"/>
      <c r="G97" s="327"/>
      <c r="H97" s="327"/>
      <c r="I97" s="327"/>
      <c r="J97" s="327"/>
      <c r="K97" s="327"/>
      <c r="L97" s="327"/>
      <c r="M97" s="327"/>
      <c r="N97" s="327"/>
      <c r="O97" s="327"/>
      <c r="P97" s="327"/>
    </row>
    <row r="98" ht="15.75" customHeight="1">
      <c r="B98" s="327"/>
      <c r="C98" s="327"/>
      <c r="D98" s="327"/>
      <c r="E98" s="327"/>
      <c r="F98" s="327"/>
      <c r="G98" s="327"/>
      <c r="H98" s="327"/>
      <c r="I98" s="327"/>
      <c r="J98" s="327"/>
      <c r="K98" s="327"/>
      <c r="L98" s="327"/>
      <c r="M98" s="327"/>
      <c r="N98" s="327"/>
      <c r="O98" s="327"/>
      <c r="P98" s="327"/>
    </row>
    <row r="99" ht="15.75" customHeight="1">
      <c r="B99" s="327"/>
      <c r="C99" s="327"/>
      <c r="D99" s="327"/>
      <c r="E99" s="327"/>
      <c r="F99" s="327"/>
      <c r="G99" s="327"/>
      <c r="H99" s="327"/>
      <c r="I99" s="327"/>
      <c r="J99" s="327"/>
      <c r="K99" s="327"/>
      <c r="L99" s="327"/>
      <c r="M99" s="327"/>
      <c r="N99" s="327"/>
      <c r="O99" s="327"/>
      <c r="P99" s="327"/>
    </row>
    <row r="100" ht="15.75" customHeight="1">
      <c r="B100" s="327"/>
      <c r="C100" s="327"/>
      <c r="D100" s="327"/>
      <c r="E100" s="327"/>
      <c r="F100" s="327"/>
      <c r="G100" s="327"/>
      <c r="H100" s="327"/>
      <c r="I100" s="327"/>
      <c r="J100" s="327"/>
      <c r="K100" s="327"/>
      <c r="L100" s="327"/>
      <c r="M100" s="327"/>
      <c r="N100" s="327"/>
      <c r="O100" s="327"/>
      <c r="P100" s="327"/>
    </row>
    <row r="101" ht="15.75" customHeight="1">
      <c r="B101" s="327"/>
      <c r="C101" s="327"/>
      <c r="D101" s="327"/>
      <c r="E101" s="327"/>
      <c r="F101" s="327"/>
      <c r="G101" s="327"/>
      <c r="H101" s="327"/>
      <c r="I101" s="327"/>
      <c r="J101" s="327"/>
      <c r="K101" s="327"/>
      <c r="L101" s="327"/>
      <c r="M101" s="327"/>
      <c r="N101" s="327"/>
      <c r="O101" s="327"/>
      <c r="P101" s="327"/>
    </row>
    <row r="102" ht="15.75" customHeight="1">
      <c r="B102" s="327"/>
      <c r="C102" s="327"/>
      <c r="D102" s="327"/>
      <c r="E102" s="327"/>
      <c r="F102" s="327"/>
      <c r="G102" s="327"/>
      <c r="H102" s="327"/>
      <c r="I102" s="327"/>
      <c r="J102" s="327"/>
      <c r="K102" s="327"/>
      <c r="L102" s="327"/>
      <c r="M102" s="327"/>
      <c r="N102" s="327"/>
      <c r="O102" s="327"/>
      <c r="P102" s="327"/>
    </row>
    <row r="103" ht="15.75" customHeight="1">
      <c r="B103" s="327"/>
      <c r="C103" s="327"/>
      <c r="D103" s="327"/>
      <c r="E103" s="327"/>
      <c r="F103" s="327"/>
      <c r="G103" s="327"/>
      <c r="H103" s="327"/>
      <c r="I103" s="327"/>
      <c r="J103" s="327"/>
      <c r="K103" s="327"/>
      <c r="L103" s="327"/>
      <c r="M103" s="327"/>
      <c r="N103" s="327"/>
      <c r="O103" s="327"/>
      <c r="P103" s="327"/>
    </row>
    <row r="104" ht="15.75" customHeight="1">
      <c r="B104" s="327"/>
      <c r="C104" s="327"/>
      <c r="D104" s="327"/>
      <c r="E104" s="327"/>
      <c r="F104" s="327"/>
      <c r="G104" s="327"/>
      <c r="H104" s="327"/>
      <c r="I104" s="327"/>
      <c r="J104" s="327"/>
      <c r="K104" s="327"/>
      <c r="L104" s="327"/>
      <c r="M104" s="327"/>
      <c r="N104" s="327"/>
      <c r="O104" s="327"/>
      <c r="P104" s="327"/>
    </row>
    <row r="105" ht="15.75" customHeight="1">
      <c r="B105" s="327"/>
      <c r="C105" s="327"/>
      <c r="D105" s="327"/>
      <c r="E105" s="327"/>
      <c r="F105" s="327"/>
      <c r="G105" s="327"/>
      <c r="H105" s="327"/>
      <c r="I105" s="327"/>
      <c r="J105" s="327"/>
      <c r="K105" s="327"/>
      <c r="L105" s="327"/>
      <c r="M105" s="327"/>
      <c r="N105" s="327"/>
      <c r="O105" s="327"/>
      <c r="P105" s="327"/>
    </row>
    <row r="106" ht="15.75" customHeight="1">
      <c r="B106" s="327"/>
      <c r="C106" s="327"/>
      <c r="D106" s="327"/>
      <c r="E106" s="327"/>
      <c r="F106" s="327"/>
      <c r="G106" s="327"/>
      <c r="H106" s="327"/>
      <c r="I106" s="327"/>
      <c r="J106" s="327"/>
      <c r="K106" s="327"/>
      <c r="L106" s="327"/>
      <c r="M106" s="327"/>
      <c r="N106" s="327"/>
      <c r="O106" s="327"/>
      <c r="P106" s="327"/>
    </row>
    <row r="107" ht="15.75" customHeight="1">
      <c r="B107" s="327"/>
      <c r="C107" s="327"/>
      <c r="D107" s="327"/>
      <c r="E107" s="327"/>
      <c r="F107" s="327"/>
      <c r="G107" s="327"/>
      <c r="H107" s="327"/>
      <c r="I107" s="327"/>
      <c r="J107" s="327"/>
      <c r="K107" s="327"/>
      <c r="L107" s="327"/>
      <c r="M107" s="327"/>
      <c r="N107" s="327"/>
      <c r="O107" s="327"/>
      <c r="P107" s="327"/>
    </row>
    <row r="108" ht="15.75" customHeight="1">
      <c r="B108" s="327"/>
      <c r="C108" s="327"/>
      <c r="D108" s="327"/>
      <c r="E108" s="327"/>
      <c r="F108" s="327"/>
      <c r="G108" s="327"/>
      <c r="H108" s="327"/>
      <c r="I108" s="327"/>
      <c r="J108" s="327"/>
      <c r="K108" s="327"/>
      <c r="L108" s="327"/>
      <c r="M108" s="327"/>
      <c r="N108" s="327"/>
      <c r="O108" s="327"/>
      <c r="P108" s="327"/>
    </row>
    <row r="109" ht="15.75" customHeight="1">
      <c r="B109" s="327"/>
      <c r="C109" s="327"/>
      <c r="D109" s="327"/>
      <c r="E109" s="327"/>
      <c r="F109" s="327"/>
      <c r="G109" s="327"/>
      <c r="H109" s="327"/>
      <c r="I109" s="327"/>
      <c r="J109" s="327"/>
      <c r="K109" s="327"/>
      <c r="L109" s="327"/>
      <c r="M109" s="327"/>
      <c r="N109" s="327"/>
      <c r="O109" s="327"/>
      <c r="P109" s="327"/>
    </row>
    <row r="110" ht="15.75" customHeight="1">
      <c r="B110" s="327"/>
      <c r="C110" s="327"/>
      <c r="D110" s="327"/>
      <c r="E110" s="327"/>
      <c r="F110" s="327"/>
      <c r="G110" s="327"/>
      <c r="H110" s="327"/>
      <c r="I110" s="327"/>
      <c r="J110" s="327"/>
      <c r="K110" s="327"/>
      <c r="L110" s="327"/>
      <c r="M110" s="327"/>
      <c r="N110" s="327"/>
      <c r="O110" s="327"/>
      <c r="P110" s="327"/>
    </row>
    <row r="111" ht="15.75" customHeight="1">
      <c r="B111" s="327"/>
      <c r="C111" s="327"/>
      <c r="D111" s="327"/>
      <c r="E111" s="327"/>
      <c r="F111" s="327"/>
      <c r="G111" s="327"/>
      <c r="H111" s="327"/>
      <c r="I111" s="327"/>
      <c r="J111" s="327"/>
      <c r="K111" s="327"/>
      <c r="L111" s="327"/>
      <c r="M111" s="327"/>
      <c r="N111" s="327"/>
      <c r="O111" s="327"/>
      <c r="P111" s="327"/>
    </row>
    <row r="112" ht="15.75" customHeight="1">
      <c r="B112" s="327"/>
      <c r="C112" s="327"/>
      <c r="D112" s="327"/>
      <c r="E112" s="327"/>
      <c r="F112" s="327"/>
      <c r="G112" s="327"/>
      <c r="H112" s="327"/>
      <c r="I112" s="327"/>
      <c r="J112" s="327"/>
      <c r="K112" s="327"/>
      <c r="L112" s="327"/>
      <c r="M112" s="327"/>
      <c r="N112" s="327"/>
      <c r="O112" s="327"/>
      <c r="P112" s="327"/>
    </row>
    <row r="113" ht="15.75" customHeight="1">
      <c r="B113" s="327"/>
      <c r="C113" s="327"/>
      <c r="D113" s="327"/>
      <c r="E113" s="327"/>
      <c r="F113" s="327"/>
      <c r="G113" s="327"/>
      <c r="H113" s="327"/>
      <c r="I113" s="327"/>
      <c r="J113" s="327"/>
      <c r="K113" s="327"/>
      <c r="L113" s="327"/>
      <c r="M113" s="327"/>
      <c r="N113" s="327"/>
      <c r="O113" s="327"/>
      <c r="P113" s="327"/>
    </row>
    <row r="114" ht="15.75" customHeight="1">
      <c r="B114" s="327"/>
      <c r="C114" s="327"/>
      <c r="D114" s="327"/>
      <c r="E114" s="327"/>
      <c r="F114" s="327"/>
      <c r="G114" s="327"/>
      <c r="H114" s="327"/>
      <c r="I114" s="327"/>
      <c r="J114" s="327"/>
      <c r="K114" s="327"/>
      <c r="L114" s="327"/>
      <c r="M114" s="327"/>
      <c r="N114" s="327"/>
      <c r="O114" s="327"/>
      <c r="P114" s="327"/>
    </row>
    <row r="115" ht="15.75" customHeight="1">
      <c r="B115" s="327"/>
      <c r="C115" s="327"/>
      <c r="D115" s="327"/>
      <c r="E115" s="327"/>
      <c r="F115" s="327"/>
      <c r="G115" s="327"/>
      <c r="H115" s="327"/>
      <c r="I115" s="327"/>
      <c r="J115" s="327"/>
      <c r="K115" s="327"/>
      <c r="L115" s="327"/>
      <c r="M115" s="327"/>
      <c r="N115" s="327"/>
      <c r="O115" s="327"/>
      <c r="P115" s="327"/>
    </row>
    <row r="116" ht="15.75" customHeight="1">
      <c r="B116" s="327"/>
      <c r="C116" s="327"/>
      <c r="D116" s="327"/>
      <c r="E116" s="327"/>
      <c r="F116" s="327"/>
      <c r="G116" s="327"/>
      <c r="H116" s="327"/>
      <c r="I116" s="327"/>
      <c r="J116" s="327"/>
      <c r="K116" s="327"/>
      <c r="L116" s="327"/>
      <c r="M116" s="327"/>
      <c r="N116" s="327"/>
      <c r="O116" s="327"/>
      <c r="P116" s="327"/>
    </row>
    <row r="117" ht="15.75" customHeight="1">
      <c r="B117" s="327"/>
      <c r="C117" s="327"/>
      <c r="D117" s="327"/>
      <c r="E117" s="327"/>
      <c r="F117" s="327"/>
      <c r="G117" s="327"/>
      <c r="H117" s="327"/>
      <c r="I117" s="327"/>
      <c r="J117" s="327"/>
      <c r="K117" s="327"/>
      <c r="L117" s="327"/>
      <c r="M117" s="327"/>
      <c r="N117" s="327"/>
      <c r="O117" s="327"/>
      <c r="P117" s="327"/>
    </row>
    <row r="118" ht="15.75" customHeight="1">
      <c r="B118" s="327"/>
      <c r="C118" s="327"/>
      <c r="D118" s="327"/>
      <c r="E118" s="327"/>
      <c r="F118" s="327"/>
      <c r="G118" s="327"/>
      <c r="H118" s="327"/>
      <c r="I118" s="327"/>
      <c r="J118" s="327"/>
      <c r="K118" s="327"/>
      <c r="L118" s="327"/>
      <c r="M118" s="327"/>
      <c r="N118" s="327"/>
      <c r="O118" s="327"/>
      <c r="P118" s="327"/>
    </row>
    <row r="119" ht="15.75" customHeight="1">
      <c r="B119" s="327"/>
      <c r="C119" s="327"/>
      <c r="D119" s="327"/>
      <c r="E119" s="327"/>
      <c r="F119" s="327"/>
      <c r="G119" s="327"/>
      <c r="H119" s="327"/>
      <c r="I119" s="327"/>
      <c r="J119" s="327"/>
      <c r="K119" s="327"/>
      <c r="L119" s="327"/>
      <c r="M119" s="327"/>
      <c r="N119" s="327"/>
      <c r="O119" s="327"/>
      <c r="P119" s="327"/>
    </row>
    <row r="120" ht="15.75" customHeight="1">
      <c r="B120" s="327"/>
      <c r="C120" s="327"/>
      <c r="D120" s="327"/>
      <c r="E120" s="327"/>
      <c r="F120" s="327"/>
      <c r="G120" s="327"/>
      <c r="H120" s="327"/>
      <c r="I120" s="327"/>
      <c r="J120" s="327"/>
      <c r="K120" s="327"/>
      <c r="L120" s="327"/>
      <c r="M120" s="327"/>
      <c r="N120" s="327"/>
      <c r="O120" s="327"/>
      <c r="P120" s="327"/>
    </row>
    <row r="121" ht="15.75" customHeight="1">
      <c r="B121" s="327"/>
      <c r="C121" s="327"/>
      <c r="D121" s="327"/>
      <c r="E121" s="327"/>
      <c r="F121" s="327"/>
      <c r="G121" s="327"/>
      <c r="H121" s="327"/>
      <c r="I121" s="327"/>
      <c r="J121" s="327"/>
      <c r="K121" s="327"/>
      <c r="L121" s="327"/>
      <c r="M121" s="327"/>
      <c r="N121" s="327"/>
      <c r="O121" s="327"/>
      <c r="P121" s="327"/>
    </row>
    <row r="122" ht="15.75" customHeight="1">
      <c r="B122" s="327"/>
      <c r="C122" s="327"/>
      <c r="D122" s="327"/>
      <c r="E122" s="327"/>
      <c r="F122" s="327"/>
      <c r="G122" s="327"/>
      <c r="H122" s="327"/>
      <c r="I122" s="327"/>
      <c r="J122" s="327"/>
      <c r="K122" s="327"/>
      <c r="L122" s="327"/>
      <c r="M122" s="327"/>
      <c r="N122" s="327"/>
      <c r="O122" s="327"/>
      <c r="P122" s="327"/>
    </row>
    <row r="123" ht="15.75" customHeight="1">
      <c r="B123" s="327"/>
      <c r="C123" s="327"/>
      <c r="D123" s="327"/>
      <c r="E123" s="327"/>
      <c r="F123" s="327"/>
      <c r="G123" s="327"/>
      <c r="H123" s="327"/>
      <c r="I123" s="327"/>
      <c r="J123" s="327"/>
      <c r="K123" s="327"/>
      <c r="L123" s="327"/>
      <c r="M123" s="327"/>
      <c r="N123" s="327"/>
      <c r="O123" s="327"/>
      <c r="P123" s="327"/>
    </row>
    <row r="124" ht="15.75" customHeight="1">
      <c r="B124" s="327"/>
      <c r="C124" s="327"/>
      <c r="D124" s="327"/>
      <c r="E124" s="327"/>
      <c r="F124" s="327"/>
      <c r="G124" s="327"/>
      <c r="H124" s="327"/>
      <c r="I124" s="327"/>
      <c r="J124" s="327"/>
      <c r="K124" s="327"/>
      <c r="L124" s="327"/>
      <c r="M124" s="327"/>
      <c r="N124" s="327"/>
      <c r="O124" s="327"/>
      <c r="P124" s="327"/>
    </row>
    <row r="125" ht="15.75" customHeight="1">
      <c r="B125" s="327"/>
      <c r="C125" s="327"/>
      <c r="D125" s="327"/>
      <c r="E125" s="327"/>
      <c r="F125" s="327"/>
      <c r="G125" s="327"/>
      <c r="H125" s="327"/>
      <c r="I125" s="327"/>
      <c r="J125" s="327"/>
      <c r="K125" s="327"/>
      <c r="L125" s="327"/>
      <c r="M125" s="327"/>
      <c r="N125" s="327"/>
      <c r="O125" s="327"/>
      <c r="P125" s="327"/>
    </row>
    <row r="126" ht="15.75" customHeight="1">
      <c r="B126" s="327"/>
      <c r="C126" s="327"/>
      <c r="D126" s="327"/>
      <c r="E126" s="327"/>
      <c r="F126" s="327"/>
      <c r="G126" s="327"/>
      <c r="H126" s="327"/>
      <c r="I126" s="327"/>
      <c r="J126" s="327"/>
      <c r="K126" s="327"/>
      <c r="L126" s="327"/>
      <c r="M126" s="327"/>
      <c r="N126" s="327"/>
      <c r="O126" s="327"/>
      <c r="P126" s="327"/>
    </row>
    <row r="127" ht="15.75" customHeight="1">
      <c r="B127" s="327"/>
      <c r="C127" s="327"/>
      <c r="D127" s="327"/>
      <c r="E127" s="327"/>
      <c r="F127" s="327"/>
      <c r="G127" s="327"/>
      <c r="H127" s="327"/>
      <c r="I127" s="327"/>
      <c r="J127" s="327"/>
      <c r="K127" s="327"/>
      <c r="L127" s="327"/>
      <c r="M127" s="327"/>
      <c r="N127" s="327"/>
      <c r="O127" s="327"/>
      <c r="P127" s="327"/>
    </row>
    <row r="128" ht="15.75" customHeight="1">
      <c r="B128" s="327"/>
      <c r="C128" s="327"/>
      <c r="D128" s="327"/>
      <c r="E128" s="327"/>
      <c r="F128" s="327"/>
      <c r="G128" s="327"/>
      <c r="H128" s="327"/>
      <c r="I128" s="327"/>
      <c r="J128" s="327"/>
      <c r="K128" s="327"/>
      <c r="L128" s="327"/>
      <c r="M128" s="327"/>
      <c r="N128" s="327"/>
      <c r="O128" s="327"/>
      <c r="P128" s="327"/>
    </row>
    <row r="129" ht="15.75" customHeight="1">
      <c r="B129" s="327"/>
      <c r="C129" s="327"/>
      <c r="D129" s="327"/>
      <c r="E129" s="327"/>
      <c r="F129" s="327"/>
      <c r="G129" s="327"/>
      <c r="H129" s="327"/>
      <c r="I129" s="327"/>
      <c r="J129" s="327"/>
      <c r="K129" s="327"/>
      <c r="L129" s="327"/>
      <c r="M129" s="327"/>
      <c r="N129" s="327"/>
      <c r="O129" s="327"/>
      <c r="P129" s="327"/>
    </row>
    <row r="130" ht="15.75" customHeight="1">
      <c r="B130" s="327"/>
      <c r="C130" s="327"/>
      <c r="D130" s="327"/>
      <c r="E130" s="327"/>
      <c r="F130" s="327"/>
      <c r="G130" s="327"/>
      <c r="H130" s="327"/>
      <c r="I130" s="327"/>
      <c r="J130" s="327"/>
      <c r="K130" s="327"/>
      <c r="L130" s="327"/>
      <c r="M130" s="327"/>
      <c r="N130" s="327"/>
      <c r="O130" s="327"/>
      <c r="P130" s="327"/>
    </row>
    <row r="131" ht="15.75" customHeight="1">
      <c r="B131" s="327"/>
      <c r="C131" s="327"/>
      <c r="D131" s="327"/>
      <c r="E131" s="327"/>
      <c r="F131" s="327"/>
      <c r="G131" s="327"/>
      <c r="H131" s="327"/>
      <c r="I131" s="327"/>
      <c r="J131" s="327"/>
      <c r="K131" s="327"/>
      <c r="L131" s="327"/>
      <c r="M131" s="327"/>
      <c r="N131" s="327"/>
      <c r="O131" s="327"/>
      <c r="P131" s="327"/>
    </row>
    <row r="132" ht="15.75" customHeight="1">
      <c r="B132" s="327"/>
      <c r="C132" s="327"/>
      <c r="D132" s="327"/>
      <c r="E132" s="327"/>
      <c r="F132" s="327"/>
      <c r="G132" s="327"/>
      <c r="H132" s="327"/>
      <c r="I132" s="327"/>
      <c r="J132" s="327"/>
      <c r="K132" s="327"/>
      <c r="L132" s="327"/>
      <c r="M132" s="327"/>
      <c r="N132" s="327"/>
      <c r="O132" s="327"/>
      <c r="P132" s="327"/>
    </row>
    <row r="133" ht="15.75" customHeight="1">
      <c r="B133" s="327"/>
      <c r="C133" s="327"/>
      <c r="D133" s="327"/>
      <c r="E133" s="327"/>
      <c r="F133" s="327"/>
      <c r="G133" s="327"/>
      <c r="H133" s="327"/>
      <c r="I133" s="327"/>
      <c r="J133" s="327"/>
      <c r="K133" s="327"/>
      <c r="L133" s="327"/>
      <c r="M133" s="327"/>
      <c r="N133" s="327"/>
      <c r="O133" s="327"/>
      <c r="P133" s="327"/>
    </row>
    <row r="134" ht="15.75" customHeight="1">
      <c r="B134" s="327"/>
      <c r="C134" s="327"/>
      <c r="D134" s="327"/>
      <c r="E134" s="327"/>
      <c r="F134" s="327"/>
      <c r="G134" s="327"/>
      <c r="H134" s="327"/>
      <c r="I134" s="327"/>
      <c r="J134" s="327"/>
      <c r="K134" s="327"/>
      <c r="L134" s="327"/>
      <c r="M134" s="327"/>
      <c r="N134" s="327"/>
      <c r="O134" s="327"/>
      <c r="P134" s="327"/>
    </row>
    <row r="135" ht="15.75" customHeight="1">
      <c r="B135" s="327"/>
      <c r="C135" s="327"/>
      <c r="D135" s="327"/>
      <c r="E135" s="327"/>
      <c r="F135" s="327"/>
      <c r="G135" s="327"/>
      <c r="H135" s="327"/>
      <c r="I135" s="327"/>
      <c r="J135" s="327"/>
      <c r="K135" s="327"/>
      <c r="L135" s="327"/>
      <c r="M135" s="327"/>
      <c r="N135" s="327"/>
      <c r="O135" s="327"/>
      <c r="P135" s="327"/>
    </row>
    <row r="136" ht="15.75" customHeight="1">
      <c r="B136" s="327"/>
      <c r="C136" s="327"/>
      <c r="D136" s="327"/>
      <c r="E136" s="327"/>
      <c r="F136" s="327"/>
      <c r="G136" s="327"/>
      <c r="H136" s="327"/>
      <c r="I136" s="327"/>
      <c r="J136" s="327"/>
      <c r="K136" s="327"/>
      <c r="L136" s="327"/>
      <c r="M136" s="327"/>
      <c r="N136" s="327"/>
      <c r="O136" s="327"/>
      <c r="P136" s="327"/>
    </row>
    <row r="137" ht="15.75" customHeight="1">
      <c r="B137" s="327"/>
      <c r="C137" s="327"/>
      <c r="D137" s="327"/>
      <c r="E137" s="327"/>
      <c r="F137" s="327"/>
      <c r="G137" s="327"/>
      <c r="H137" s="327"/>
      <c r="I137" s="327"/>
      <c r="J137" s="327"/>
      <c r="K137" s="327"/>
      <c r="L137" s="327"/>
      <c r="M137" s="327"/>
      <c r="N137" s="327"/>
      <c r="O137" s="327"/>
      <c r="P137" s="327"/>
    </row>
    <row r="138" ht="15.75" customHeight="1">
      <c r="B138" s="327"/>
      <c r="C138" s="327"/>
      <c r="D138" s="327"/>
      <c r="E138" s="327"/>
      <c r="F138" s="327"/>
      <c r="G138" s="327"/>
      <c r="H138" s="327"/>
      <c r="I138" s="327"/>
      <c r="J138" s="327"/>
      <c r="K138" s="327"/>
      <c r="L138" s="327"/>
      <c r="M138" s="327"/>
      <c r="N138" s="327"/>
      <c r="O138" s="327"/>
      <c r="P138" s="327"/>
    </row>
    <row r="139" ht="15.75" customHeight="1">
      <c r="B139" s="327"/>
      <c r="C139" s="327"/>
      <c r="D139" s="327"/>
      <c r="E139" s="327"/>
      <c r="F139" s="327"/>
      <c r="G139" s="327"/>
      <c r="H139" s="327"/>
      <c r="I139" s="327"/>
      <c r="J139" s="327"/>
      <c r="K139" s="327"/>
      <c r="L139" s="327"/>
      <c r="M139" s="327"/>
      <c r="N139" s="327"/>
      <c r="O139" s="327"/>
      <c r="P139" s="327"/>
    </row>
    <row r="140" ht="15.75" customHeight="1">
      <c r="B140" s="327"/>
      <c r="C140" s="327"/>
      <c r="D140" s="327"/>
      <c r="E140" s="327"/>
      <c r="F140" s="327"/>
      <c r="G140" s="327"/>
      <c r="H140" s="327"/>
      <c r="I140" s="327"/>
      <c r="J140" s="327"/>
      <c r="K140" s="327"/>
      <c r="L140" s="327"/>
      <c r="M140" s="327"/>
      <c r="N140" s="327"/>
      <c r="O140" s="327"/>
      <c r="P140" s="327"/>
    </row>
    <row r="141" ht="15.75" customHeight="1">
      <c r="B141" s="327"/>
      <c r="C141" s="327"/>
      <c r="D141" s="327"/>
      <c r="E141" s="327"/>
      <c r="F141" s="327"/>
      <c r="G141" s="327"/>
      <c r="H141" s="327"/>
      <c r="I141" s="327"/>
      <c r="J141" s="327"/>
      <c r="K141" s="327"/>
      <c r="L141" s="327"/>
      <c r="M141" s="327"/>
      <c r="N141" s="327"/>
      <c r="O141" s="327"/>
      <c r="P141" s="327"/>
    </row>
    <row r="142" ht="15.75" customHeight="1">
      <c r="B142" s="327"/>
      <c r="C142" s="327"/>
      <c r="D142" s="327"/>
      <c r="E142" s="327"/>
      <c r="F142" s="327"/>
      <c r="G142" s="327"/>
      <c r="H142" s="327"/>
      <c r="I142" s="327"/>
      <c r="J142" s="327"/>
      <c r="K142" s="327"/>
      <c r="L142" s="327"/>
      <c r="M142" s="327"/>
      <c r="N142" s="327"/>
      <c r="O142" s="327"/>
      <c r="P142" s="327"/>
    </row>
    <row r="143" ht="15.75" customHeight="1">
      <c r="B143" s="327"/>
      <c r="C143" s="327"/>
      <c r="D143" s="327"/>
      <c r="E143" s="327"/>
      <c r="F143" s="327"/>
      <c r="G143" s="327"/>
      <c r="H143" s="327"/>
      <c r="I143" s="327"/>
      <c r="J143" s="327"/>
      <c r="K143" s="327"/>
      <c r="L143" s="327"/>
      <c r="M143" s="327"/>
      <c r="N143" s="327"/>
      <c r="O143" s="327"/>
      <c r="P143" s="327"/>
    </row>
    <row r="144" ht="15.75" customHeight="1">
      <c r="B144" s="327"/>
      <c r="C144" s="327"/>
      <c r="D144" s="327"/>
      <c r="E144" s="327"/>
      <c r="F144" s="327"/>
      <c r="G144" s="327"/>
      <c r="H144" s="327"/>
      <c r="I144" s="327"/>
      <c r="J144" s="327"/>
      <c r="K144" s="327"/>
      <c r="L144" s="327"/>
      <c r="M144" s="327"/>
      <c r="N144" s="327"/>
      <c r="O144" s="327"/>
      <c r="P144" s="327"/>
    </row>
    <row r="145" ht="15.75" customHeight="1">
      <c r="B145" s="327"/>
      <c r="C145" s="327"/>
      <c r="D145" s="327"/>
      <c r="E145" s="327"/>
      <c r="F145" s="327"/>
      <c r="G145" s="327"/>
      <c r="H145" s="327"/>
      <c r="I145" s="327"/>
      <c r="J145" s="327"/>
      <c r="K145" s="327"/>
      <c r="L145" s="327"/>
      <c r="M145" s="327"/>
      <c r="N145" s="327"/>
      <c r="O145" s="327"/>
      <c r="P145" s="327"/>
    </row>
    <row r="146" ht="15.75" customHeight="1">
      <c r="B146" s="327"/>
      <c r="C146" s="327"/>
      <c r="D146" s="327"/>
      <c r="E146" s="327"/>
      <c r="F146" s="327"/>
      <c r="G146" s="327"/>
      <c r="H146" s="327"/>
      <c r="I146" s="327"/>
      <c r="J146" s="327"/>
      <c r="K146" s="327"/>
      <c r="L146" s="327"/>
      <c r="M146" s="327"/>
      <c r="N146" s="327"/>
      <c r="O146" s="327"/>
      <c r="P146" s="327"/>
    </row>
    <row r="147" ht="15.75" customHeight="1">
      <c r="B147" s="327"/>
      <c r="C147" s="327"/>
      <c r="D147" s="327"/>
      <c r="E147" s="327"/>
      <c r="F147" s="327"/>
      <c r="G147" s="327"/>
      <c r="H147" s="327"/>
      <c r="I147" s="327"/>
      <c r="J147" s="327"/>
      <c r="K147" s="327"/>
      <c r="L147" s="327"/>
      <c r="M147" s="327"/>
      <c r="N147" s="327"/>
      <c r="O147" s="327"/>
      <c r="P147" s="327"/>
    </row>
    <row r="148" ht="15.75" customHeight="1">
      <c r="B148" s="327"/>
      <c r="C148" s="327"/>
      <c r="D148" s="327"/>
      <c r="E148" s="327"/>
      <c r="F148" s="327"/>
      <c r="G148" s="327"/>
      <c r="H148" s="327"/>
      <c r="I148" s="327"/>
      <c r="J148" s="327"/>
      <c r="K148" s="327"/>
      <c r="L148" s="327"/>
      <c r="M148" s="327"/>
      <c r="N148" s="327"/>
      <c r="O148" s="327"/>
      <c r="P148" s="327"/>
    </row>
    <row r="149" ht="15.75" customHeight="1">
      <c r="B149" s="327"/>
      <c r="C149" s="327"/>
      <c r="D149" s="327"/>
      <c r="E149" s="327"/>
      <c r="F149" s="327"/>
      <c r="G149" s="327"/>
      <c r="H149" s="327"/>
      <c r="I149" s="327"/>
      <c r="J149" s="327"/>
      <c r="K149" s="327"/>
      <c r="L149" s="327"/>
      <c r="M149" s="327"/>
      <c r="N149" s="327"/>
      <c r="O149" s="327"/>
      <c r="P149" s="327"/>
    </row>
    <row r="150" ht="15.75" customHeight="1">
      <c r="B150" s="327"/>
      <c r="C150" s="327"/>
      <c r="D150" s="327"/>
      <c r="E150" s="327"/>
      <c r="F150" s="327"/>
      <c r="G150" s="327"/>
      <c r="H150" s="327"/>
      <c r="I150" s="327"/>
      <c r="J150" s="327"/>
      <c r="K150" s="327"/>
      <c r="L150" s="327"/>
      <c r="M150" s="327"/>
      <c r="N150" s="327"/>
      <c r="O150" s="327"/>
      <c r="P150" s="327"/>
    </row>
    <row r="151" ht="15.75" customHeight="1">
      <c r="B151" s="327"/>
      <c r="C151" s="327"/>
      <c r="D151" s="327"/>
      <c r="E151" s="327"/>
      <c r="F151" s="327"/>
      <c r="G151" s="327"/>
      <c r="H151" s="327"/>
      <c r="I151" s="327"/>
      <c r="J151" s="327"/>
      <c r="K151" s="327"/>
      <c r="L151" s="327"/>
      <c r="M151" s="327"/>
      <c r="N151" s="327"/>
      <c r="O151" s="327"/>
      <c r="P151" s="327"/>
    </row>
    <row r="152" ht="15.75" customHeight="1">
      <c r="B152" s="327"/>
      <c r="C152" s="327"/>
      <c r="D152" s="327"/>
      <c r="E152" s="327"/>
      <c r="F152" s="327"/>
      <c r="G152" s="327"/>
      <c r="H152" s="327"/>
      <c r="I152" s="327"/>
      <c r="J152" s="327"/>
      <c r="K152" s="327"/>
      <c r="L152" s="327"/>
      <c r="M152" s="327"/>
      <c r="N152" s="327"/>
      <c r="O152" s="327"/>
      <c r="P152" s="327"/>
    </row>
    <row r="153" ht="15.75" customHeight="1">
      <c r="B153" s="327"/>
      <c r="C153" s="327"/>
      <c r="D153" s="327"/>
      <c r="E153" s="327"/>
      <c r="F153" s="327"/>
      <c r="G153" s="327"/>
      <c r="H153" s="327"/>
      <c r="I153" s="327"/>
      <c r="J153" s="327"/>
      <c r="K153" s="327"/>
      <c r="L153" s="327"/>
      <c r="M153" s="327"/>
      <c r="N153" s="327"/>
      <c r="O153" s="327"/>
      <c r="P153" s="327"/>
    </row>
    <row r="154" ht="15.75" customHeight="1">
      <c r="B154" s="327"/>
      <c r="C154" s="327"/>
      <c r="D154" s="327"/>
      <c r="E154" s="327"/>
      <c r="F154" s="327"/>
      <c r="G154" s="327"/>
      <c r="H154" s="327"/>
      <c r="I154" s="327"/>
      <c r="J154" s="327"/>
      <c r="K154" s="327"/>
      <c r="L154" s="327"/>
      <c r="M154" s="327"/>
      <c r="N154" s="327"/>
      <c r="O154" s="327"/>
      <c r="P154" s="327"/>
    </row>
    <row r="155" ht="15.75" customHeight="1">
      <c r="B155" s="327"/>
      <c r="C155" s="327"/>
      <c r="D155" s="327"/>
      <c r="E155" s="327"/>
      <c r="F155" s="327"/>
      <c r="G155" s="327"/>
      <c r="H155" s="327"/>
      <c r="I155" s="327"/>
      <c r="J155" s="327"/>
      <c r="K155" s="327"/>
      <c r="L155" s="327"/>
      <c r="M155" s="327"/>
      <c r="N155" s="327"/>
      <c r="O155" s="327"/>
      <c r="P155" s="327"/>
    </row>
    <row r="156" ht="15.75" customHeight="1">
      <c r="B156" s="327"/>
      <c r="C156" s="327"/>
      <c r="D156" s="327"/>
      <c r="E156" s="327"/>
      <c r="F156" s="327"/>
      <c r="G156" s="327"/>
      <c r="H156" s="327"/>
      <c r="I156" s="327"/>
      <c r="J156" s="327"/>
      <c r="K156" s="327"/>
      <c r="L156" s="327"/>
      <c r="M156" s="327"/>
      <c r="N156" s="327"/>
      <c r="O156" s="327"/>
      <c r="P156" s="327"/>
    </row>
    <row r="157" ht="15.75" customHeight="1">
      <c r="B157" s="327"/>
      <c r="C157" s="327"/>
      <c r="D157" s="327"/>
      <c r="E157" s="327"/>
      <c r="F157" s="327"/>
      <c r="G157" s="327"/>
      <c r="H157" s="327"/>
      <c r="I157" s="327"/>
      <c r="J157" s="327"/>
      <c r="K157" s="327"/>
      <c r="L157" s="327"/>
      <c r="M157" s="327"/>
      <c r="N157" s="327"/>
      <c r="O157" s="327"/>
      <c r="P157" s="327"/>
    </row>
    <row r="158" ht="15.75" customHeight="1">
      <c r="B158" s="327"/>
      <c r="C158" s="327"/>
      <c r="D158" s="327"/>
      <c r="E158" s="327"/>
      <c r="F158" s="327"/>
      <c r="G158" s="327"/>
      <c r="H158" s="327"/>
      <c r="I158" s="327"/>
      <c r="J158" s="327"/>
      <c r="K158" s="327"/>
      <c r="L158" s="327"/>
      <c r="M158" s="327"/>
      <c r="N158" s="327"/>
      <c r="O158" s="327"/>
      <c r="P158" s="327"/>
    </row>
    <row r="159" ht="15.75" customHeight="1">
      <c r="B159" s="327"/>
      <c r="C159" s="327"/>
      <c r="D159" s="327"/>
      <c r="E159" s="327"/>
      <c r="F159" s="327"/>
      <c r="G159" s="327"/>
      <c r="H159" s="327"/>
      <c r="I159" s="327"/>
      <c r="J159" s="327"/>
      <c r="K159" s="327"/>
      <c r="L159" s="327"/>
      <c r="M159" s="327"/>
      <c r="N159" s="327"/>
      <c r="O159" s="327"/>
      <c r="P159" s="327"/>
    </row>
    <row r="160" ht="15.75" customHeight="1">
      <c r="B160" s="327"/>
      <c r="C160" s="327"/>
      <c r="D160" s="327"/>
      <c r="E160" s="327"/>
      <c r="F160" s="327"/>
      <c r="G160" s="327"/>
      <c r="H160" s="327"/>
      <c r="I160" s="327"/>
      <c r="J160" s="327"/>
      <c r="K160" s="327"/>
      <c r="L160" s="327"/>
      <c r="M160" s="327"/>
      <c r="N160" s="327"/>
      <c r="O160" s="327"/>
      <c r="P160" s="327"/>
    </row>
    <row r="161" ht="15.75" customHeight="1">
      <c r="B161" s="327"/>
      <c r="C161" s="327"/>
      <c r="D161" s="327"/>
      <c r="E161" s="327"/>
      <c r="F161" s="327"/>
      <c r="G161" s="327"/>
      <c r="H161" s="327"/>
      <c r="I161" s="327"/>
      <c r="J161" s="327"/>
      <c r="K161" s="327"/>
      <c r="L161" s="327"/>
      <c r="M161" s="327"/>
      <c r="N161" s="327"/>
      <c r="O161" s="327"/>
      <c r="P161" s="327"/>
    </row>
    <row r="162" ht="15.75" customHeight="1">
      <c r="B162" s="327"/>
      <c r="C162" s="327"/>
      <c r="D162" s="327"/>
      <c r="E162" s="327"/>
      <c r="F162" s="327"/>
      <c r="G162" s="327"/>
      <c r="H162" s="327"/>
      <c r="I162" s="327"/>
      <c r="J162" s="327"/>
      <c r="K162" s="327"/>
      <c r="L162" s="327"/>
      <c r="M162" s="327"/>
      <c r="N162" s="327"/>
      <c r="O162" s="327"/>
      <c r="P162" s="327"/>
    </row>
    <row r="163" ht="15.75" customHeight="1">
      <c r="B163" s="327"/>
      <c r="C163" s="327"/>
      <c r="D163" s="327"/>
      <c r="E163" s="327"/>
      <c r="F163" s="327"/>
      <c r="G163" s="327"/>
      <c r="H163" s="327"/>
      <c r="I163" s="327"/>
      <c r="J163" s="327"/>
      <c r="K163" s="327"/>
      <c r="L163" s="327"/>
      <c r="M163" s="327"/>
      <c r="N163" s="327"/>
      <c r="O163" s="327"/>
      <c r="P163" s="327"/>
    </row>
    <row r="164" ht="15.75" customHeight="1">
      <c r="B164" s="327"/>
      <c r="C164" s="327"/>
      <c r="D164" s="327"/>
      <c r="E164" s="327"/>
      <c r="F164" s="327"/>
      <c r="G164" s="327"/>
      <c r="H164" s="327"/>
      <c r="I164" s="327"/>
      <c r="J164" s="327"/>
      <c r="K164" s="327"/>
      <c r="L164" s="327"/>
      <c r="M164" s="327"/>
      <c r="N164" s="327"/>
      <c r="O164" s="327"/>
      <c r="P164" s="327"/>
    </row>
    <row r="165" ht="15.75" customHeight="1">
      <c r="B165" s="327"/>
      <c r="C165" s="327"/>
      <c r="D165" s="327"/>
      <c r="E165" s="327"/>
      <c r="F165" s="327"/>
      <c r="G165" s="327"/>
      <c r="H165" s="327"/>
      <c r="I165" s="327"/>
      <c r="J165" s="327"/>
      <c r="K165" s="327"/>
      <c r="L165" s="327"/>
      <c r="M165" s="327"/>
      <c r="N165" s="327"/>
      <c r="O165" s="327"/>
      <c r="P165" s="327"/>
    </row>
    <row r="166" ht="15.75" customHeight="1">
      <c r="B166" s="327"/>
      <c r="C166" s="327"/>
      <c r="D166" s="327"/>
      <c r="E166" s="327"/>
      <c r="F166" s="327"/>
      <c r="G166" s="327"/>
      <c r="H166" s="327"/>
      <c r="I166" s="327"/>
      <c r="J166" s="327"/>
      <c r="K166" s="327"/>
      <c r="L166" s="327"/>
      <c r="M166" s="327"/>
      <c r="N166" s="327"/>
      <c r="O166" s="327"/>
      <c r="P166" s="327"/>
    </row>
    <row r="167" ht="15.75" customHeight="1">
      <c r="B167" s="327"/>
      <c r="C167" s="327"/>
      <c r="D167" s="327"/>
      <c r="E167" s="327"/>
      <c r="F167" s="327"/>
      <c r="G167" s="327"/>
      <c r="H167" s="327"/>
      <c r="I167" s="327"/>
      <c r="J167" s="327"/>
      <c r="K167" s="327"/>
      <c r="L167" s="327"/>
      <c r="M167" s="327"/>
      <c r="N167" s="327"/>
      <c r="O167" s="327"/>
      <c r="P167" s="327"/>
    </row>
    <row r="168" ht="15.75" customHeight="1">
      <c r="B168" s="327"/>
      <c r="C168" s="327"/>
      <c r="D168" s="327"/>
      <c r="E168" s="327"/>
      <c r="F168" s="327"/>
      <c r="G168" s="327"/>
      <c r="H168" s="327"/>
      <c r="I168" s="327"/>
      <c r="J168" s="327"/>
      <c r="K168" s="327"/>
      <c r="L168" s="327"/>
      <c r="M168" s="327"/>
      <c r="N168" s="327"/>
      <c r="O168" s="327"/>
      <c r="P168" s="327"/>
    </row>
    <row r="169" ht="15.75" customHeight="1">
      <c r="B169" s="327"/>
      <c r="C169" s="327"/>
      <c r="D169" s="327"/>
      <c r="E169" s="327"/>
      <c r="F169" s="327"/>
      <c r="G169" s="327"/>
      <c r="H169" s="327"/>
      <c r="I169" s="327"/>
      <c r="J169" s="327"/>
      <c r="K169" s="327"/>
      <c r="L169" s="327"/>
      <c r="M169" s="327"/>
      <c r="N169" s="327"/>
      <c r="O169" s="327"/>
      <c r="P169" s="327"/>
    </row>
    <row r="170" ht="15.75" customHeight="1">
      <c r="B170" s="327"/>
      <c r="C170" s="327"/>
      <c r="D170" s="327"/>
      <c r="E170" s="327"/>
      <c r="F170" s="327"/>
      <c r="G170" s="327"/>
      <c r="H170" s="327"/>
      <c r="I170" s="327"/>
      <c r="J170" s="327"/>
      <c r="K170" s="327"/>
      <c r="L170" s="327"/>
      <c r="M170" s="327"/>
      <c r="N170" s="327"/>
      <c r="O170" s="327"/>
      <c r="P170" s="327"/>
    </row>
    <row r="171" ht="15.75" customHeight="1">
      <c r="B171" s="327"/>
      <c r="C171" s="327"/>
      <c r="D171" s="327"/>
      <c r="E171" s="327"/>
      <c r="F171" s="327"/>
      <c r="G171" s="327"/>
      <c r="H171" s="327"/>
      <c r="I171" s="327"/>
      <c r="J171" s="327"/>
      <c r="K171" s="327"/>
      <c r="L171" s="327"/>
      <c r="M171" s="327"/>
      <c r="N171" s="327"/>
      <c r="O171" s="327"/>
      <c r="P171" s="327"/>
    </row>
    <row r="172" ht="15.75" customHeight="1">
      <c r="B172" s="327"/>
      <c r="C172" s="327"/>
      <c r="D172" s="327"/>
      <c r="E172" s="327"/>
      <c r="F172" s="327"/>
      <c r="G172" s="327"/>
      <c r="H172" s="327"/>
      <c r="I172" s="327"/>
      <c r="J172" s="327"/>
      <c r="K172" s="327"/>
      <c r="L172" s="327"/>
      <c r="M172" s="327"/>
      <c r="N172" s="327"/>
      <c r="O172" s="327"/>
      <c r="P172" s="327"/>
    </row>
    <row r="173" ht="15.75" customHeight="1">
      <c r="B173" s="327"/>
      <c r="C173" s="327"/>
      <c r="D173" s="327"/>
      <c r="E173" s="327"/>
      <c r="F173" s="327"/>
      <c r="G173" s="327"/>
      <c r="H173" s="327"/>
      <c r="I173" s="327"/>
      <c r="J173" s="327"/>
      <c r="K173" s="327"/>
      <c r="L173" s="327"/>
      <c r="M173" s="327"/>
      <c r="N173" s="327"/>
      <c r="O173" s="327"/>
      <c r="P173" s="327"/>
    </row>
    <row r="174" ht="15.75" customHeight="1">
      <c r="B174" s="327"/>
      <c r="C174" s="327"/>
      <c r="D174" s="327"/>
      <c r="E174" s="327"/>
      <c r="F174" s="327"/>
      <c r="G174" s="327"/>
      <c r="H174" s="327"/>
      <c r="I174" s="327"/>
      <c r="J174" s="327"/>
      <c r="K174" s="327"/>
      <c r="L174" s="327"/>
      <c r="M174" s="327"/>
      <c r="N174" s="327"/>
      <c r="O174" s="327"/>
      <c r="P174" s="327"/>
    </row>
    <row r="175" ht="15.75" customHeight="1">
      <c r="B175" s="327"/>
      <c r="C175" s="327"/>
      <c r="D175" s="327"/>
      <c r="E175" s="327"/>
      <c r="F175" s="327"/>
      <c r="G175" s="327"/>
      <c r="H175" s="327"/>
      <c r="I175" s="327"/>
      <c r="J175" s="327"/>
      <c r="K175" s="327"/>
      <c r="L175" s="327"/>
      <c r="M175" s="327"/>
      <c r="N175" s="327"/>
      <c r="O175" s="327"/>
      <c r="P175" s="327"/>
    </row>
    <row r="176" ht="15.75" customHeight="1">
      <c r="B176" s="327"/>
      <c r="C176" s="327"/>
      <c r="D176" s="327"/>
      <c r="E176" s="327"/>
      <c r="F176" s="327"/>
      <c r="G176" s="327"/>
      <c r="H176" s="327"/>
      <c r="I176" s="327"/>
      <c r="J176" s="327"/>
      <c r="K176" s="327"/>
      <c r="L176" s="327"/>
      <c r="M176" s="327"/>
      <c r="N176" s="327"/>
      <c r="O176" s="327"/>
      <c r="P176" s="327"/>
    </row>
    <row r="177" ht="15.75" customHeight="1">
      <c r="B177" s="327"/>
      <c r="C177" s="327"/>
      <c r="D177" s="327"/>
      <c r="E177" s="327"/>
      <c r="F177" s="327"/>
      <c r="G177" s="327"/>
      <c r="H177" s="327"/>
      <c r="I177" s="327"/>
      <c r="J177" s="327"/>
      <c r="K177" s="327"/>
      <c r="L177" s="327"/>
      <c r="M177" s="327"/>
      <c r="N177" s="327"/>
      <c r="O177" s="327"/>
      <c r="P177" s="327"/>
    </row>
    <row r="178" ht="15.75" customHeight="1">
      <c r="B178" s="327"/>
      <c r="C178" s="327"/>
      <c r="D178" s="327"/>
      <c r="E178" s="327"/>
      <c r="F178" s="327"/>
      <c r="G178" s="327"/>
      <c r="H178" s="327"/>
      <c r="I178" s="327"/>
      <c r="J178" s="327"/>
      <c r="K178" s="327"/>
      <c r="L178" s="327"/>
      <c r="M178" s="327"/>
      <c r="N178" s="327"/>
      <c r="O178" s="327"/>
      <c r="P178" s="327"/>
    </row>
    <row r="179" ht="15.75" customHeight="1">
      <c r="B179" s="327"/>
      <c r="C179" s="327"/>
      <c r="D179" s="327"/>
      <c r="E179" s="327"/>
      <c r="F179" s="327"/>
      <c r="G179" s="327"/>
      <c r="H179" s="327"/>
      <c r="I179" s="327"/>
      <c r="J179" s="327"/>
      <c r="K179" s="327"/>
      <c r="L179" s="327"/>
      <c r="M179" s="327"/>
      <c r="N179" s="327"/>
      <c r="O179" s="327"/>
      <c r="P179" s="327"/>
    </row>
    <row r="180" ht="15.75" customHeight="1">
      <c r="B180" s="327"/>
      <c r="C180" s="327"/>
      <c r="D180" s="327"/>
      <c r="E180" s="327"/>
      <c r="F180" s="327"/>
      <c r="G180" s="327"/>
      <c r="H180" s="327"/>
      <c r="I180" s="327"/>
      <c r="J180" s="327"/>
      <c r="K180" s="327"/>
      <c r="L180" s="327"/>
      <c r="M180" s="327"/>
      <c r="N180" s="327"/>
      <c r="O180" s="327"/>
      <c r="P180" s="327"/>
    </row>
    <row r="181" ht="15.75" customHeight="1">
      <c r="B181" s="327"/>
      <c r="C181" s="327"/>
      <c r="D181" s="327"/>
      <c r="E181" s="327"/>
      <c r="F181" s="327"/>
      <c r="G181" s="327"/>
      <c r="H181" s="327"/>
      <c r="I181" s="327"/>
      <c r="J181" s="327"/>
      <c r="K181" s="327"/>
      <c r="L181" s="327"/>
      <c r="M181" s="327"/>
      <c r="N181" s="327"/>
      <c r="O181" s="327"/>
      <c r="P181" s="327"/>
    </row>
    <row r="182" ht="15.75" customHeight="1">
      <c r="B182" s="327"/>
      <c r="C182" s="327"/>
      <c r="D182" s="327"/>
      <c r="E182" s="327"/>
      <c r="F182" s="327"/>
      <c r="G182" s="327"/>
      <c r="H182" s="327"/>
      <c r="I182" s="327"/>
      <c r="J182" s="327"/>
      <c r="K182" s="327"/>
      <c r="L182" s="327"/>
      <c r="M182" s="327"/>
      <c r="N182" s="327"/>
      <c r="O182" s="327"/>
      <c r="P182" s="327"/>
    </row>
    <row r="183" ht="15.75" customHeight="1">
      <c r="B183" s="327"/>
      <c r="C183" s="327"/>
      <c r="D183" s="327"/>
      <c r="E183" s="327"/>
      <c r="F183" s="327"/>
      <c r="G183" s="327"/>
      <c r="H183" s="327"/>
      <c r="I183" s="327"/>
      <c r="J183" s="327"/>
      <c r="K183" s="327"/>
      <c r="L183" s="327"/>
      <c r="M183" s="327"/>
      <c r="N183" s="327"/>
      <c r="O183" s="327"/>
      <c r="P183" s="327"/>
    </row>
    <row r="184" ht="15.75" customHeight="1">
      <c r="B184" s="327"/>
      <c r="C184" s="327"/>
      <c r="D184" s="327"/>
      <c r="E184" s="327"/>
      <c r="F184" s="327"/>
      <c r="G184" s="327"/>
      <c r="H184" s="327"/>
      <c r="I184" s="327"/>
      <c r="J184" s="327"/>
      <c r="K184" s="327"/>
      <c r="L184" s="327"/>
      <c r="M184" s="327"/>
      <c r="N184" s="327"/>
      <c r="O184" s="327"/>
      <c r="P184" s="327"/>
    </row>
    <row r="185" ht="15.75" customHeight="1">
      <c r="B185" s="327"/>
      <c r="C185" s="327"/>
      <c r="D185" s="327"/>
      <c r="E185" s="327"/>
      <c r="F185" s="327"/>
      <c r="G185" s="327"/>
      <c r="H185" s="327"/>
      <c r="I185" s="327"/>
      <c r="J185" s="327"/>
      <c r="K185" s="327"/>
      <c r="L185" s="327"/>
      <c r="M185" s="327"/>
      <c r="N185" s="327"/>
      <c r="O185" s="327"/>
      <c r="P185" s="327"/>
    </row>
    <row r="186" ht="15.75" customHeight="1">
      <c r="B186" s="327"/>
      <c r="C186" s="327"/>
      <c r="D186" s="327"/>
      <c r="E186" s="327"/>
      <c r="F186" s="327"/>
      <c r="G186" s="327"/>
      <c r="H186" s="327"/>
      <c r="I186" s="327"/>
      <c r="J186" s="327"/>
      <c r="K186" s="327"/>
      <c r="L186" s="327"/>
      <c r="M186" s="327"/>
      <c r="N186" s="327"/>
      <c r="O186" s="327"/>
      <c r="P186" s="327"/>
    </row>
    <row r="187" ht="15.75" customHeight="1">
      <c r="B187" s="327"/>
      <c r="C187" s="327"/>
      <c r="D187" s="327"/>
      <c r="E187" s="327"/>
      <c r="F187" s="327"/>
      <c r="G187" s="327"/>
      <c r="H187" s="327"/>
      <c r="I187" s="327"/>
      <c r="J187" s="327"/>
      <c r="K187" s="327"/>
      <c r="L187" s="327"/>
      <c r="M187" s="327"/>
      <c r="N187" s="327"/>
      <c r="O187" s="327"/>
      <c r="P187" s="327"/>
    </row>
    <row r="188" ht="15.75" customHeight="1">
      <c r="B188" s="327"/>
      <c r="C188" s="327"/>
      <c r="D188" s="327"/>
      <c r="E188" s="327"/>
      <c r="F188" s="327"/>
      <c r="G188" s="327"/>
      <c r="H188" s="327"/>
      <c r="I188" s="327"/>
      <c r="J188" s="327"/>
      <c r="K188" s="327"/>
      <c r="L188" s="327"/>
      <c r="M188" s="327"/>
      <c r="N188" s="327"/>
      <c r="O188" s="327"/>
      <c r="P188" s="327"/>
    </row>
    <row r="189" ht="15.75" customHeight="1">
      <c r="B189" s="327"/>
      <c r="C189" s="327"/>
      <c r="D189" s="327"/>
      <c r="E189" s="327"/>
      <c r="F189" s="327"/>
      <c r="G189" s="327"/>
      <c r="H189" s="327"/>
      <c r="I189" s="327"/>
      <c r="J189" s="327"/>
      <c r="K189" s="327"/>
      <c r="L189" s="327"/>
      <c r="M189" s="327"/>
      <c r="N189" s="327"/>
      <c r="O189" s="327"/>
      <c r="P189" s="327"/>
    </row>
    <row r="190" ht="15.75" customHeight="1">
      <c r="B190" s="327"/>
      <c r="C190" s="327"/>
      <c r="D190" s="327"/>
      <c r="E190" s="327"/>
      <c r="F190" s="327"/>
      <c r="G190" s="327"/>
      <c r="H190" s="327"/>
      <c r="I190" s="327"/>
      <c r="J190" s="327"/>
      <c r="K190" s="327"/>
      <c r="L190" s="327"/>
      <c r="M190" s="327"/>
      <c r="N190" s="327"/>
      <c r="O190" s="327"/>
      <c r="P190" s="327"/>
    </row>
    <row r="191" ht="15.75" customHeight="1">
      <c r="B191" s="327"/>
      <c r="C191" s="327"/>
      <c r="D191" s="327"/>
      <c r="E191" s="327"/>
      <c r="F191" s="327"/>
      <c r="G191" s="327"/>
      <c r="H191" s="327"/>
      <c r="I191" s="327"/>
      <c r="J191" s="327"/>
      <c r="K191" s="327"/>
      <c r="L191" s="327"/>
      <c r="M191" s="327"/>
      <c r="N191" s="327"/>
      <c r="O191" s="327"/>
      <c r="P191" s="327"/>
    </row>
    <row r="192" ht="15.75" customHeight="1">
      <c r="B192" s="327"/>
      <c r="C192" s="327"/>
      <c r="D192" s="327"/>
      <c r="E192" s="327"/>
      <c r="F192" s="327"/>
      <c r="G192" s="327"/>
      <c r="H192" s="327"/>
      <c r="I192" s="327"/>
      <c r="J192" s="327"/>
      <c r="K192" s="327"/>
      <c r="L192" s="327"/>
      <c r="M192" s="327"/>
      <c r="N192" s="327"/>
      <c r="O192" s="327"/>
      <c r="P192" s="327"/>
    </row>
    <row r="193" ht="15.75" customHeight="1">
      <c r="B193" s="327"/>
      <c r="C193" s="327"/>
      <c r="D193" s="327"/>
      <c r="E193" s="327"/>
      <c r="F193" s="327"/>
      <c r="G193" s="327"/>
      <c r="H193" s="327"/>
      <c r="I193" s="327"/>
      <c r="J193" s="327"/>
      <c r="K193" s="327"/>
      <c r="L193" s="327"/>
      <c r="M193" s="327"/>
      <c r="N193" s="327"/>
      <c r="O193" s="327"/>
      <c r="P193" s="327"/>
    </row>
    <row r="194" ht="15.75" customHeight="1">
      <c r="B194" s="327"/>
      <c r="C194" s="327"/>
      <c r="D194" s="327"/>
      <c r="E194" s="327"/>
      <c r="F194" s="327"/>
      <c r="G194" s="327"/>
      <c r="H194" s="327"/>
      <c r="I194" s="327"/>
      <c r="J194" s="327"/>
      <c r="K194" s="327"/>
      <c r="L194" s="327"/>
      <c r="M194" s="327"/>
      <c r="N194" s="327"/>
      <c r="O194" s="327"/>
      <c r="P194" s="327"/>
    </row>
    <row r="195" ht="15.75" customHeight="1">
      <c r="B195" s="327"/>
      <c r="C195" s="327"/>
      <c r="D195" s="327"/>
      <c r="E195" s="327"/>
      <c r="F195" s="327"/>
      <c r="G195" s="327"/>
      <c r="H195" s="327"/>
      <c r="I195" s="327"/>
      <c r="J195" s="327"/>
      <c r="K195" s="327"/>
      <c r="L195" s="327"/>
      <c r="M195" s="327"/>
      <c r="N195" s="327"/>
      <c r="O195" s="327"/>
      <c r="P195" s="327"/>
    </row>
    <row r="196" ht="15.75" customHeight="1">
      <c r="B196" s="327"/>
      <c r="C196" s="327"/>
      <c r="D196" s="327"/>
      <c r="E196" s="327"/>
      <c r="F196" s="327"/>
      <c r="G196" s="327"/>
      <c r="H196" s="327"/>
      <c r="I196" s="327"/>
      <c r="J196" s="327"/>
      <c r="K196" s="327"/>
      <c r="L196" s="327"/>
      <c r="M196" s="327"/>
      <c r="N196" s="327"/>
      <c r="O196" s="327"/>
      <c r="P196" s="327"/>
    </row>
    <row r="197" ht="15.75" customHeight="1">
      <c r="B197" s="327"/>
      <c r="C197" s="327"/>
      <c r="D197" s="327"/>
      <c r="E197" s="327"/>
      <c r="F197" s="327"/>
      <c r="G197" s="327"/>
      <c r="H197" s="327"/>
      <c r="I197" s="327"/>
      <c r="J197" s="327"/>
      <c r="K197" s="327"/>
      <c r="L197" s="327"/>
      <c r="M197" s="327"/>
      <c r="N197" s="327"/>
      <c r="O197" s="327"/>
      <c r="P197" s="327"/>
    </row>
    <row r="198" ht="15.75" customHeight="1">
      <c r="B198" s="327"/>
      <c r="C198" s="327"/>
      <c r="D198" s="327"/>
      <c r="E198" s="327"/>
      <c r="F198" s="327"/>
      <c r="G198" s="327"/>
      <c r="H198" s="327"/>
      <c r="I198" s="327"/>
      <c r="J198" s="327"/>
      <c r="K198" s="327"/>
      <c r="L198" s="327"/>
      <c r="M198" s="327"/>
      <c r="N198" s="327"/>
      <c r="O198" s="327"/>
      <c r="P198" s="327"/>
    </row>
    <row r="199" ht="15.75" customHeight="1">
      <c r="B199" s="327"/>
      <c r="C199" s="327"/>
      <c r="D199" s="327"/>
      <c r="E199" s="327"/>
      <c r="F199" s="327"/>
      <c r="G199" s="327"/>
      <c r="H199" s="327"/>
      <c r="I199" s="327"/>
      <c r="J199" s="327"/>
      <c r="K199" s="327"/>
      <c r="L199" s="327"/>
      <c r="M199" s="327"/>
      <c r="N199" s="327"/>
      <c r="O199" s="327"/>
      <c r="P199" s="327"/>
    </row>
    <row r="200" ht="15.75" customHeight="1">
      <c r="B200" s="327"/>
      <c r="C200" s="327"/>
      <c r="D200" s="327"/>
      <c r="E200" s="327"/>
      <c r="F200" s="327"/>
      <c r="G200" s="327"/>
      <c r="H200" s="327"/>
      <c r="I200" s="327"/>
      <c r="J200" s="327"/>
      <c r="K200" s="327"/>
      <c r="L200" s="327"/>
      <c r="M200" s="327"/>
      <c r="N200" s="327"/>
      <c r="O200" s="327"/>
      <c r="P200" s="327"/>
    </row>
    <row r="201" ht="15.75" customHeight="1">
      <c r="B201" s="327"/>
      <c r="C201" s="327"/>
      <c r="D201" s="327"/>
      <c r="E201" s="327"/>
      <c r="F201" s="327"/>
      <c r="G201" s="327"/>
      <c r="H201" s="327"/>
      <c r="I201" s="327"/>
      <c r="J201" s="327"/>
      <c r="K201" s="327"/>
      <c r="L201" s="327"/>
      <c r="M201" s="327"/>
      <c r="N201" s="327"/>
      <c r="O201" s="327"/>
      <c r="P201" s="327"/>
    </row>
    <row r="202" ht="15.75" customHeight="1">
      <c r="B202" s="327"/>
      <c r="C202" s="327"/>
      <c r="D202" s="327"/>
      <c r="E202" s="327"/>
      <c r="F202" s="327"/>
      <c r="G202" s="327"/>
      <c r="H202" s="327"/>
      <c r="I202" s="327"/>
      <c r="J202" s="327"/>
      <c r="K202" s="327"/>
      <c r="L202" s="327"/>
      <c r="M202" s="327"/>
      <c r="N202" s="327"/>
      <c r="O202" s="327"/>
      <c r="P202" s="327"/>
    </row>
    <row r="203" ht="15.75" customHeight="1">
      <c r="B203" s="327"/>
      <c r="C203" s="327"/>
      <c r="D203" s="327"/>
      <c r="E203" s="327"/>
      <c r="F203" s="327"/>
      <c r="G203" s="327"/>
      <c r="H203" s="327"/>
      <c r="I203" s="327"/>
      <c r="J203" s="327"/>
      <c r="K203" s="327"/>
      <c r="L203" s="327"/>
      <c r="M203" s="327"/>
      <c r="N203" s="327"/>
      <c r="O203" s="327"/>
      <c r="P203" s="327"/>
    </row>
    <row r="204" ht="15.75" customHeight="1">
      <c r="B204" s="327"/>
      <c r="C204" s="327"/>
      <c r="D204" s="327"/>
      <c r="E204" s="327"/>
      <c r="F204" s="327"/>
      <c r="G204" s="327"/>
      <c r="H204" s="327"/>
      <c r="I204" s="327"/>
      <c r="J204" s="327"/>
      <c r="K204" s="327"/>
      <c r="L204" s="327"/>
      <c r="M204" s="327"/>
      <c r="N204" s="327"/>
      <c r="O204" s="327"/>
      <c r="P204" s="327"/>
    </row>
    <row r="205" ht="15.75" customHeight="1">
      <c r="B205" s="327"/>
      <c r="C205" s="327"/>
      <c r="D205" s="327"/>
      <c r="E205" s="327"/>
      <c r="F205" s="327"/>
      <c r="G205" s="327"/>
      <c r="H205" s="327"/>
      <c r="I205" s="327"/>
      <c r="J205" s="327"/>
      <c r="K205" s="327"/>
      <c r="L205" s="327"/>
      <c r="M205" s="327"/>
      <c r="N205" s="327"/>
      <c r="O205" s="327"/>
      <c r="P205" s="327"/>
    </row>
    <row r="206" ht="15.75" customHeight="1">
      <c r="B206" s="327"/>
      <c r="C206" s="327"/>
      <c r="D206" s="327"/>
      <c r="E206" s="327"/>
      <c r="F206" s="327"/>
      <c r="G206" s="327"/>
      <c r="H206" s="327"/>
      <c r="I206" s="327"/>
      <c r="J206" s="327"/>
      <c r="K206" s="327"/>
      <c r="L206" s="327"/>
      <c r="M206" s="327"/>
      <c r="N206" s="327"/>
      <c r="O206" s="327"/>
      <c r="P206" s="327"/>
    </row>
    <row r="207" ht="15.75" customHeight="1">
      <c r="B207" s="327"/>
      <c r="C207" s="327"/>
      <c r="D207" s="327"/>
      <c r="E207" s="327"/>
      <c r="F207" s="327"/>
      <c r="G207" s="327"/>
      <c r="H207" s="327"/>
      <c r="I207" s="327"/>
      <c r="J207" s="327"/>
      <c r="K207" s="327"/>
      <c r="L207" s="327"/>
      <c r="M207" s="327"/>
      <c r="N207" s="327"/>
      <c r="O207" s="327"/>
      <c r="P207" s="327"/>
    </row>
    <row r="208" ht="15.75" customHeight="1">
      <c r="B208" s="327"/>
      <c r="C208" s="327"/>
      <c r="D208" s="327"/>
      <c r="E208" s="327"/>
      <c r="F208" s="327"/>
      <c r="G208" s="327"/>
      <c r="H208" s="327"/>
      <c r="I208" s="327"/>
      <c r="J208" s="327"/>
      <c r="K208" s="327"/>
      <c r="L208" s="327"/>
      <c r="M208" s="327"/>
      <c r="N208" s="327"/>
      <c r="O208" s="327"/>
      <c r="P208" s="327"/>
    </row>
    <row r="209" ht="15.75" customHeight="1">
      <c r="B209" s="327"/>
      <c r="C209" s="327"/>
      <c r="D209" s="327"/>
      <c r="E209" s="327"/>
      <c r="F209" s="327"/>
      <c r="G209" s="327"/>
      <c r="H209" s="327"/>
      <c r="I209" s="327"/>
      <c r="J209" s="327"/>
      <c r="K209" s="327"/>
      <c r="L209" s="327"/>
      <c r="M209" s="327"/>
      <c r="N209" s="327"/>
      <c r="O209" s="327"/>
      <c r="P209" s="327"/>
    </row>
    <row r="210" ht="15.75" customHeight="1">
      <c r="B210" s="327"/>
      <c r="C210" s="327"/>
      <c r="D210" s="327"/>
      <c r="E210" s="327"/>
      <c r="F210" s="327"/>
      <c r="G210" s="327"/>
      <c r="H210" s="327"/>
      <c r="I210" s="327"/>
      <c r="J210" s="327"/>
      <c r="K210" s="327"/>
      <c r="L210" s="327"/>
      <c r="M210" s="327"/>
      <c r="N210" s="327"/>
      <c r="O210" s="327"/>
      <c r="P210" s="327"/>
    </row>
    <row r="211" ht="15.75" customHeight="1">
      <c r="B211" s="327"/>
      <c r="C211" s="327"/>
      <c r="D211" s="327"/>
      <c r="E211" s="327"/>
      <c r="F211" s="327"/>
      <c r="G211" s="327"/>
      <c r="H211" s="327"/>
      <c r="I211" s="327"/>
      <c r="J211" s="327"/>
      <c r="K211" s="327"/>
      <c r="L211" s="327"/>
      <c r="M211" s="327"/>
      <c r="N211" s="327"/>
      <c r="O211" s="327"/>
      <c r="P211" s="327"/>
    </row>
    <row r="212" ht="15.75" customHeight="1">
      <c r="B212" s="327"/>
      <c r="C212" s="327"/>
      <c r="D212" s="327"/>
      <c r="E212" s="327"/>
      <c r="F212" s="327"/>
      <c r="G212" s="327"/>
      <c r="H212" s="327"/>
      <c r="I212" s="327"/>
      <c r="J212" s="327"/>
      <c r="K212" s="327"/>
      <c r="L212" s="327"/>
      <c r="M212" s="327"/>
      <c r="N212" s="327"/>
      <c r="O212" s="327"/>
      <c r="P212" s="327"/>
    </row>
    <row r="213" ht="15.75" customHeight="1">
      <c r="B213" s="327"/>
      <c r="C213" s="327"/>
      <c r="D213" s="327"/>
      <c r="E213" s="327"/>
      <c r="F213" s="327"/>
      <c r="G213" s="327"/>
      <c r="H213" s="327"/>
      <c r="I213" s="327"/>
      <c r="J213" s="327"/>
      <c r="K213" s="327"/>
      <c r="L213" s="327"/>
      <c r="M213" s="327"/>
      <c r="N213" s="327"/>
      <c r="O213" s="327"/>
      <c r="P213" s="327"/>
    </row>
    <row r="214" ht="15.75" customHeight="1">
      <c r="B214" s="327"/>
      <c r="C214" s="327"/>
      <c r="D214" s="327"/>
      <c r="E214" s="327"/>
      <c r="F214" s="327"/>
      <c r="G214" s="327"/>
      <c r="H214" s="327"/>
      <c r="I214" s="327"/>
      <c r="J214" s="327"/>
      <c r="K214" s="327"/>
      <c r="L214" s="327"/>
      <c r="M214" s="327"/>
      <c r="N214" s="327"/>
      <c r="O214" s="327"/>
      <c r="P214" s="327"/>
    </row>
    <row r="215" ht="15.75" customHeight="1">
      <c r="B215" s="327"/>
      <c r="C215" s="327"/>
      <c r="D215" s="327"/>
      <c r="E215" s="327"/>
      <c r="F215" s="327"/>
      <c r="G215" s="327"/>
      <c r="H215" s="327"/>
      <c r="I215" s="327"/>
      <c r="J215" s="327"/>
      <c r="K215" s="327"/>
      <c r="L215" s="327"/>
      <c r="M215" s="327"/>
      <c r="N215" s="327"/>
      <c r="O215" s="327"/>
      <c r="P215" s="327"/>
    </row>
    <row r="216" ht="15.75" customHeight="1">
      <c r="B216" s="327"/>
      <c r="C216" s="327"/>
      <c r="D216" s="327"/>
      <c r="E216" s="327"/>
      <c r="F216" s="327"/>
      <c r="G216" s="327"/>
      <c r="H216" s="327"/>
      <c r="I216" s="327"/>
      <c r="J216" s="327"/>
      <c r="K216" s="327"/>
      <c r="L216" s="327"/>
      <c r="M216" s="327"/>
      <c r="N216" s="327"/>
      <c r="O216" s="327"/>
      <c r="P216" s="327"/>
    </row>
    <row r="217" ht="15.75" customHeight="1">
      <c r="B217" s="327"/>
      <c r="C217" s="327"/>
      <c r="D217" s="327"/>
      <c r="E217" s="327"/>
      <c r="F217" s="327"/>
      <c r="G217" s="327"/>
      <c r="H217" s="327"/>
      <c r="I217" s="327"/>
      <c r="J217" s="327"/>
      <c r="K217" s="327"/>
      <c r="L217" s="327"/>
      <c r="M217" s="327"/>
      <c r="N217" s="327"/>
      <c r="O217" s="327"/>
      <c r="P217" s="327"/>
    </row>
    <row r="218" ht="15.75" customHeight="1">
      <c r="B218" s="327"/>
      <c r="C218" s="327"/>
      <c r="D218" s="327"/>
      <c r="E218" s="327"/>
      <c r="F218" s="327"/>
      <c r="G218" s="327"/>
      <c r="H218" s="327"/>
      <c r="I218" s="327"/>
      <c r="J218" s="327"/>
      <c r="K218" s="327"/>
      <c r="L218" s="327"/>
      <c r="M218" s="327"/>
      <c r="N218" s="327"/>
      <c r="O218" s="327"/>
      <c r="P218" s="327"/>
    </row>
    <row r="219" ht="15.75" customHeight="1">
      <c r="B219" s="327"/>
      <c r="C219" s="327"/>
      <c r="D219" s="327"/>
      <c r="E219" s="327"/>
      <c r="F219" s="327"/>
      <c r="G219" s="327"/>
      <c r="H219" s="327"/>
      <c r="I219" s="327"/>
      <c r="J219" s="327"/>
      <c r="K219" s="327"/>
      <c r="L219" s="327"/>
      <c r="M219" s="327"/>
      <c r="N219" s="327"/>
      <c r="O219" s="327"/>
      <c r="P219" s="327"/>
    </row>
    <row r="220" ht="15.75" customHeight="1">
      <c r="B220" s="327"/>
      <c r="C220" s="327"/>
      <c r="D220" s="327"/>
      <c r="E220" s="327"/>
      <c r="F220" s="327"/>
      <c r="G220" s="327"/>
      <c r="H220" s="327"/>
      <c r="I220" s="327"/>
      <c r="J220" s="327"/>
      <c r="K220" s="327"/>
      <c r="L220" s="327"/>
      <c r="M220" s="327"/>
      <c r="N220" s="327"/>
      <c r="O220" s="327"/>
      <c r="P220" s="327"/>
    </row>
    <row r="221" ht="15.75" customHeight="1">
      <c r="B221" s="327"/>
      <c r="C221" s="327"/>
      <c r="D221" s="327"/>
      <c r="E221" s="327"/>
      <c r="F221" s="327"/>
      <c r="G221" s="327"/>
      <c r="H221" s="327"/>
      <c r="I221" s="327"/>
      <c r="J221" s="327"/>
      <c r="K221" s="327"/>
      <c r="L221" s="327"/>
      <c r="M221" s="327"/>
      <c r="N221" s="327"/>
      <c r="O221" s="327"/>
      <c r="P221" s="327"/>
    </row>
    <row r="222" ht="15.75" customHeight="1">
      <c r="B222" s="327"/>
      <c r="C222" s="327"/>
      <c r="D222" s="327"/>
      <c r="E222" s="327"/>
      <c r="F222" s="327"/>
      <c r="G222" s="327"/>
      <c r="H222" s="327"/>
      <c r="I222" s="327"/>
      <c r="J222" s="327"/>
      <c r="K222" s="327"/>
      <c r="L222" s="327"/>
      <c r="M222" s="327"/>
      <c r="N222" s="327"/>
      <c r="O222" s="327"/>
      <c r="P222" s="327"/>
    </row>
    <row r="223" ht="15.75" customHeight="1">
      <c r="B223" s="327"/>
      <c r="C223" s="327"/>
      <c r="D223" s="327"/>
      <c r="E223" s="327"/>
      <c r="F223" s="327"/>
      <c r="G223" s="327"/>
      <c r="H223" s="327"/>
      <c r="I223" s="327"/>
      <c r="J223" s="327"/>
      <c r="K223" s="327"/>
      <c r="L223" s="327"/>
      <c r="M223" s="327"/>
      <c r="N223" s="327"/>
      <c r="O223" s="327"/>
      <c r="P223" s="327"/>
    </row>
    <row r="224" ht="15.75" customHeight="1">
      <c r="B224" s="327"/>
      <c r="C224" s="327"/>
      <c r="D224" s="327"/>
      <c r="E224" s="327"/>
      <c r="F224" s="327"/>
      <c r="G224" s="327"/>
      <c r="H224" s="327"/>
      <c r="I224" s="327"/>
      <c r="J224" s="327"/>
      <c r="K224" s="327"/>
      <c r="L224" s="327"/>
      <c r="M224" s="327"/>
      <c r="N224" s="327"/>
      <c r="O224" s="327"/>
      <c r="P224" s="327"/>
    </row>
    <row r="225" ht="15.75" customHeight="1">
      <c r="B225" s="327"/>
      <c r="C225" s="327"/>
      <c r="D225" s="327"/>
      <c r="E225" s="327"/>
      <c r="F225" s="327"/>
      <c r="G225" s="327"/>
      <c r="H225" s="327"/>
      <c r="I225" s="327"/>
      <c r="J225" s="327"/>
      <c r="K225" s="327"/>
      <c r="L225" s="327"/>
      <c r="M225" s="327"/>
      <c r="N225" s="327"/>
      <c r="O225" s="327"/>
      <c r="P225" s="327"/>
    </row>
    <row r="226" ht="15.75" customHeight="1">
      <c r="B226" s="327"/>
      <c r="C226" s="327"/>
      <c r="D226" s="327"/>
      <c r="E226" s="327"/>
      <c r="F226" s="327"/>
      <c r="G226" s="327"/>
      <c r="H226" s="327"/>
      <c r="I226" s="327"/>
      <c r="J226" s="327"/>
      <c r="K226" s="327"/>
      <c r="L226" s="327"/>
      <c r="M226" s="327"/>
      <c r="N226" s="327"/>
      <c r="O226" s="327"/>
      <c r="P226" s="327"/>
    </row>
    <row r="227" ht="15.75" customHeight="1">
      <c r="B227" s="327"/>
      <c r="C227" s="327"/>
      <c r="D227" s="327"/>
      <c r="E227" s="327"/>
      <c r="F227" s="327"/>
      <c r="G227" s="327"/>
      <c r="H227" s="327"/>
      <c r="I227" s="327"/>
      <c r="J227" s="327"/>
      <c r="K227" s="327"/>
      <c r="L227" s="327"/>
      <c r="M227" s="327"/>
      <c r="N227" s="327"/>
      <c r="O227" s="327"/>
      <c r="P227" s="327"/>
    </row>
    <row r="228" ht="15.75" customHeight="1">
      <c r="B228" s="327"/>
      <c r="C228" s="327"/>
      <c r="D228" s="327"/>
      <c r="E228" s="327"/>
      <c r="F228" s="327"/>
      <c r="G228" s="327"/>
      <c r="H228" s="327"/>
      <c r="I228" s="327"/>
      <c r="J228" s="327"/>
      <c r="K228" s="327"/>
      <c r="L228" s="327"/>
      <c r="M228" s="327"/>
      <c r="N228" s="327"/>
      <c r="O228" s="327"/>
      <c r="P228" s="327"/>
    </row>
    <row r="229" ht="15.75" customHeight="1">
      <c r="B229" s="327"/>
      <c r="C229" s="327"/>
      <c r="D229" s="327"/>
      <c r="E229" s="327"/>
      <c r="F229" s="327"/>
      <c r="G229" s="327"/>
      <c r="H229" s="327"/>
      <c r="I229" s="327"/>
      <c r="J229" s="327"/>
      <c r="K229" s="327"/>
      <c r="L229" s="327"/>
      <c r="M229" s="327"/>
      <c r="N229" s="327"/>
      <c r="O229" s="327"/>
      <c r="P229" s="327"/>
    </row>
    <row r="230" ht="15.75" customHeight="1">
      <c r="B230" s="327"/>
      <c r="C230" s="327"/>
      <c r="D230" s="327"/>
      <c r="E230" s="327"/>
      <c r="F230" s="327"/>
      <c r="G230" s="327"/>
      <c r="H230" s="327"/>
      <c r="I230" s="327"/>
      <c r="J230" s="327"/>
      <c r="K230" s="327"/>
      <c r="L230" s="327"/>
      <c r="M230" s="327"/>
      <c r="N230" s="327"/>
      <c r="O230" s="327"/>
      <c r="P230" s="327"/>
    </row>
    <row r="231" ht="15.75" customHeight="1">
      <c r="B231" s="327"/>
      <c r="C231" s="327"/>
      <c r="D231" s="327"/>
      <c r="E231" s="327"/>
      <c r="F231" s="327"/>
      <c r="G231" s="327"/>
      <c r="H231" s="327"/>
      <c r="I231" s="327"/>
      <c r="J231" s="327"/>
      <c r="K231" s="327"/>
      <c r="L231" s="327"/>
      <c r="M231" s="327"/>
      <c r="N231" s="327"/>
      <c r="O231" s="327"/>
      <c r="P231" s="327"/>
    </row>
    <row r="232" ht="15.75" customHeight="1">
      <c r="B232" s="327"/>
      <c r="C232" s="327"/>
      <c r="D232" s="327"/>
      <c r="E232" s="327"/>
      <c r="F232" s="327"/>
      <c r="G232" s="327"/>
      <c r="H232" s="327"/>
      <c r="I232" s="327"/>
      <c r="J232" s="327"/>
      <c r="K232" s="327"/>
      <c r="L232" s="327"/>
      <c r="M232" s="327"/>
      <c r="N232" s="327"/>
      <c r="O232" s="327"/>
      <c r="P232" s="327"/>
    </row>
    <row r="233" ht="15.75" customHeight="1">
      <c r="B233" s="327"/>
      <c r="C233" s="327"/>
      <c r="D233" s="327"/>
      <c r="E233" s="327"/>
      <c r="F233" s="327"/>
      <c r="G233" s="327"/>
      <c r="H233" s="327"/>
      <c r="I233" s="327"/>
      <c r="J233" s="327"/>
      <c r="K233" s="327"/>
      <c r="L233" s="327"/>
      <c r="M233" s="327"/>
      <c r="N233" s="327"/>
      <c r="O233" s="327"/>
      <c r="P233" s="327"/>
    </row>
    <row r="234" ht="15.75" customHeight="1">
      <c r="B234" s="327"/>
      <c r="C234" s="327"/>
      <c r="D234" s="327"/>
      <c r="E234" s="327"/>
      <c r="F234" s="327"/>
      <c r="G234" s="327"/>
      <c r="H234" s="327"/>
      <c r="I234" s="327"/>
      <c r="J234" s="327"/>
      <c r="K234" s="327"/>
      <c r="L234" s="327"/>
      <c r="M234" s="327"/>
      <c r="N234" s="327"/>
      <c r="O234" s="327"/>
      <c r="P234" s="327"/>
    </row>
    <row r="235" ht="15.75" customHeight="1">
      <c r="B235" s="327"/>
      <c r="C235" s="327"/>
      <c r="D235" s="327"/>
      <c r="E235" s="327"/>
      <c r="F235" s="327"/>
      <c r="G235" s="327"/>
      <c r="H235" s="327"/>
      <c r="I235" s="327"/>
      <c r="J235" s="327"/>
      <c r="K235" s="327"/>
      <c r="L235" s="327"/>
      <c r="M235" s="327"/>
      <c r="N235" s="327"/>
      <c r="O235" s="327"/>
      <c r="P235" s="327"/>
    </row>
    <row r="236" ht="15.75" customHeight="1">
      <c r="B236" s="327"/>
      <c r="C236" s="327"/>
      <c r="D236" s="327"/>
      <c r="E236" s="327"/>
      <c r="F236" s="327"/>
      <c r="G236" s="327"/>
      <c r="H236" s="327"/>
      <c r="I236" s="327"/>
      <c r="J236" s="327"/>
      <c r="K236" s="327"/>
      <c r="L236" s="327"/>
      <c r="M236" s="327"/>
      <c r="N236" s="327"/>
      <c r="O236" s="327"/>
      <c r="P236" s="327"/>
    </row>
    <row r="237" ht="15.75" customHeight="1">
      <c r="B237" s="327"/>
      <c r="C237" s="327"/>
      <c r="D237" s="327"/>
      <c r="E237" s="327"/>
      <c r="F237" s="327"/>
      <c r="G237" s="327"/>
      <c r="H237" s="327"/>
      <c r="I237" s="327"/>
      <c r="J237" s="327"/>
      <c r="K237" s="327"/>
      <c r="L237" s="327"/>
      <c r="M237" s="327"/>
      <c r="N237" s="327"/>
      <c r="O237" s="327"/>
      <c r="P237" s="327"/>
    </row>
    <row r="238" ht="15.75" customHeight="1">
      <c r="B238" s="327"/>
      <c r="C238" s="327"/>
      <c r="D238" s="327"/>
      <c r="E238" s="327"/>
      <c r="F238" s="327"/>
      <c r="G238" s="327"/>
      <c r="H238" s="327"/>
      <c r="I238" s="327"/>
      <c r="J238" s="327"/>
      <c r="K238" s="327"/>
      <c r="L238" s="327"/>
      <c r="M238" s="327"/>
      <c r="N238" s="327"/>
      <c r="O238" s="327"/>
      <c r="P238" s="327"/>
    </row>
    <row r="239" ht="15.75" customHeight="1">
      <c r="B239" s="327"/>
      <c r="C239" s="327"/>
      <c r="D239" s="327"/>
      <c r="E239" s="327"/>
      <c r="F239" s="327"/>
      <c r="G239" s="327"/>
      <c r="H239" s="327"/>
      <c r="I239" s="327"/>
      <c r="J239" s="327"/>
      <c r="K239" s="327"/>
      <c r="L239" s="327"/>
      <c r="M239" s="327"/>
      <c r="N239" s="327"/>
      <c r="O239" s="327"/>
      <c r="P239" s="327"/>
    </row>
    <row r="240" ht="15.75" customHeight="1">
      <c r="B240" s="327"/>
      <c r="C240" s="327"/>
      <c r="D240" s="327"/>
      <c r="E240" s="327"/>
      <c r="F240" s="327"/>
      <c r="G240" s="327"/>
      <c r="H240" s="327"/>
      <c r="I240" s="327"/>
      <c r="J240" s="327"/>
      <c r="K240" s="327"/>
      <c r="L240" s="327"/>
      <c r="M240" s="327"/>
      <c r="N240" s="327"/>
      <c r="O240" s="327"/>
      <c r="P240" s="327"/>
    </row>
    <row r="241" ht="15.75" customHeight="1">
      <c r="B241" s="327"/>
      <c r="C241" s="327"/>
      <c r="D241" s="327"/>
      <c r="E241" s="327"/>
      <c r="F241" s="327"/>
      <c r="G241" s="327"/>
      <c r="H241" s="327"/>
      <c r="I241" s="327"/>
      <c r="J241" s="327"/>
      <c r="K241" s="327"/>
      <c r="L241" s="327"/>
      <c r="M241" s="327"/>
      <c r="N241" s="327"/>
      <c r="O241" s="327"/>
      <c r="P241" s="327"/>
    </row>
    <row r="242" ht="15.75" customHeight="1">
      <c r="B242" s="327"/>
      <c r="C242" s="327"/>
      <c r="D242" s="327"/>
      <c r="E242" s="327"/>
      <c r="F242" s="327"/>
      <c r="G242" s="327"/>
      <c r="H242" s="327"/>
      <c r="I242" s="327"/>
      <c r="J242" s="327"/>
      <c r="K242" s="327"/>
      <c r="L242" s="327"/>
      <c r="M242" s="327"/>
      <c r="N242" s="327"/>
      <c r="O242" s="327"/>
      <c r="P242" s="327"/>
    </row>
    <row r="243" ht="15.75" customHeight="1">
      <c r="B243" s="327"/>
      <c r="C243" s="327"/>
      <c r="D243" s="327"/>
      <c r="E243" s="327"/>
      <c r="F243" s="327"/>
      <c r="G243" s="327"/>
      <c r="H243" s="327"/>
      <c r="I243" s="327"/>
      <c r="J243" s="327"/>
      <c r="K243" s="327"/>
      <c r="L243" s="327"/>
      <c r="M243" s="327"/>
      <c r="N243" s="327"/>
      <c r="O243" s="327"/>
      <c r="P243" s="327"/>
    </row>
    <row r="244" ht="15.75" customHeight="1">
      <c r="B244" s="327"/>
      <c r="C244" s="327"/>
      <c r="D244" s="327"/>
      <c r="E244" s="327"/>
      <c r="F244" s="327"/>
      <c r="G244" s="327"/>
      <c r="H244" s="327"/>
      <c r="I244" s="327"/>
      <c r="J244" s="327"/>
      <c r="K244" s="327"/>
      <c r="L244" s="327"/>
      <c r="M244" s="327"/>
      <c r="N244" s="327"/>
      <c r="O244" s="327"/>
      <c r="P244" s="327"/>
    </row>
    <row r="245" ht="15.75" customHeight="1">
      <c r="B245" s="327"/>
      <c r="C245" s="327"/>
      <c r="D245" s="327"/>
      <c r="E245" s="327"/>
      <c r="F245" s="327"/>
      <c r="G245" s="327"/>
      <c r="H245" s="327"/>
      <c r="I245" s="327"/>
      <c r="J245" s="327"/>
      <c r="K245" s="327"/>
      <c r="L245" s="327"/>
      <c r="M245" s="327"/>
      <c r="N245" s="327"/>
      <c r="O245" s="327"/>
      <c r="P245" s="327"/>
    </row>
    <row r="246" ht="15.75" customHeight="1">
      <c r="B246" s="327"/>
      <c r="C246" s="327"/>
      <c r="D246" s="327"/>
      <c r="E246" s="327"/>
      <c r="F246" s="327"/>
      <c r="G246" s="327"/>
      <c r="H246" s="327"/>
      <c r="I246" s="327"/>
      <c r="J246" s="327"/>
      <c r="K246" s="327"/>
      <c r="L246" s="327"/>
      <c r="M246" s="327"/>
      <c r="N246" s="327"/>
      <c r="O246" s="327"/>
      <c r="P246" s="327"/>
    </row>
    <row r="247" ht="15.75" customHeight="1">
      <c r="B247" s="327"/>
      <c r="C247" s="327"/>
      <c r="D247" s="327"/>
      <c r="E247" s="327"/>
      <c r="F247" s="327"/>
      <c r="G247" s="327"/>
      <c r="H247" s="327"/>
      <c r="I247" s="327"/>
      <c r="J247" s="327"/>
      <c r="K247" s="327"/>
      <c r="L247" s="327"/>
      <c r="M247" s="327"/>
      <c r="N247" s="327"/>
      <c r="O247" s="327"/>
      <c r="P247" s="327"/>
    </row>
    <row r="248" ht="15.75" customHeight="1">
      <c r="B248" s="327"/>
      <c r="C248" s="327"/>
      <c r="D248" s="327"/>
      <c r="E248" s="327"/>
      <c r="F248" s="327"/>
      <c r="G248" s="327"/>
      <c r="H248" s="327"/>
      <c r="I248" s="327"/>
      <c r="J248" s="327"/>
      <c r="K248" s="327"/>
      <c r="L248" s="327"/>
      <c r="M248" s="327"/>
      <c r="N248" s="327"/>
      <c r="O248" s="327"/>
      <c r="P248" s="327"/>
    </row>
    <row r="249" ht="15.75" customHeight="1">
      <c r="B249" s="327"/>
      <c r="C249" s="327"/>
      <c r="D249" s="327"/>
      <c r="E249" s="327"/>
      <c r="F249" s="327"/>
      <c r="G249" s="327"/>
      <c r="H249" s="327"/>
      <c r="I249" s="327"/>
      <c r="J249" s="327"/>
      <c r="K249" s="327"/>
      <c r="L249" s="327"/>
      <c r="M249" s="327"/>
      <c r="N249" s="327"/>
      <c r="O249" s="327"/>
      <c r="P249" s="327"/>
    </row>
    <row r="250" ht="15.75" customHeight="1">
      <c r="B250" s="327"/>
      <c r="C250" s="327"/>
      <c r="D250" s="327"/>
      <c r="E250" s="327"/>
      <c r="F250" s="327"/>
      <c r="G250" s="327"/>
      <c r="H250" s="327"/>
      <c r="I250" s="327"/>
      <c r="J250" s="327"/>
      <c r="K250" s="327"/>
      <c r="L250" s="327"/>
      <c r="M250" s="327"/>
      <c r="N250" s="327"/>
      <c r="O250" s="327"/>
      <c r="P250" s="327"/>
    </row>
    <row r="251" ht="15.75" customHeight="1">
      <c r="B251" s="327"/>
      <c r="C251" s="327"/>
      <c r="D251" s="327"/>
      <c r="E251" s="327"/>
      <c r="F251" s="327"/>
      <c r="G251" s="327"/>
      <c r="H251" s="327"/>
      <c r="I251" s="327"/>
      <c r="J251" s="327"/>
      <c r="K251" s="327"/>
      <c r="L251" s="327"/>
      <c r="M251" s="327"/>
      <c r="N251" s="327"/>
      <c r="O251" s="327"/>
      <c r="P251" s="327"/>
    </row>
    <row r="252" ht="15.75" customHeight="1">
      <c r="B252" s="327"/>
      <c r="C252" s="327"/>
      <c r="D252" s="327"/>
      <c r="E252" s="327"/>
      <c r="F252" s="327"/>
      <c r="G252" s="327"/>
      <c r="H252" s="327"/>
      <c r="I252" s="327"/>
      <c r="J252" s="327"/>
      <c r="K252" s="327"/>
      <c r="L252" s="327"/>
      <c r="M252" s="327"/>
      <c r="N252" s="327"/>
      <c r="O252" s="327"/>
      <c r="P252" s="327"/>
    </row>
    <row r="253" ht="15.75" customHeight="1">
      <c r="B253" s="327"/>
      <c r="C253" s="327"/>
      <c r="D253" s="327"/>
      <c r="E253" s="327"/>
      <c r="F253" s="327"/>
      <c r="G253" s="327"/>
      <c r="H253" s="327"/>
      <c r="I253" s="327"/>
      <c r="J253" s="327"/>
      <c r="K253" s="327"/>
      <c r="L253" s="327"/>
      <c r="M253" s="327"/>
      <c r="N253" s="327"/>
      <c r="O253" s="327"/>
      <c r="P253" s="327"/>
    </row>
    <row r="254" ht="15.75" customHeight="1">
      <c r="B254" s="327"/>
      <c r="C254" s="327"/>
      <c r="D254" s="327"/>
      <c r="E254" s="327"/>
      <c r="F254" s="327"/>
      <c r="G254" s="327"/>
      <c r="H254" s="327"/>
      <c r="I254" s="327"/>
      <c r="J254" s="327"/>
      <c r="K254" s="327"/>
      <c r="L254" s="327"/>
      <c r="M254" s="327"/>
      <c r="N254" s="327"/>
      <c r="O254" s="327"/>
      <c r="P254" s="327"/>
    </row>
    <row r="255" ht="15.75" customHeight="1">
      <c r="B255" s="327"/>
      <c r="C255" s="327"/>
      <c r="D255" s="327"/>
      <c r="E255" s="327"/>
      <c r="F255" s="327"/>
      <c r="G255" s="327"/>
      <c r="H255" s="327"/>
      <c r="I255" s="327"/>
      <c r="J255" s="327"/>
      <c r="K255" s="327"/>
      <c r="L255" s="327"/>
      <c r="M255" s="327"/>
      <c r="N255" s="327"/>
      <c r="O255" s="327"/>
      <c r="P255" s="327"/>
    </row>
    <row r="256" ht="15.75" customHeight="1">
      <c r="B256" s="327"/>
      <c r="C256" s="327"/>
      <c r="D256" s="327"/>
      <c r="E256" s="327"/>
      <c r="F256" s="327"/>
      <c r="G256" s="327"/>
      <c r="H256" s="327"/>
      <c r="I256" s="327"/>
      <c r="J256" s="327"/>
      <c r="K256" s="327"/>
      <c r="L256" s="327"/>
      <c r="M256" s="327"/>
      <c r="N256" s="327"/>
      <c r="O256" s="327"/>
      <c r="P256" s="327"/>
    </row>
    <row r="257" ht="15.75" customHeight="1">
      <c r="B257" s="327"/>
      <c r="C257" s="327"/>
      <c r="D257" s="327"/>
      <c r="E257" s="327"/>
      <c r="F257" s="327"/>
      <c r="G257" s="327"/>
      <c r="H257" s="327"/>
      <c r="I257" s="327"/>
      <c r="J257" s="327"/>
      <c r="K257" s="327"/>
      <c r="L257" s="327"/>
      <c r="M257" s="327"/>
      <c r="N257" s="327"/>
      <c r="O257" s="327"/>
      <c r="P257" s="327"/>
    </row>
    <row r="258" ht="15.75" customHeight="1">
      <c r="B258" s="327"/>
      <c r="C258" s="327"/>
      <c r="D258" s="327"/>
      <c r="E258" s="327"/>
      <c r="F258" s="327"/>
      <c r="G258" s="327"/>
      <c r="H258" s="327"/>
      <c r="I258" s="327"/>
      <c r="J258" s="327"/>
      <c r="K258" s="327"/>
      <c r="L258" s="327"/>
      <c r="M258" s="327"/>
      <c r="N258" s="327"/>
      <c r="O258" s="327"/>
      <c r="P258" s="327"/>
    </row>
    <row r="259" ht="15.75" customHeight="1">
      <c r="B259" s="327"/>
      <c r="C259" s="327"/>
      <c r="D259" s="327"/>
      <c r="E259" s="327"/>
      <c r="F259" s="327"/>
      <c r="G259" s="327"/>
      <c r="H259" s="327"/>
      <c r="I259" s="327"/>
      <c r="J259" s="327"/>
      <c r="K259" s="327"/>
      <c r="L259" s="327"/>
      <c r="M259" s="327"/>
      <c r="N259" s="327"/>
      <c r="O259" s="327"/>
      <c r="P259" s="327"/>
    </row>
    <row r="260" ht="15.75" customHeight="1">
      <c r="B260" s="327"/>
      <c r="C260" s="327"/>
      <c r="D260" s="327"/>
      <c r="E260" s="327"/>
      <c r="F260" s="327"/>
      <c r="G260" s="327"/>
      <c r="H260" s="327"/>
      <c r="I260" s="327"/>
      <c r="J260" s="327"/>
      <c r="K260" s="327"/>
      <c r="L260" s="327"/>
      <c r="M260" s="327"/>
      <c r="N260" s="327"/>
      <c r="O260" s="327"/>
      <c r="P260" s="327"/>
    </row>
    <row r="261" ht="15.75" customHeight="1">
      <c r="B261" s="327"/>
      <c r="C261" s="327"/>
      <c r="D261" s="327"/>
      <c r="E261" s="327"/>
      <c r="F261" s="327"/>
      <c r="G261" s="327"/>
      <c r="H261" s="327"/>
      <c r="I261" s="327"/>
      <c r="J261" s="327"/>
      <c r="K261" s="327"/>
      <c r="L261" s="327"/>
      <c r="M261" s="327"/>
      <c r="N261" s="327"/>
      <c r="O261" s="327"/>
      <c r="P261" s="327"/>
    </row>
    <row r="262" ht="15.75" customHeight="1">
      <c r="B262" s="327"/>
      <c r="C262" s="327"/>
      <c r="D262" s="327"/>
      <c r="E262" s="327"/>
      <c r="F262" s="327"/>
      <c r="G262" s="327"/>
      <c r="H262" s="327"/>
      <c r="I262" s="327"/>
      <c r="J262" s="327"/>
      <c r="K262" s="327"/>
      <c r="L262" s="327"/>
      <c r="M262" s="327"/>
      <c r="N262" s="327"/>
      <c r="O262" s="327"/>
      <c r="P262" s="327"/>
    </row>
    <row r="263" ht="15.75" customHeight="1">
      <c r="B263" s="327"/>
      <c r="C263" s="327"/>
      <c r="D263" s="327"/>
      <c r="E263" s="327"/>
      <c r="F263" s="327"/>
      <c r="G263" s="327"/>
      <c r="H263" s="327"/>
      <c r="I263" s="327"/>
      <c r="J263" s="327"/>
      <c r="K263" s="327"/>
      <c r="L263" s="327"/>
      <c r="M263" s="327"/>
      <c r="N263" s="327"/>
      <c r="O263" s="327"/>
      <c r="P263" s="327"/>
    </row>
    <row r="264" ht="15.75" customHeight="1">
      <c r="B264" s="327"/>
      <c r="C264" s="327"/>
      <c r="D264" s="327"/>
      <c r="E264" s="327"/>
      <c r="F264" s="327"/>
      <c r="G264" s="327"/>
      <c r="H264" s="327"/>
      <c r="I264" s="327"/>
      <c r="J264" s="327"/>
      <c r="K264" s="327"/>
      <c r="L264" s="327"/>
      <c r="M264" s="327"/>
      <c r="N264" s="327"/>
      <c r="O264" s="327"/>
      <c r="P264" s="327"/>
    </row>
    <row r="265" ht="15.75" customHeight="1">
      <c r="B265" s="327"/>
      <c r="C265" s="327"/>
      <c r="D265" s="327"/>
      <c r="E265" s="327"/>
      <c r="F265" s="327"/>
      <c r="G265" s="327"/>
      <c r="H265" s="327"/>
      <c r="I265" s="327"/>
      <c r="J265" s="327"/>
      <c r="K265" s="327"/>
      <c r="L265" s="327"/>
      <c r="M265" s="327"/>
      <c r="N265" s="327"/>
      <c r="O265" s="327"/>
      <c r="P265" s="327"/>
    </row>
    <row r="266" ht="15.75" customHeight="1">
      <c r="B266" s="327"/>
      <c r="C266" s="327"/>
      <c r="D266" s="327"/>
      <c r="E266" s="327"/>
      <c r="F266" s="327"/>
      <c r="G266" s="327"/>
      <c r="H266" s="327"/>
      <c r="I266" s="327"/>
      <c r="J266" s="327"/>
      <c r="K266" s="327"/>
      <c r="L266" s="327"/>
      <c r="M266" s="327"/>
      <c r="N266" s="327"/>
      <c r="O266" s="327"/>
      <c r="P266" s="327"/>
    </row>
    <row r="267" ht="15.75" customHeight="1">
      <c r="B267" s="327"/>
      <c r="C267" s="327"/>
      <c r="D267" s="327"/>
      <c r="E267" s="327"/>
      <c r="F267" s="327"/>
      <c r="G267" s="327"/>
      <c r="H267" s="327"/>
      <c r="I267" s="327"/>
      <c r="J267" s="327"/>
      <c r="K267" s="327"/>
      <c r="L267" s="327"/>
      <c r="M267" s="327"/>
      <c r="N267" s="327"/>
      <c r="O267" s="327"/>
      <c r="P267" s="327"/>
    </row>
    <row r="268" ht="15.75" customHeight="1">
      <c r="B268" s="327"/>
      <c r="C268" s="327"/>
      <c r="D268" s="327"/>
      <c r="E268" s="327"/>
      <c r="F268" s="327"/>
      <c r="G268" s="327"/>
      <c r="H268" s="327"/>
      <c r="I268" s="327"/>
      <c r="J268" s="327"/>
      <c r="K268" s="327"/>
      <c r="L268" s="327"/>
      <c r="M268" s="327"/>
      <c r="N268" s="327"/>
      <c r="O268" s="327"/>
      <c r="P268" s="327"/>
    </row>
    <row r="269" ht="15.75" customHeight="1">
      <c r="B269" s="327"/>
      <c r="C269" s="327"/>
      <c r="D269" s="327"/>
      <c r="E269" s="327"/>
      <c r="F269" s="327"/>
      <c r="G269" s="327"/>
      <c r="H269" s="327"/>
      <c r="I269" s="327"/>
      <c r="J269" s="327"/>
      <c r="K269" s="327"/>
      <c r="L269" s="327"/>
      <c r="M269" s="327"/>
      <c r="N269" s="327"/>
      <c r="O269" s="327"/>
      <c r="P269" s="327"/>
    </row>
    <row r="270" ht="15.75" customHeight="1">
      <c r="B270" s="327"/>
      <c r="C270" s="327"/>
      <c r="D270" s="327"/>
      <c r="E270" s="327"/>
      <c r="F270" s="327"/>
      <c r="G270" s="327"/>
      <c r="H270" s="327"/>
      <c r="I270" s="327"/>
      <c r="J270" s="327"/>
      <c r="K270" s="327"/>
      <c r="L270" s="327"/>
      <c r="M270" s="327"/>
      <c r="N270" s="327"/>
      <c r="O270" s="327"/>
      <c r="P270" s="327"/>
    </row>
    <row r="271" ht="15.75" customHeight="1">
      <c r="B271" s="327"/>
      <c r="C271" s="327"/>
      <c r="D271" s="327"/>
      <c r="E271" s="327"/>
      <c r="F271" s="327"/>
      <c r="G271" s="327"/>
      <c r="H271" s="327"/>
      <c r="I271" s="327"/>
      <c r="J271" s="327"/>
      <c r="K271" s="327"/>
      <c r="L271" s="327"/>
      <c r="M271" s="327"/>
      <c r="N271" s="327"/>
      <c r="O271" s="327"/>
      <c r="P271" s="327"/>
    </row>
    <row r="272" ht="15.75" customHeight="1">
      <c r="B272" s="327"/>
      <c r="C272" s="327"/>
      <c r="D272" s="327"/>
      <c r="E272" s="327"/>
      <c r="F272" s="327"/>
      <c r="G272" s="327"/>
      <c r="H272" s="327"/>
      <c r="I272" s="327"/>
      <c r="J272" s="327"/>
      <c r="K272" s="327"/>
      <c r="L272" s="327"/>
      <c r="M272" s="327"/>
      <c r="N272" s="327"/>
      <c r="O272" s="327"/>
      <c r="P272" s="327"/>
    </row>
    <row r="273" ht="15.75" customHeight="1">
      <c r="B273" s="327"/>
      <c r="C273" s="327"/>
      <c r="D273" s="327"/>
      <c r="E273" s="327"/>
      <c r="F273" s="327"/>
      <c r="G273" s="327"/>
      <c r="H273" s="327"/>
      <c r="I273" s="327"/>
      <c r="J273" s="327"/>
      <c r="K273" s="327"/>
      <c r="L273" s="327"/>
      <c r="M273" s="327"/>
      <c r="N273" s="327"/>
      <c r="O273" s="327"/>
      <c r="P273" s="327"/>
    </row>
    <row r="274" ht="15.75" customHeight="1">
      <c r="B274" s="327"/>
      <c r="C274" s="327"/>
      <c r="D274" s="327"/>
      <c r="E274" s="327"/>
      <c r="F274" s="327"/>
      <c r="G274" s="327"/>
      <c r="H274" s="327"/>
      <c r="I274" s="327"/>
      <c r="J274" s="327"/>
      <c r="K274" s="327"/>
      <c r="L274" s="327"/>
      <c r="M274" s="327"/>
      <c r="N274" s="327"/>
      <c r="O274" s="327"/>
      <c r="P274" s="327"/>
    </row>
    <row r="275" ht="15.75" customHeight="1">
      <c r="B275" s="327"/>
      <c r="C275" s="327"/>
      <c r="D275" s="327"/>
      <c r="E275" s="327"/>
      <c r="F275" s="327"/>
      <c r="G275" s="327"/>
      <c r="H275" s="327"/>
      <c r="I275" s="327"/>
      <c r="J275" s="327"/>
      <c r="K275" s="327"/>
      <c r="L275" s="327"/>
      <c r="M275" s="327"/>
      <c r="N275" s="327"/>
      <c r="O275" s="327"/>
      <c r="P275" s="327"/>
    </row>
    <row r="276" ht="15.75" customHeight="1">
      <c r="B276" s="327"/>
      <c r="C276" s="327"/>
      <c r="D276" s="327"/>
      <c r="E276" s="327"/>
      <c r="F276" s="327"/>
      <c r="G276" s="327"/>
      <c r="H276" s="327"/>
      <c r="I276" s="327"/>
      <c r="J276" s="327"/>
      <c r="K276" s="327"/>
      <c r="L276" s="327"/>
      <c r="M276" s="327"/>
      <c r="N276" s="327"/>
      <c r="O276" s="327"/>
      <c r="P276" s="327"/>
    </row>
    <row r="277" ht="15.75" customHeight="1">
      <c r="B277" s="327"/>
      <c r="C277" s="327"/>
      <c r="D277" s="327"/>
      <c r="E277" s="327"/>
      <c r="F277" s="327"/>
      <c r="G277" s="327"/>
      <c r="H277" s="327"/>
      <c r="I277" s="327"/>
      <c r="J277" s="327"/>
      <c r="K277" s="327"/>
      <c r="L277" s="327"/>
      <c r="M277" s="327"/>
      <c r="N277" s="327"/>
      <c r="O277" s="327"/>
      <c r="P277" s="327"/>
    </row>
    <row r="278" ht="15.75" customHeight="1">
      <c r="B278" s="327"/>
      <c r="C278" s="327"/>
      <c r="D278" s="327"/>
      <c r="E278" s="327"/>
      <c r="F278" s="327"/>
      <c r="G278" s="327"/>
      <c r="H278" s="327"/>
      <c r="I278" s="327"/>
      <c r="J278" s="327"/>
      <c r="K278" s="327"/>
      <c r="L278" s="327"/>
      <c r="M278" s="327"/>
      <c r="N278" s="327"/>
      <c r="O278" s="327"/>
      <c r="P278" s="327"/>
    </row>
    <row r="279" ht="15.75" customHeight="1">
      <c r="B279" s="327"/>
      <c r="C279" s="327"/>
      <c r="D279" s="327"/>
      <c r="E279" s="327"/>
      <c r="F279" s="327"/>
      <c r="G279" s="327"/>
      <c r="H279" s="327"/>
      <c r="I279" s="327"/>
      <c r="J279" s="327"/>
      <c r="K279" s="327"/>
      <c r="L279" s="327"/>
      <c r="M279" s="327"/>
      <c r="N279" s="327"/>
      <c r="O279" s="327"/>
      <c r="P279" s="327"/>
    </row>
    <row r="280" ht="15.75" customHeight="1">
      <c r="B280" s="327"/>
      <c r="C280" s="327"/>
      <c r="D280" s="327"/>
      <c r="E280" s="327"/>
      <c r="F280" s="327"/>
      <c r="G280" s="327"/>
      <c r="H280" s="327"/>
      <c r="I280" s="327"/>
      <c r="J280" s="327"/>
      <c r="K280" s="327"/>
      <c r="L280" s="327"/>
      <c r="M280" s="327"/>
      <c r="N280" s="327"/>
      <c r="O280" s="327"/>
      <c r="P280" s="327"/>
    </row>
    <row r="281" ht="15.75" customHeight="1">
      <c r="B281" s="327"/>
      <c r="C281" s="327"/>
      <c r="D281" s="327"/>
      <c r="E281" s="327"/>
      <c r="F281" s="327"/>
      <c r="G281" s="327"/>
      <c r="H281" s="327"/>
      <c r="I281" s="327"/>
      <c r="J281" s="327"/>
      <c r="K281" s="327"/>
      <c r="L281" s="327"/>
      <c r="M281" s="327"/>
      <c r="N281" s="327"/>
      <c r="O281" s="327"/>
      <c r="P281" s="327"/>
    </row>
    <row r="282" ht="15.75" customHeight="1">
      <c r="B282" s="327"/>
      <c r="C282" s="327"/>
      <c r="D282" s="327"/>
      <c r="E282" s="327"/>
      <c r="F282" s="327"/>
      <c r="G282" s="327"/>
      <c r="H282" s="327"/>
      <c r="I282" s="327"/>
      <c r="J282" s="327"/>
      <c r="K282" s="327"/>
      <c r="L282" s="327"/>
      <c r="M282" s="327"/>
      <c r="N282" s="327"/>
      <c r="O282" s="327"/>
      <c r="P282" s="327"/>
    </row>
    <row r="283" ht="15.75" customHeight="1">
      <c r="B283" s="327"/>
      <c r="C283" s="327"/>
      <c r="D283" s="327"/>
      <c r="E283" s="327"/>
      <c r="F283" s="327"/>
      <c r="G283" s="327"/>
      <c r="H283" s="327"/>
      <c r="I283" s="327"/>
      <c r="J283" s="327"/>
      <c r="K283" s="327"/>
      <c r="L283" s="327"/>
      <c r="M283" s="327"/>
      <c r="N283" s="327"/>
      <c r="O283" s="327"/>
      <c r="P283" s="327"/>
    </row>
    <row r="284" ht="15.75" customHeight="1">
      <c r="B284" s="327"/>
      <c r="C284" s="327"/>
      <c r="D284" s="327"/>
      <c r="E284" s="327"/>
      <c r="F284" s="327"/>
      <c r="G284" s="327"/>
      <c r="H284" s="327"/>
      <c r="I284" s="327"/>
      <c r="J284" s="327"/>
      <c r="K284" s="327"/>
      <c r="L284" s="327"/>
      <c r="M284" s="327"/>
      <c r="N284" s="327"/>
      <c r="O284" s="327"/>
      <c r="P284" s="327"/>
    </row>
    <row r="285" ht="15.75" customHeight="1">
      <c r="B285" s="327"/>
      <c r="C285" s="327"/>
      <c r="D285" s="327"/>
      <c r="E285" s="327"/>
      <c r="F285" s="327"/>
      <c r="G285" s="327"/>
      <c r="H285" s="327"/>
      <c r="I285" s="327"/>
      <c r="J285" s="327"/>
      <c r="K285" s="327"/>
      <c r="L285" s="327"/>
      <c r="M285" s="327"/>
      <c r="N285" s="327"/>
      <c r="O285" s="327"/>
      <c r="P285" s="327"/>
    </row>
    <row r="286" ht="15.75" customHeight="1">
      <c r="B286" s="327"/>
      <c r="C286" s="327"/>
      <c r="D286" s="327"/>
      <c r="E286" s="327"/>
      <c r="F286" s="327"/>
      <c r="G286" s="327"/>
      <c r="H286" s="327"/>
      <c r="I286" s="327"/>
      <c r="J286" s="327"/>
      <c r="K286" s="327"/>
      <c r="L286" s="327"/>
      <c r="M286" s="327"/>
      <c r="N286" s="327"/>
      <c r="O286" s="327"/>
      <c r="P286" s="327"/>
    </row>
    <row r="287" ht="15.75" customHeight="1">
      <c r="B287" s="327"/>
      <c r="C287" s="327"/>
      <c r="D287" s="327"/>
      <c r="E287" s="327"/>
      <c r="F287" s="327"/>
      <c r="G287" s="327"/>
      <c r="H287" s="327"/>
      <c r="I287" s="327"/>
      <c r="J287" s="327"/>
      <c r="K287" s="327"/>
      <c r="L287" s="327"/>
      <c r="M287" s="327"/>
      <c r="N287" s="327"/>
      <c r="O287" s="327"/>
      <c r="P287" s="327"/>
    </row>
    <row r="288" ht="15.75" customHeight="1">
      <c r="B288" s="327"/>
      <c r="C288" s="327"/>
      <c r="D288" s="327"/>
      <c r="E288" s="327"/>
      <c r="F288" s="327"/>
      <c r="G288" s="327"/>
      <c r="H288" s="327"/>
      <c r="I288" s="327"/>
      <c r="J288" s="327"/>
      <c r="K288" s="327"/>
      <c r="L288" s="327"/>
      <c r="M288" s="327"/>
      <c r="N288" s="327"/>
      <c r="O288" s="327"/>
      <c r="P288" s="327"/>
    </row>
    <row r="289" ht="15.75" customHeight="1">
      <c r="B289" s="327"/>
      <c r="C289" s="327"/>
      <c r="D289" s="327"/>
      <c r="E289" s="327"/>
      <c r="F289" s="327"/>
      <c r="G289" s="327"/>
      <c r="H289" s="327"/>
      <c r="I289" s="327"/>
      <c r="J289" s="327"/>
      <c r="K289" s="327"/>
      <c r="L289" s="327"/>
      <c r="M289" s="327"/>
      <c r="N289" s="327"/>
      <c r="O289" s="327"/>
      <c r="P289" s="327"/>
    </row>
    <row r="290" ht="15.75" customHeight="1">
      <c r="B290" s="327"/>
      <c r="C290" s="327"/>
      <c r="D290" s="327"/>
      <c r="E290" s="327"/>
      <c r="F290" s="327"/>
      <c r="G290" s="327"/>
      <c r="H290" s="327"/>
      <c r="I290" s="327"/>
      <c r="J290" s="327"/>
      <c r="K290" s="327"/>
      <c r="L290" s="327"/>
      <c r="M290" s="327"/>
      <c r="N290" s="327"/>
      <c r="O290" s="327"/>
      <c r="P290" s="327"/>
    </row>
    <row r="291" ht="15.75" customHeight="1">
      <c r="B291" s="327"/>
      <c r="C291" s="327"/>
      <c r="D291" s="327"/>
      <c r="E291" s="327"/>
      <c r="F291" s="327"/>
      <c r="G291" s="327"/>
      <c r="H291" s="327"/>
      <c r="I291" s="327"/>
      <c r="J291" s="327"/>
      <c r="K291" s="327"/>
      <c r="L291" s="327"/>
      <c r="M291" s="327"/>
      <c r="N291" s="327"/>
      <c r="O291" s="327"/>
      <c r="P291" s="327"/>
    </row>
    <row r="292" ht="15.75" customHeight="1">
      <c r="B292" s="327"/>
      <c r="C292" s="327"/>
      <c r="D292" s="327"/>
      <c r="E292" s="327"/>
      <c r="F292" s="327"/>
      <c r="G292" s="327"/>
      <c r="H292" s="327"/>
      <c r="I292" s="327"/>
      <c r="J292" s="327"/>
      <c r="K292" s="327"/>
      <c r="L292" s="327"/>
      <c r="M292" s="327"/>
      <c r="N292" s="327"/>
      <c r="O292" s="327"/>
      <c r="P292" s="327"/>
    </row>
    <row r="293" ht="15.75" customHeight="1">
      <c r="B293" s="327"/>
      <c r="C293" s="327"/>
      <c r="D293" s="327"/>
      <c r="E293" s="327"/>
      <c r="F293" s="327"/>
      <c r="G293" s="327"/>
      <c r="H293" s="327"/>
      <c r="I293" s="327"/>
      <c r="J293" s="327"/>
      <c r="K293" s="327"/>
      <c r="L293" s="327"/>
      <c r="M293" s="327"/>
      <c r="N293" s="327"/>
      <c r="O293" s="327"/>
      <c r="P293" s="327"/>
    </row>
    <row r="294" ht="15.75" customHeight="1">
      <c r="B294" s="327"/>
      <c r="C294" s="327"/>
      <c r="D294" s="327"/>
      <c r="E294" s="327"/>
      <c r="F294" s="327"/>
      <c r="G294" s="327"/>
      <c r="H294" s="327"/>
      <c r="I294" s="327"/>
      <c r="J294" s="327"/>
      <c r="K294" s="327"/>
      <c r="L294" s="327"/>
      <c r="M294" s="327"/>
      <c r="N294" s="327"/>
      <c r="O294" s="327"/>
      <c r="P294" s="327"/>
    </row>
    <row r="295" ht="15.75" customHeight="1">
      <c r="B295" s="327"/>
      <c r="C295" s="327"/>
      <c r="D295" s="327"/>
      <c r="E295" s="327"/>
      <c r="F295" s="327"/>
      <c r="G295" s="327"/>
      <c r="H295" s="327"/>
      <c r="I295" s="327"/>
      <c r="J295" s="327"/>
      <c r="K295" s="327"/>
      <c r="L295" s="327"/>
      <c r="M295" s="327"/>
      <c r="N295" s="327"/>
      <c r="O295" s="327"/>
      <c r="P295" s="327"/>
    </row>
    <row r="296" ht="15.75" customHeight="1">
      <c r="B296" s="327"/>
      <c r="C296" s="327"/>
      <c r="D296" s="327"/>
      <c r="E296" s="327"/>
      <c r="F296" s="327"/>
      <c r="G296" s="327"/>
      <c r="H296" s="327"/>
      <c r="I296" s="327"/>
      <c r="J296" s="327"/>
      <c r="K296" s="327"/>
      <c r="L296" s="327"/>
      <c r="M296" s="327"/>
      <c r="N296" s="327"/>
      <c r="O296" s="327"/>
      <c r="P296" s="327"/>
    </row>
    <row r="297" ht="15.75" customHeight="1">
      <c r="B297" s="327"/>
      <c r="C297" s="327"/>
      <c r="D297" s="327"/>
      <c r="E297" s="327"/>
      <c r="F297" s="327"/>
      <c r="G297" s="327"/>
      <c r="H297" s="327"/>
      <c r="I297" s="327"/>
      <c r="J297" s="327"/>
      <c r="K297" s="327"/>
      <c r="L297" s="327"/>
      <c r="M297" s="327"/>
      <c r="N297" s="327"/>
      <c r="O297" s="327"/>
      <c r="P297" s="327"/>
    </row>
    <row r="298" ht="15.75" customHeight="1">
      <c r="B298" s="327"/>
      <c r="C298" s="327"/>
      <c r="D298" s="327"/>
      <c r="E298" s="327"/>
      <c r="F298" s="327"/>
      <c r="G298" s="327"/>
      <c r="H298" s="327"/>
      <c r="I298" s="327"/>
      <c r="J298" s="327"/>
      <c r="K298" s="327"/>
      <c r="L298" s="327"/>
      <c r="M298" s="327"/>
      <c r="N298" s="327"/>
      <c r="O298" s="327"/>
      <c r="P298" s="327"/>
    </row>
    <row r="299" ht="15.75" customHeight="1">
      <c r="B299" s="327"/>
      <c r="C299" s="327"/>
      <c r="D299" s="327"/>
      <c r="E299" s="327"/>
      <c r="F299" s="327"/>
      <c r="G299" s="327"/>
      <c r="H299" s="327"/>
      <c r="I299" s="327"/>
      <c r="J299" s="327"/>
      <c r="K299" s="327"/>
      <c r="L299" s="327"/>
      <c r="M299" s="327"/>
      <c r="N299" s="327"/>
      <c r="O299" s="327"/>
      <c r="P299" s="327"/>
    </row>
    <row r="300" ht="15.75" customHeight="1">
      <c r="B300" s="327"/>
      <c r="C300" s="327"/>
      <c r="D300" s="327"/>
      <c r="E300" s="327"/>
      <c r="F300" s="327"/>
      <c r="G300" s="327"/>
      <c r="H300" s="327"/>
      <c r="I300" s="327"/>
      <c r="J300" s="327"/>
      <c r="K300" s="327"/>
      <c r="L300" s="327"/>
      <c r="M300" s="327"/>
      <c r="N300" s="327"/>
      <c r="O300" s="327"/>
      <c r="P300" s="327"/>
    </row>
    <row r="301" ht="15.75" customHeight="1">
      <c r="B301" s="327"/>
      <c r="C301" s="327"/>
      <c r="D301" s="327"/>
      <c r="E301" s="327"/>
      <c r="F301" s="327"/>
      <c r="G301" s="327"/>
      <c r="H301" s="327"/>
      <c r="I301" s="327"/>
      <c r="J301" s="327"/>
      <c r="K301" s="327"/>
      <c r="L301" s="327"/>
      <c r="M301" s="327"/>
      <c r="N301" s="327"/>
      <c r="O301" s="327"/>
      <c r="P301" s="327"/>
    </row>
    <row r="302" ht="15.75" customHeight="1">
      <c r="B302" s="327"/>
      <c r="C302" s="327"/>
      <c r="D302" s="327"/>
      <c r="E302" s="327"/>
      <c r="F302" s="327"/>
      <c r="G302" s="327"/>
      <c r="H302" s="327"/>
      <c r="I302" s="327"/>
      <c r="J302" s="327"/>
      <c r="K302" s="327"/>
      <c r="L302" s="327"/>
      <c r="M302" s="327"/>
      <c r="N302" s="327"/>
      <c r="O302" s="327"/>
      <c r="P302" s="327"/>
    </row>
    <row r="303" ht="15.75" customHeight="1">
      <c r="B303" s="327"/>
      <c r="C303" s="327"/>
      <c r="D303" s="327"/>
      <c r="E303" s="327"/>
      <c r="F303" s="327"/>
      <c r="G303" s="327"/>
      <c r="H303" s="327"/>
      <c r="I303" s="327"/>
      <c r="J303" s="327"/>
      <c r="K303" s="327"/>
      <c r="L303" s="327"/>
      <c r="M303" s="327"/>
      <c r="N303" s="327"/>
      <c r="O303" s="327"/>
      <c r="P303" s="327"/>
    </row>
    <row r="304" ht="15.75" customHeight="1">
      <c r="B304" s="327"/>
      <c r="C304" s="327"/>
      <c r="D304" s="327"/>
      <c r="E304" s="327"/>
      <c r="F304" s="327"/>
      <c r="G304" s="327"/>
      <c r="H304" s="327"/>
      <c r="I304" s="327"/>
      <c r="J304" s="327"/>
      <c r="K304" s="327"/>
      <c r="L304" s="327"/>
      <c r="M304" s="327"/>
      <c r="N304" s="327"/>
      <c r="O304" s="327"/>
      <c r="P304" s="327"/>
    </row>
    <row r="305" ht="15.75" customHeight="1">
      <c r="B305" s="327"/>
      <c r="C305" s="327"/>
      <c r="D305" s="327"/>
      <c r="E305" s="327"/>
      <c r="F305" s="327"/>
      <c r="G305" s="327"/>
      <c r="H305" s="327"/>
      <c r="I305" s="327"/>
      <c r="J305" s="327"/>
      <c r="K305" s="327"/>
      <c r="L305" s="327"/>
      <c r="M305" s="327"/>
      <c r="N305" s="327"/>
      <c r="O305" s="327"/>
      <c r="P305" s="327"/>
    </row>
    <row r="306" ht="15.75" customHeight="1">
      <c r="B306" s="327"/>
      <c r="C306" s="327"/>
      <c r="D306" s="327"/>
      <c r="E306" s="327"/>
      <c r="F306" s="327"/>
      <c r="G306" s="327"/>
      <c r="H306" s="327"/>
      <c r="I306" s="327"/>
      <c r="J306" s="327"/>
      <c r="K306" s="327"/>
      <c r="L306" s="327"/>
      <c r="M306" s="327"/>
      <c r="N306" s="327"/>
      <c r="O306" s="327"/>
      <c r="P306" s="327"/>
    </row>
    <row r="307" ht="15.75" customHeight="1">
      <c r="B307" s="327"/>
      <c r="C307" s="327"/>
      <c r="D307" s="327"/>
      <c r="E307" s="327"/>
      <c r="F307" s="327"/>
      <c r="G307" s="327"/>
      <c r="H307" s="327"/>
      <c r="I307" s="327"/>
      <c r="J307" s="327"/>
      <c r="K307" s="327"/>
      <c r="L307" s="327"/>
      <c r="M307" s="327"/>
      <c r="N307" s="327"/>
      <c r="O307" s="327"/>
      <c r="P307" s="327"/>
    </row>
    <row r="308" ht="15.75" customHeight="1">
      <c r="B308" s="327"/>
      <c r="C308" s="327"/>
      <c r="D308" s="327"/>
      <c r="E308" s="327"/>
      <c r="F308" s="327"/>
      <c r="G308" s="327"/>
      <c r="H308" s="327"/>
      <c r="I308" s="327"/>
      <c r="J308" s="327"/>
      <c r="K308" s="327"/>
      <c r="L308" s="327"/>
      <c r="M308" s="327"/>
      <c r="N308" s="327"/>
      <c r="O308" s="327"/>
      <c r="P308" s="327"/>
    </row>
    <row r="309" ht="15.75" customHeight="1">
      <c r="B309" s="327"/>
      <c r="C309" s="327"/>
      <c r="D309" s="327"/>
      <c r="E309" s="327"/>
      <c r="F309" s="327"/>
      <c r="G309" s="327"/>
      <c r="H309" s="327"/>
      <c r="I309" s="327"/>
      <c r="J309" s="327"/>
      <c r="K309" s="327"/>
      <c r="L309" s="327"/>
      <c r="M309" s="327"/>
      <c r="N309" s="327"/>
      <c r="O309" s="327"/>
      <c r="P309" s="327"/>
    </row>
    <row r="310" ht="15.75" customHeight="1">
      <c r="B310" s="327"/>
      <c r="C310" s="327"/>
      <c r="D310" s="327"/>
      <c r="E310" s="327"/>
      <c r="F310" s="327"/>
      <c r="G310" s="327"/>
      <c r="H310" s="327"/>
      <c r="I310" s="327"/>
      <c r="J310" s="327"/>
      <c r="K310" s="327"/>
      <c r="L310" s="327"/>
      <c r="M310" s="327"/>
      <c r="N310" s="327"/>
      <c r="O310" s="327"/>
      <c r="P310" s="327"/>
    </row>
    <row r="311" ht="15.75" customHeight="1">
      <c r="B311" s="327"/>
      <c r="C311" s="327"/>
      <c r="D311" s="327"/>
      <c r="E311" s="327"/>
      <c r="F311" s="327"/>
      <c r="G311" s="327"/>
      <c r="H311" s="327"/>
      <c r="I311" s="327"/>
      <c r="J311" s="327"/>
      <c r="K311" s="327"/>
      <c r="L311" s="327"/>
      <c r="M311" s="327"/>
      <c r="N311" s="327"/>
      <c r="O311" s="327"/>
      <c r="P311" s="327"/>
    </row>
    <row r="312" ht="15.75" customHeight="1">
      <c r="B312" s="327"/>
      <c r="C312" s="327"/>
      <c r="D312" s="327"/>
      <c r="E312" s="327"/>
      <c r="F312" s="327"/>
      <c r="G312" s="327"/>
      <c r="H312" s="327"/>
      <c r="I312" s="327"/>
      <c r="J312" s="327"/>
      <c r="K312" s="327"/>
      <c r="L312" s="327"/>
      <c r="M312" s="327"/>
      <c r="N312" s="327"/>
      <c r="O312" s="327"/>
      <c r="P312" s="327"/>
    </row>
    <row r="313" ht="15.75" customHeight="1">
      <c r="B313" s="327"/>
      <c r="C313" s="327"/>
      <c r="D313" s="327"/>
      <c r="E313" s="327"/>
      <c r="F313" s="327"/>
      <c r="G313" s="327"/>
      <c r="H313" s="327"/>
      <c r="I313" s="327"/>
      <c r="J313" s="327"/>
      <c r="K313" s="327"/>
      <c r="L313" s="327"/>
      <c r="M313" s="327"/>
      <c r="N313" s="327"/>
      <c r="O313" s="327"/>
      <c r="P313" s="327"/>
    </row>
    <row r="314" ht="15.75" customHeight="1">
      <c r="B314" s="327"/>
      <c r="C314" s="327"/>
      <c r="D314" s="327"/>
      <c r="E314" s="327"/>
      <c r="F314" s="327"/>
      <c r="G314" s="327"/>
      <c r="H314" s="327"/>
      <c r="I314" s="327"/>
      <c r="J314" s="327"/>
      <c r="K314" s="327"/>
      <c r="L314" s="327"/>
      <c r="M314" s="327"/>
      <c r="N314" s="327"/>
      <c r="O314" s="327"/>
      <c r="P314" s="327"/>
    </row>
    <row r="315" ht="15.75" customHeight="1">
      <c r="B315" s="327"/>
      <c r="C315" s="327"/>
      <c r="D315" s="327"/>
      <c r="E315" s="327"/>
      <c r="F315" s="327"/>
      <c r="G315" s="327"/>
      <c r="H315" s="327"/>
      <c r="I315" s="327"/>
      <c r="J315" s="327"/>
      <c r="K315" s="327"/>
      <c r="L315" s="327"/>
      <c r="M315" s="327"/>
      <c r="N315" s="327"/>
      <c r="O315" s="327"/>
      <c r="P315" s="327"/>
    </row>
    <row r="316" ht="15.75" customHeight="1">
      <c r="B316" s="327"/>
      <c r="C316" s="327"/>
      <c r="D316" s="327"/>
      <c r="E316" s="327"/>
      <c r="F316" s="327"/>
      <c r="G316" s="327"/>
      <c r="H316" s="327"/>
      <c r="I316" s="327"/>
      <c r="J316" s="327"/>
      <c r="K316" s="327"/>
      <c r="L316" s="327"/>
      <c r="M316" s="327"/>
      <c r="N316" s="327"/>
      <c r="O316" s="327"/>
      <c r="P316" s="327"/>
    </row>
    <row r="317" ht="15.75" customHeight="1">
      <c r="B317" s="327"/>
      <c r="C317" s="327"/>
      <c r="D317" s="327"/>
      <c r="E317" s="327"/>
      <c r="F317" s="327"/>
      <c r="G317" s="327"/>
      <c r="H317" s="327"/>
      <c r="I317" s="327"/>
      <c r="J317" s="327"/>
      <c r="K317" s="327"/>
      <c r="L317" s="327"/>
      <c r="M317" s="327"/>
      <c r="N317" s="327"/>
      <c r="O317" s="327"/>
      <c r="P317" s="327"/>
    </row>
    <row r="318" ht="15.75" customHeight="1">
      <c r="B318" s="327"/>
      <c r="C318" s="327"/>
      <c r="D318" s="327"/>
      <c r="E318" s="327"/>
      <c r="F318" s="327"/>
      <c r="G318" s="327"/>
      <c r="H318" s="327"/>
      <c r="I318" s="327"/>
      <c r="J318" s="327"/>
      <c r="K318" s="327"/>
      <c r="L318" s="327"/>
      <c r="M318" s="327"/>
      <c r="N318" s="327"/>
      <c r="O318" s="327"/>
      <c r="P318" s="327"/>
    </row>
    <row r="319" ht="15.75" customHeight="1">
      <c r="B319" s="327"/>
      <c r="C319" s="327"/>
      <c r="D319" s="327"/>
      <c r="E319" s="327"/>
      <c r="F319" s="327"/>
      <c r="G319" s="327"/>
      <c r="H319" s="327"/>
      <c r="I319" s="327"/>
      <c r="J319" s="327"/>
      <c r="K319" s="327"/>
      <c r="L319" s="327"/>
      <c r="M319" s="327"/>
      <c r="N319" s="327"/>
      <c r="O319" s="327"/>
      <c r="P319" s="327"/>
    </row>
    <row r="320" ht="15.75" customHeight="1">
      <c r="B320" s="327"/>
      <c r="C320" s="327"/>
      <c r="D320" s="327"/>
      <c r="E320" s="327"/>
      <c r="F320" s="327"/>
      <c r="G320" s="327"/>
      <c r="H320" s="327"/>
      <c r="I320" s="327"/>
      <c r="J320" s="327"/>
      <c r="K320" s="327"/>
      <c r="L320" s="327"/>
      <c r="M320" s="327"/>
      <c r="N320" s="327"/>
      <c r="O320" s="327"/>
      <c r="P320" s="327"/>
    </row>
    <row r="321" ht="15.75" customHeight="1">
      <c r="B321" s="327"/>
      <c r="C321" s="327"/>
      <c r="D321" s="327"/>
      <c r="E321" s="327"/>
      <c r="F321" s="327"/>
      <c r="G321" s="327"/>
      <c r="H321" s="327"/>
      <c r="I321" s="327"/>
      <c r="J321" s="327"/>
      <c r="K321" s="327"/>
      <c r="L321" s="327"/>
      <c r="M321" s="327"/>
      <c r="N321" s="327"/>
      <c r="O321" s="327"/>
      <c r="P321" s="327"/>
    </row>
    <row r="322" ht="15.75" customHeight="1">
      <c r="B322" s="327"/>
      <c r="C322" s="327"/>
      <c r="D322" s="327"/>
      <c r="E322" s="327"/>
      <c r="F322" s="327"/>
      <c r="G322" s="327"/>
      <c r="H322" s="327"/>
      <c r="I322" s="327"/>
      <c r="J322" s="327"/>
      <c r="K322" s="327"/>
      <c r="L322" s="327"/>
      <c r="M322" s="327"/>
      <c r="N322" s="327"/>
      <c r="O322" s="327"/>
      <c r="P322" s="327"/>
    </row>
    <row r="323" ht="15.75" customHeight="1">
      <c r="B323" s="327"/>
      <c r="C323" s="327"/>
      <c r="D323" s="327"/>
      <c r="E323" s="327"/>
      <c r="F323" s="327"/>
      <c r="G323" s="327"/>
      <c r="H323" s="327"/>
      <c r="I323" s="327"/>
      <c r="J323" s="327"/>
      <c r="K323" s="327"/>
      <c r="L323" s="327"/>
      <c r="M323" s="327"/>
      <c r="N323" s="327"/>
      <c r="O323" s="327"/>
      <c r="P323" s="327"/>
    </row>
    <row r="324" ht="15.75" customHeight="1">
      <c r="B324" s="327"/>
      <c r="C324" s="327"/>
      <c r="D324" s="327"/>
      <c r="E324" s="327"/>
      <c r="F324" s="327"/>
      <c r="G324" s="327"/>
      <c r="H324" s="327"/>
      <c r="I324" s="327"/>
      <c r="J324" s="327"/>
      <c r="K324" s="327"/>
      <c r="L324" s="327"/>
      <c r="M324" s="327"/>
      <c r="N324" s="327"/>
      <c r="O324" s="327"/>
      <c r="P324" s="327"/>
    </row>
    <row r="325" ht="15.75" customHeight="1">
      <c r="B325" s="327"/>
      <c r="C325" s="327"/>
      <c r="D325" s="327"/>
      <c r="E325" s="327"/>
      <c r="F325" s="327"/>
      <c r="G325" s="327"/>
      <c r="H325" s="327"/>
      <c r="I325" s="327"/>
      <c r="J325" s="327"/>
      <c r="K325" s="327"/>
      <c r="L325" s="327"/>
      <c r="M325" s="327"/>
      <c r="N325" s="327"/>
      <c r="O325" s="327"/>
      <c r="P325" s="327"/>
    </row>
    <row r="326" ht="15.75" customHeight="1">
      <c r="B326" s="327"/>
      <c r="C326" s="327"/>
      <c r="D326" s="327"/>
      <c r="E326" s="327"/>
      <c r="F326" s="327"/>
      <c r="G326" s="327"/>
      <c r="H326" s="327"/>
      <c r="I326" s="327"/>
      <c r="J326" s="327"/>
      <c r="K326" s="327"/>
      <c r="L326" s="327"/>
      <c r="M326" s="327"/>
      <c r="N326" s="327"/>
      <c r="O326" s="327"/>
      <c r="P326" s="327"/>
    </row>
    <row r="327" ht="15.75" customHeight="1">
      <c r="B327" s="327"/>
      <c r="C327" s="327"/>
      <c r="D327" s="327"/>
      <c r="E327" s="327"/>
      <c r="F327" s="327"/>
      <c r="G327" s="327"/>
      <c r="H327" s="327"/>
      <c r="I327" s="327"/>
      <c r="J327" s="327"/>
      <c r="K327" s="327"/>
      <c r="L327" s="327"/>
      <c r="M327" s="327"/>
      <c r="N327" s="327"/>
      <c r="O327" s="327"/>
      <c r="P327" s="327"/>
    </row>
    <row r="328" ht="15.75" customHeight="1">
      <c r="B328" s="327"/>
      <c r="C328" s="327"/>
      <c r="D328" s="327"/>
      <c r="E328" s="327"/>
      <c r="F328" s="327"/>
      <c r="G328" s="327"/>
      <c r="H328" s="327"/>
      <c r="I328" s="327"/>
      <c r="J328" s="327"/>
      <c r="K328" s="327"/>
      <c r="L328" s="327"/>
      <c r="M328" s="327"/>
      <c r="N328" s="327"/>
      <c r="O328" s="327"/>
      <c r="P328" s="327"/>
    </row>
    <row r="329" ht="15.75" customHeight="1">
      <c r="B329" s="327"/>
      <c r="C329" s="327"/>
      <c r="D329" s="327"/>
      <c r="E329" s="327"/>
      <c r="F329" s="327"/>
      <c r="G329" s="327"/>
      <c r="H329" s="327"/>
      <c r="I329" s="327"/>
      <c r="J329" s="327"/>
      <c r="K329" s="327"/>
      <c r="L329" s="327"/>
      <c r="M329" s="327"/>
      <c r="N329" s="327"/>
      <c r="O329" s="327"/>
      <c r="P329" s="327"/>
    </row>
    <row r="330" ht="15.75" customHeight="1">
      <c r="B330" s="327"/>
      <c r="C330" s="327"/>
      <c r="D330" s="327"/>
      <c r="E330" s="327"/>
      <c r="F330" s="327"/>
      <c r="G330" s="327"/>
      <c r="H330" s="327"/>
      <c r="I330" s="327"/>
      <c r="J330" s="327"/>
      <c r="K330" s="327"/>
      <c r="L330" s="327"/>
      <c r="M330" s="327"/>
      <c r="N330" s="327"/>
      <c r="O330" s="327"/>
      <c r="P330" s="327"/>
    </row>
    <row r="331" ht="15.75" customHeight="1">
      <c r="B331" s="327"/>
      <c r="C331" s="327"/>
      <c r="D331" s="327"/>
      <c r="E331" s="327"/>
      <c r="F331" s="327"/>
      <c r="G331" s="327"/>
      <c r="H331" s="327"/>
      <c r="I331" s="327"/>
      <c r="J331" s="327"/>
      <c r="K331" s="327"/>
      <c r="L331" s="327"/>
      <c r="M331" s="327"/>
      <c r="N331" s="327"/>
      <c r="O331" s="327"/>
      <c r="P331" s="327"/>
    </row>
    <row r="332" ht="15.75" customHeight="1">
      <c r="B332" s="327"/>
      <c r="C332" s="327"/>
      <c r="D332" s="327"/>
      <c r="E332" s="327"/>
      <c r="F332" s="327"/>
      <c r="G332" s="327"/>
      <c r="H332" s="327"/>
      <c r="I332" s="327"/>
      <c r="J332" s="327"/>
      <c r="K332" s="327"/>
      <c r="L332" s="327"/>
      <c r="M332" s="327"/>
      <c r="N332" s="327"/>
      <c r="O332" s="327"/>
      <c r="P332" s="327"/>
    </row>
    <row r="333" ht="15.75" customHeight="1">
      <c r="B333" s="327"/>
      <c r="C333" s="327"/>
      <c r="D333" s="327"/>
      <c r="E333" s="327"/>
      <c r="F333" s="327"/>
      <c r="G333" s="327"/>
      <c r="H333" s="327"/>
      <c r="I333" s="327"/>
      <c r="J333" s="327"/>
      <c r="K333" s="327"/>
      <c r="L333" s="327"/>
      <c r="M333" s="327"/>
      <c r="N333" s="327"/>
      <c r="O333" s="327"/>
      <c r="P333" s="327"/>
    </row>
    <row r="334" ht="15.75" customHeight="1">
      <c r="B334" s="327"/>
      <c r="C334" s="327"/>
      <c r="D334" s="327"/>
      <c r="E334" s="327"/>
      <c r="F334" s="327"/>
      <c r="G334" s="327"/>
      <c r="H334" s="327"/>
      <c r="I334" s="327"/>
      <c r="J334" s="327"/>
      <c r="K334" s="327"/>
      <c r="L334" s="327"/>
      <c r="M334" s="327"/>
      <c r="N334" s="327"/>
      <c r="O334" s="327"/>
      <c r="P334" s="327"/>
    </row>
    <row r="335" ht="15.75" customHeight="1">
      <c r="B335" s="327"/>
      <c r="C335" s="327"/>
      <c r="D335" s="327"/>
      <c r="E335" s="327"/>
      <c r="F335" s="327"/>
      <c r="G335" s="327"/>
      <c r="H335" s="327"/>
      <c r="I335" s="327"/>
      <c r="J335" s="327"/>
      <c r="K335" s="327"/>
      <c r="L335" s="327"/>
      <c r="M335" s="327"/>
      <c r="N335" s="327"/>
      <c r="O335" s="327"/>
      <c r="P335" s="327"/>
    </row>
    <row r="336" ht="15.75" customHeight="1">
      <c r="B336" s="327"/>
      <c r="C336" s="327"/>
      <c r="D336" s="327"/>
      <c r="E336" s="327"/>
      <c r="F336" s="327"/>
      <c r="G336" s="327"/>
      <c r="H336" s="327"/>
      <c r="I336" s="327"/>
      <c r="J336" s="327"/>
      <c r="K336" s="327"/>
      <c r="L336" s="327"/>
      <c r="M336" s="327"/>
      <c r="N336" s="327"/>
      <c r="O336" s="327"/>
      <c r="P336" s="327"/>
    </row>
    <row r="337" ht="15.75" customHeight="1">
      <c r="B337" s="327"/>
      <c r="C337" s="327"/>
      <c r="D337" s="327"/>
      <c r="E337" s="327"/>
      <c r="F337" s="327"/>
      <c r="G337" s="327"/>
      <c r="H337" s="327"/>
      <c r="I337" s="327"/>
      <c r="J337" s="327"/>
      <c r="K337" s="327"/>
      <c r="L337" s="327"/>
      <c r="M337" s="327"/>
      <c r="N337" s="327"/>
      <c r="O337" s="327"/>
      <c r="P337" s="327"/>
    </row>
    <row r="338" ht="15.75" customHeight="1">
      <c r="B338" s="327"/>
      <c r="C338" s="327"/>
      <c r="D338" s="327"/>
      <c r="E338" s="327"/>
      <c r="F338" s="327"/>
      <c r="G338" s="327"/>
      <c r="H338" s="327"/>
      <c r="I338" s="327"/>
      <c r="J338" s="327"/>
      <c r="K338" s="327"/>
      <c r="L338" s="327"/>
      <c r="M338" s="327"/>
      <c r="N338" s="327"/>
      <c r="O338" s="327"/>
      <c r="P338" s="327"/>
    </row>
    <row r="339" ht="15.75" customHeight="1">
      <c r="B339" s="327"/>
      <c r="C339" s="327"/>
      <c r="D339" s="327"/>
      <c r="E339" s="327"/>
      <c r="F339" s="327"/>
      <c r="G339" s="327"/>
      <c r="H339" s="327"/>
      <c r="I339" s="327"/>
      <c r="J339" s="327"/>
      <c r="K339" s="327"/>
      <c r="L339" s="327"/>
      <c r="M339" s="327"/>
      <c r="N339" s="327"/>
      <c r="O339" s="327"/>
      <c r="P339" s="327"/>
    </row>
    <row r="340" ht="15.75" customHeight="1">
      <c r="B340" s="327"/>
      <c r="C340" s="327"/>
      <c r="D340" s="327"/>
      <c r="E340" s="327"/>
      <c r="F340" s="327"/>
      <c r="G340" s="327"/>
      <c r="H340" s="327"/>
      <c r="I340" s="327"/>
      <c r="J340" s="327"/>
      <c r="K340" s="327"/>
      <c r="L340" s="327"/>
      <c r="M340" s="327"/>
      <c r="N340" s="327"/>
      <c r="O340" s="327"/>
      <c r="P340" s="327"/>
    </row>
    <row r="341" ht="15.75" customHeight="1">
      <c r="B341" s="327"/>
      <c r="C341" s="327"/>
      <c r="D341" s="327"/>
      <c r="E341" s="327"/>
      <c r="F341" s="327"/>
      <c r="G341" s="327"/>
      <c r="H341" s="327"/>
      <c r="I341" s="327"/>
      <c r="J341" s="327"/>
      <c r="K341" s="327"/>
      <c r="L341" s="327"/>
      <c r="M341" s="327"/>
      <c r="N341" s="327"/>
      <c r="O341" s="327"/>
      <c r="P341" s="327"/>
    </row>
    <row r="342" ht="15.75" customHeight="1">
      <c r="B342" s="327"/>
      <c r="C342" s="327"/>
      <c r="D342" s="327"/>
      <c r="E342" s="327"/>
      <c r="F342" s="327"/>
      <c r="G342" s="327"/>
      <c r="H342" s="327"/>
      <c r="I342" s="327"/>
      <c r="J342" s="327"/>
      <c r="K342" s="327"/>
      <c r="L342" s="327"/>
      <c r="M342" s="327"/>
      <c r="N342" s="327"/>
      <c r="O342" s="327"/>
      <c r="P342" s="327"/>
    </row>
    <row r="343" ht="15.75" customHeight="1">
      <c r="B343" s="327"/>
      <c r="C343" s="327"/>
      <c r="D343" s="327"/>
      <c r="E343" s="327"/>
      <c r="F343" s="327"/>
      <c r="G343" s="327"/>
      <c r="H343" s="327"/>
      <c r="I343" s="327"/>
      <c r="J343" s="327"/>
      <c r="K343" s="327"/>
      <c r="L343" s="327"/>
      <c r="M343" s="327"/>
      <c r="N343" s="327"/>
      <c r="O343" s="327"/>
      <c r="P343" s="327"/>
    </row>
    <row r="344" ht="15.75" customHeight="1">
      <c r="B344" s="327"/>
      <c r="C344" s="327"/>
      <c r="D344" s="327"/>
      <c r="E344" s="327"/>
      <c r="F344" s="327"/>
      <c r="G344" s="327"/>
      <c r="H344" s="327"/>
      <c r="I344" s="327"/>
      <c r="J344" s="327"/>
      <c r="K344" s="327"/>
      <c r="L344" s="327"/>
      <c r="M344" s="327"/>
      <c r="N344" s="327"/>
      <c r="O344" s="327"/>
      <c r="P344" s="327"/>
    </row>
    <row r="345" ht="15.75" customHeight="1">
      <c r="B345" s="327"/>
      <c r="C345" s="327"/>
      <c r="D345" s="327"/>
      <c r="E345" s="327"/>
      <c r="F345" s="327"/>
      <c r="G345" s="327"/>
      <c r="H345" s="327"/>
      <c r="I345" s="327"/>
      <c r="J345" s="327"/>
      <c r="K345" s="327"/>
      <c r="L345" s="327"/>
      <c r="M345" s="327"/>
      <c r="N345" s="327"/>
      <c r="O345" s="327"/>
      <c r="P345" s="327"/>
    </row>
    <row r="346" ht="15.75" customHeight="1">
      <c r="B346" s="327"/>
      <c r="C346" s="327"/>
      <c r="D346" s="327"/>
      <c r="E346" s="327"/>
      <c r="F346" s="327"/>
      <c r="G346" s="327"/>
      <c r="H346" s="327"/>
      <c r="I346" s="327"/>
      <c r="J346" s="327"/>
      <c r="K346" s="327"/>
      <c r="L346" s="327"/>
      <c r="M346" s="327"/>
      <c r="N346" s="327"/>
      <c r="O346" s="327"/>
      <c r="P346" s="327"/>
    </row>
    <row r="347" ht="15.75" customHeight="1">
      <c r="B347" s="327"/>
      <c r="C347" s="327"/>
      <c r="D347" s="327"/>
      <c r="E347" s="327"/>
      <c r="F347" s="327"/>
      <c r="G347" s="327"/>
      <c r="H347" s="327"/>
      <c r="I347" s="327"/>
      <c r="J347" s="327"/>
      <c r="K347" s="327"/>
      <c r="L347" s="327"/>
      <c r="M347" s="327"/>
      <c r="N347" s="327"/>
      <c r="O347" s="327"/>
      <c r="P347" s="327"/>
    </row>
    <row r="348" ht="15.75" customHeight="1">
      <c r="B348" s="327"/>
      <c r="C348" s="327"/>
      <c r="D348" s="327"/>
      <c r="E348" s="327"/>
      <c r="F348" s="327"/>
      <c r="G348" s="327"/>
      <c r="H348" s="327"/>
      <c r="I348" s="327"/>
      <c r="J348" s="327"/>
      <c r="K348" s="327"/>
      <c r="L348" s="327"/>
      <c r="M348" s="327"/>
      <c r="N348" s="327"/>
      <c r="O348" s="327"/>
      <c r="P348" s="327"/>
    </row>
    <row r="349" ht="15.75" customHeight="1">
      <c r="B349" s="327"/>
      <c r="C349" s="327"/>
      <c r="D349" s="327"/>
      <c r="E349" s="327"/>
      <c r="F349" s="327"/>
      <c r="G349" s="327"/>
      <c r="H349" s="327"/>
      <c r="I349" s="327"/>
      <c r="J349" s="327"/>
      <c r="K349" s="327"/>
      <c r="L349" s="327"/>
      <c r="M349" s="327"/>
      <c r="N349" s="327"/>
      <c r="O349" s="327"/>
      <c r="P349" s="327"/>
    </row>
    <row r="350" ht="15.75" customHeight="1">
      <c r="B350" s="327"/>
      <c r="C350" s="327"/>
      <c r="D350" s="327"/>
      <c r="E350" s="327"/>
      <c r="F350" s="327"/>
      <c r="G350" s="327"/>
      <c r="H350" s="327"/>
      <c r="I350" s="327"/>
      <c r="J350" s="327"/>
      <c r="K350" s="327"/>
      <c r="L350" s="327"/>
      <c r="M350" s="327"/>
      <c r="N350" s="327"/>
      <c r="O350" s="327"/>
      <c r="P350" s="327"/>
    </row>
    <row r="351" ht="15.75" customHeight="1">
      <c r="B351" s="327"/>
      <c r="C351" s="327"/>
      <c r="D351" s="327"/>
      <c r="E351" s="327"/>
      <c r="F351" s="327"/>
      <c r="G351" s="327"/>
      <c r="H351" s="327"/>
      <c r="I351" s="327"/>
      <c r="J351" s="327"/>
      <c r="K351" s="327"/>
      <c r="L351" s="327"/>
      <c r="M351" s="327"/>
      <c r="N351" s="327"/>
      <c r="O351" s="327"/>
      <c r="P351" s="327"/>
    </row>
    <row r="352" ht="15.75" customHeight="1">
      <c r="B352" s="327"/>
      <c r="C352" s="327"/>
      <c r="D352" s="327"/>
      <c r="E352" s="327"/>
      <c r="F352" s="327"/>
      <c r="G352" s="327"/>
      <c r="H352" s="327"/>
      <c r="I352" s="327"/>
      <c r="J352" s="327"/>
      <c r="K352" s="327"/>
      <c r="L352" s="327"/>
      <c r="M352" s="327"/>
      <c r="N352" s="327"/>
      <c r="O352" s="327"/>
      <c r="P352" s="327"/>
    </row>
    <row r="353" ht="15.75" customHeight="1">
      <c r="B353" s="327"/>
      <c r="C353" s="327"/>
      <c r="D353" s="327"/>
      <c r="E353" s="327"/>
      <c r="F353" s="327"/>
      <c r="G353" s="327"/>
      <c r="H353" s="327"/>
      <c r="I353" s="327"/>
      <c r="J353" s="327"/>
      <c r="K353" s="327"/>
      <c r="L353" s="327"/>
      <c r="M353" s="327"/>
      <c r="N353" s="327"/>
      <c r="O353" s="327"/>
      <c r="P353" s="327"/>
    </row>
    <row r="354" ht="15.75" customHeight="1">
      <c r="B354" s="327"/>
      <c r="C354" s="327"/>
      <c r="D354" s="327"/>
      <c r="E354" s="327"/>
      <c r="F354" s="327"/>
      <c r="G354" s="327"/>
      <c r="H354" s="327"/>
      <c r="I354" s="327"/>
      <c r="J354" s="327"/>
      <c r="K354" s="327"/>
      <c r="L354" s="327"/>
      <c r="M354" s="327"/>
      <c r="N354" s="327"/>
      <c r="O354" s="327"/>
      <c r="P354" s="327"/>
    </row>
    <row r="355" ht="15.75" customHeight="1">
      <c r="B355" s="327"/>
      <c r="C355" s="327"/>
      <c r="D355" s="327"/>
      <c r="E355" s="327"/>
      <c r="F355" s="327"/>
      <c r="G355" s="327"/>
      <c r="H355" s="327"/>
      <c r="I355" s="327"/>
      <c r="J355" s="327"/>
      <c r="K355" s="327"/>
      <c r="L355" s="327"/>
      <c r="M355" s="327"/>
      <c r="N355" s="327"/>
      <c r="O355" s="327"/>
      <c r="P355" s="327"/>
    </row>
    <row r="356" ht="15.75" customHeight="1">
      <c r="B356" s="327"/>
      <c r="C356" s="327"/>
      <c r="D356" s="327"/>
      <c r="E356" s="327"/>
      <c r="F356" s="327"/>
      <c r="G356" s="327"/>
      <c r="H356" s="327"/>
      <c r="I356" s="327"/>
      <c r="J356" s="327"/>
      <c r="K356" s="327"/>
      <c r="L356" s="327"/>
      <c r="M356" s="327"/>
      <c r="N356" s="327"/>
      <c r="O356" s="327"/>
      <c r="P356" s="327"/>
    </row>
    <row r="357" ht="15.75" customHeight="1">
      <c r="B357" s="327"/>
      <c r="C357" s="327"/>
      <c r="D357" s="327"/>
      <c r="E357" s="327"/>
      <c r="F357" s="327"/>
      <c r="G357" s="327"/>
      <c r="H357" s="327"/>
      <c r="I357" s="327"/>
      <c r="J357" s="327"/>
      <c r="K357" s="327"/>
      <c r="L357" s="327"/>
      <c r="M357" s="327"/>
      <c r="N357" s="327"/>
      <c r="O357" s="327"/>
      <c r="P357" s="327"/>
    </row>
    <row r="358" ht="15.75" customHeight="1">
      <c r="B358" s="327"/>
      <c r="C358" s="327"/>
      <c r="D358" s="327"/>
      <c r="E358" s="327"/>
      <c r="F358" s="327"/>
      <c r="G358" s="327"/>
      <c r="H358" s="327"/>
      <c r="I358" s="327"/>
      <c r="J358" s="327"/>
      <c r="K358" s="327"/>
      <c r="L358" s="327"/>
      <c r="M358" s="327"/>
      <c r="N358" s="327"/>
      <c r="O358" s="327"/>
      <c r="P358" s="327"/>
    </row>
    <row r="359" ht="15.75" customHeight="1">
      <c r="B359" s="327"/>
      <c r="C359" s="327"/>
      <c r="D359" s="327"/>
      <c r="E359" s="327"/>
      <c r="F359" s="327"/>
      <c r="G359" s="327"/>
      <c r="H359" s="327"/>
      <c r="I359" s="327"/>
      <c r="J359" s="327"/>
      <c r="K359" s="327"/>
      <c r="L359" s="327"/>
      <c r="M359" s="327"/>
      <c r="N359" s="327"/>
      <c r="O359" s="327"/>
      <c r="P359" s="327"/>
    </row>
    <row r="360" ht="15.75" customHeight="1">
      <c r="B360" s="327"/>
      <c r="C360" s="327"/>
      <c r="D360" s="327"/>
      <c r="E360" s="327"/>
      <c r="F360" s="327"/>
      <c r="G360" s="327"/>
      <c r="H360" s="327"/>
      <c r="I360" s="327"/>
      <c r="J360" s="327"/>
      <c r="K360" s="327"/>
      <c r="L360" s="327"/>
      <c r="M360" s="327"/>
      <c r="N360" s="327"/>
      <c r="O360" s="327"/>
      <c r="P360" s="327"/>
    </row>
    <row r="361" ht="15.75" customHeight="1">
      <c r="B361" s="327"/>
      <c r="C361" s="327"/>
      <c r="D361" s="327"/>
      <c r="E361" s="327"/>
      <c r="F361" s="327"/>
      <c r="G361" s="327"/>
      <c r="H361" s="327"/>
      <c r="I361" s="327"/>
      <c r="J361" s="327"/>
      <c r="K361" s="327"/>
      <c r="L361" s="327"/>
      <c r="M361" s="327"/>
      <c r="N361" s="327"/>
      <c r="O361" s="327"/>
      <c r="P361" s="327"/>
    </row>
    <row r="362" ht="15.75" customHeight="1">
      <c r="B362" s="327"/>
      <c r="C362" s="327"/>
      <c r="D362" s="327"/>
      <c r="E362" s="327"/>
      <c r="F362" s="327"/>
      <c r="G362" s="327"/>
      <c r="H362" s="327"/>
      <c r="I362" s="327"/>
      <c r="J362" s="327"/>
      <c r="K362" s="327"/>
      <c r="L362" s="327"/>
      <c r="M362" s="327"/>
      <c r="N362" s="327"/>
      <c r="O362" s="327"/>
      <c r="P362" s="327"/>
    </row>
    <row r="363" ht="15.75" customHeight="1">
      <c r="B363" s="327"/>
      <c r="C363" s="327"/>
      <c r="D363" s="327"/>
      <c r="E363" s="327"/>
      <c r="F363" s="327"/>
      <c r="G363" s="327"/>
      <c r="H363" s="327"/>
      <c r="I363" s="327"/>
      <c r="J363" s="327"/>
      <c r="K363" s="327"/>
      <c r="L363" s="327"/>
      <c r="M363" s="327"/>
      <c r="N363" s="327"/>
      <c r="O363" s="327"/>
      <c r="P363" s="327"/>
    </row>
    <row r="364" ht="15.75" customHeight="1">
      <c r="B364" s="327"/>
      <c r="C364" s="327"/>
      <c r="D364" s="327"/>
      <c r="E364" s="327"/>
      <c r="F364" s="327"/>
      <c r="G364" s="327"/>
      <c r="H364" s="327"/>
      <c r="I364" s="327"/>
      <c r="J364" s="327"/>
      <c r="K364" s="327"/>
      <c r="L364" s="327"/>
      <c r="M364" s="327"/>
      <c r="N364" s="327"/>
      <c r="O364" s="327"/>
      <c r="P364" s="327"/>
    </row>
    <row r="365" ht="15.75" customHeight="1">
      <c r="B365" s="327"/>
      <c r="C365" s="327"/>
      <c r="D365" s="327"/>
      <c r="E365" s="327"/>
      <c r="F365" s="327"/>
      <c r="G365" s="327"/>
      <c r="H365" s="327"/>
      <c r="I365" s="327"/>
      <c r="J365" s="327"/>
      <c r="K365" s="327"/>
      <c r="L365" s="327"/>
      <c r="M365" s="327"/>
      <c r="N365" s="327"/>
      <c r="O365" s="327"/>
      <c r="P365" s="327"/>
    </row>
    <row r="366" ht="15.75" customHeight="1">
      <c r="B366" s="327"/>
      <c r="C366" s="327"/>
      <c r="D366" s="327"/>
      <c r="E366" s="327"/>
      <c r="F366" s="327"/>
      <c r="G366" s="327"/>
      <c r="H366" s="327"/>
      <c r="I366" s="327"/>
      <c r="J366" s="327"/>
      <c r="K366" s="327"/>
      <c r="L366" s="327"/>
      <c r="M366" s="327"/>
      <c r="N366" s="327"/>
      <c r="O366" s="327"/>
      <c r="P366" s="327"/>
    </row>
    <row r="367" ht="15.75" customHeight="1">
      <c r="B367" s="327"/>
      <c r="C367" s="327"/>
      <c r="D367" s="327"/>
      <c r="E367" s="327"/>
      <c r="F367" s="327"/>
      <c r="G367" s="327"/>
      <c r="H367" s="327"/>
      <c r="I367" s="327"/>
      <c r="J367" s="327"/>
      <c r="K367" s="327"/>
      <c r="L367" s="327"/>
      <c r="M367" s="327"/>
      <c r="N367" s="327"/>
      <c r="O367" s="327"/>
      <c r="P367" s="327"/>
    </row>
    <row r="368" ht="15.75" customHeight="1">
      <c r="B368" s="327"/>
      <c r="C368" s="327"/>
      <c r="D368" s="327"/>
      <c r="E368" s="327"/>
      <c r="F368" s="327"/>
      <c r="G368" s="327"/>
      <c r="H368" s="327"/>
      <c r="I368" s="327"/>
      <c r="J368" s="327"/>
      <c r="K368" s="327"/>
      <c r="L368" s="327"/>
      <c r="M368" s="327"/>
      <c r="N368" s="327"/>
      <c r="O368" s="327"/>
      <c r="P368" s="327"/>
    </row>
    <row r="369" ht="15.75" customHeight="1">
      <c r="B369" s="327"/>
      <c r="C369" s="327"/>
      <c r="D369" s="327"/>
      <c r="E369" s="327"/>
      <c r="F369" s="327"/>
      <c r="G369" s="327"/>
      <c r="H369" s="327"/>
      <c r="I369" s="327"/>
      <c r="J369" s="327"/>
      <c r="K369" s="327"/>
      <c r="L369" s="327"/>
      <c r="M369" s="327"/>
      <c r="N369" s="327"/>
      <c r="O369" s="327"/>
      <c r="P369" s="327"/>
    </row>
    <row r="370" ht="15.75" customHeight="1">
      <c r="B370" s="327"/>
      <c r="C370" s="327"/>
      <c r="D370" s="327"/>
      <c r="E370" s="327"/>
      <c r="F370" s="327"/>
      <c r="G370" s="327"/>
      <c r="H370" s="327"/>
      <c r="I370" s="327"/>
      <c r="J370" s="327"/>
      <c r="K370" s="327"/>
      <c r="L370" s="327"/>
      <c r="M370" s="327"/>
      <c r="N370" s="327"/>
      <c r="O370" s="327"/>
      <c r="P370" s="327"/>
    </row>
    <row r="371" ht="15.75" customHeight="1">
      <c r="B371" s="327"/>
      <c r="C371" s="327"/>
      <c r="D371" s="327"/>
      <c r="E371" s="327"/>
      <c r="F371" s="327"/>
      <c r="G371" s="327"/>
      <c r="H371" s="327"/>
      <c r="I371" s="327"/>
      <c r="J371" s="327"/>
      <c r="K371" s="327"/>
      <c r="L371" s="327"/>
      <c r="M371" s="327"/>
      <c r="N371" s="327"/>
      <c r="O371" s="327"/>
      <c r="P371" s="327"/>
    </row>
    <row r="372" ht="15.75" customHeight="1">
      <c r="B372" s="327"/>
      <c r="C372" s="327"/>
      <c r="D372" s="327"/>
      <c r="E372" s="327"/>
      <c r="F372" s="327"/>
      <c r="G372" s="327"/>
      <c r="H372" s="327"/>
      <c r="I372" s="327"/>
      <c r="J372" s="327"/>
      <c r="K372" s="327"/>
      <c r="L372" s="327"/>
      <c r="M372" s="327"/>
      <c r="N372" s="327"/>
      <c r="O372" s="327"/>
      <c r="P372" s="327"/>
    </row>
    <row r="373" ht="15.75" customHeight="1">
      <c r="B373" s="327"/>
      <c r="C373" s="327"/>
      <c r="D373" s="327"/>
      <c r="E373" s="327"/>
      <c r="F373" s="327"/>
      <c r="G373" s="327"/>
      <c r="H373" s="327"/>
      <c r="I373" s="327"/>
      <c r="J373" s="327"/>
      <c r="K373" s="327"/>
      <c r="L373" s="327"/>
      <c r="M373" s="327"/>
      <c r="N373" s="327"/>
      <c r="O373" s="327"/>
      <c r="P373" s="327"/>
    </row>
    <row r="374" ht="15.75" customHeight="1">
      <c r="B374" s="327"/>
      <c r="C374" s="327"/>
      <c r="D374" s="327"/>
      <c r="E374" s="327"/>
      <c r="F374" s="327"/>
      <c r="G374" s="327"/>
      <c r="H374" s="327"/>
      <c r="I374" s="327"/>
      <c r="J374" s="327"/>
      <c r="K374" s="327"/>
      <c r="L374" s="327"/>
      <c r="M374" s="327"/>
      <c r="N374" s="327"/>
      <c r="O374" s="327"/>
      <c r="P374" s="327"/>
    </row>
    <row r="375" ht="15.75" customHeight="1">
      <c r="B375" s="327"/>
      <c r="C375" s="327"/>
      <c r="D375" s="327"/>
      <c r="E375" s="327"/>
      <c r="F375" s="327"/>
      <c r="G375" s="327"/>
      <c r="H375" s="327"/>
      <c r="I375" s="327"/>
      <c r="J375" s="327"/>
      <c r="K375" s="327"/>
      <c r="L375" s="327"/>
      <c r="M375" s="327"/>
      <c r="N375" s="327"/>
      <c r="O375" s="327"/>
      <c r="P375" s="327"/>
    </row>
    <row r="376" ht="15.75" customHeight="1">
      <c r="B376" s="327"/>
      <c r="C376" s="327"/>
      <c r="D376" s="327"/>
      <c r="E376" s="327"/>
      <c r="F376" s="327"/>
      <c r="G376" s="327"/>
      <c r="H376" s="327"/>
      <c r="I376" s="327"/>
      <c r="J376" s="327"/>
      <c r="K376" s="327"/>
      <c r="L376" s="327"/>
      <c r="M376" s="327"/>
      <c r="N376" s="327"/>
      <c r="O376" s="327"/>
      <c r="P376" s="327"/>
    </row>
    <row r="377" ht="15.75" customHeight="1">
      <c r="B377" s="327"/>
      <c r="C377" s="327"/>
      <c r="D377" s="327"/>
      <c r="E377" s="327"/>
      <c r="F377" s="327"/>
      <c r="G377" s="327"/>
      <c r="H377" s="327"/>
      <c r="I377" s="327"/>
      <c r="J377" s="327"/>
      <c r="K377" s="327"/>
      <c r="L377" s="327"/>
      <c r="M377" s="327"/>
      <c r="N377" s="327"/>
      <c r="O377" s="327"/>
      <c r="P377" s="327"/>
    </row>
    <row r="378" ht="15.75" customHeight="1">
      <c r="B378" s="327"/>
      <c r="C378" s="327"/>
      <c r="D378" s="327"/>
      <c r="E378" s="327"/>
      <c r="F378" s="327"/>
      <c r="G378" s="327"/>
      <c r="H378" s="327"/>
      <c r="I378" s="327"/>
      <c r="J378" s="327"/>
      <c r="K378" s="327"/>
      <c r="L378" s="327"/>
      <c r="M378" s="327"/>
      <c r="N378" s="327"/>
      <c r="O378" s="327"/>
      <c r="P378" s="327"/>
    </row>
    <row r="379" ht="15.75" customHeight="1">
      <c r="B379" s="327"/>
      <c r="C379" s="327"/>
      <c r="D379" s="327"/>
      <c r="E379" s="327"/>
      <c r="F379" s="327"/>
      <c r="G379" s="327"/>
      <c r="H379" s="327"/>
      <c r="I379" s="327"/>
      <c r="J379" s="327"/>
      <c r="K379" s="327"/>
      <c r="L379" s="327"/>
      <c r="M379" s="327"/>
      <c r="N379" s="327"/>
      <c r="O379" s="327"/>
      <c r="P379" s="327"/>
    </row>
    <row r="380" ht="15.75" customHeight="1">
      <c r="B380" s="327"/>
      <c r="C380" s="327"/>
      <c r="D380" s="327"/>
      <c r="E380" s="327"/>
      <c r="F380" s="327"/>
      <c r="G380" s="327"/>
      <c r="H380" s="327"/>
      <c r="I380" s="327"/>
      <c r="J380" s="327"/>
      <c r="K380" s="327"/>
      <c r="L380" s="327"/>
      <c r="M380" s="327"/>
      <c r="N380" s="327"/>
      <c r="O380" s="327"/>
      <c r="P380" s="327"/>
    </row>
    <row r="381" ht="15.75" customHeight="1">
      <c r="B381" s="327"/>
      <c r="C381" s="327"/>
      <c r="D381" s="327"/>
      <c r="E381" s="327"/>
      <c r="F381" s="327"/>
      <c r="G381" s="327"/>
      <c r="H381" s="327"/>
      <c r="I381" s="327"/>
      <c r="J381" s="327"/>
      <c r="K381" s="327"/>
      <c r="L381" s="327"/>
      <c r="M381" s="327"/>
      <c r="N381" s="327"/>
      <c r="O381" s="327"/>
      <c r="P381" s="327"/>
    </row>
    <row r="382" ht="15.75" customHeight="1">
      <c r="B382" s="327"/>
      <c r="C382" s="327"/>
      <c r="D382" s="327"/>
      <c r="E382" s="327"/>
      <c r="F382" s="327"/>
      <c r="G382" s="327"/>
      <c r="H382" s="327"/>
      <c r="I382" s="327"/>
      <c r="J382" s="327"/>
      <c r="K382" s="327"/>
      <c r="L382" s="327"/>
      <c r="M382" s="327"/>
      <c r="N382" s="327"/>
      <c r="O382" s="327"/>
      <c r="P382" s="327"/>
    </row>
    <row r="383" ht="15.75" customHeight="1">
      <c r="B383" s="327"/>
      <c r="C383" s="327"/>
      <c r="D383" s="327"/>
      <c r="E383" s="327"/>
      <c r="F383" s="327"/>
      <c r="G383" s="327"/>
      <c r="H383" s="327"/>
      <c r="I383" s="327"/>
      <c r="J383" s="327"/>
      <c r="K383" s="327"/>
      <c r="L383" s="327"/>
      <c r="M383" s="327"/>
      <c r="N383" s="327"/>
      <c r="O383" s="327"/>
      <c r="P383" s="327"/>
    </row>
    <row r="384" ht="15.75" customHeight="1">
      <c r="B384" s="327"/>
      <c r="C384" s="327"/>
      <c r="D384" s="327"/>
      <c r="E384" s="327"/>
      <c r="F384" s="327"/>
      <c r="G384" s="327"/>
      <c r="H384" s="327"/>
      <c r="I384" s="327"/>
      <c r="J384" s="327"/>
      <c r="K384" s="327"/>
      <c r="L384" s="327"/>
      <c r="M384" s="327"/>
      <c r="N384" s="327"/>
      <c r="O384" s="327"/>
      <c r="P384" s="327"/>
    </row>
    <row r="385" ht="15.75" customHeight="1">
      <c r="B385" s="327"/>
      <c r="C385" s="327"/>
      <c r="D385" s="327"/>
      <c r="E385" s="327"/>
      <c r="F385" s="327"/>
      <c r="G385" s="327"/>
      <c r="H385" s="327"/>
      <c r="I385" s="327"/>
      <c r="J385" s="327"/>
      <c r="K385" s="327"/>
      <c r="L385" s="327"/>
      <c r="M385" s="327"/>
      <c r="N385" s="327"/>
      <c r="O385" s="327"/>
      <c r="P385" s="327"/>
    </row>
    <row r="386" ht="15.75" customHeight="1">
      <c r="B386" s="327"/>
      <c r="C386" s="327"/>
      <c r="D386" s="327"/>
      <c r="E386" s="327"/>
      <c r="F386" s="327"/>
      <c r="G386" s="327"/>
      <c r="H386" s="327"/>
      <c r="I386" s="327"/>
      <c r="J386" s="327"/>
      <c r="K386" s="327"/>
      <c r="L386" s="327"/>
      <c r="M386" s="327"/>
      <c r="N386" s="327"/>
      <c r="O386" s="327"/>
      <c r="P386" s="327"/>
    </row>
    <row r="387" ht="15.75" customHeight="1">
      <c r="B387" s="327"/>
      <c r="C387" s="327"/>
      <c r="D387" s="327"/>
      <c r="E387" s="327"/>
      <c r="F387" s="327"/>
      <c r="G387" s="327"/>
      <c r="H387" s="327"/>
      <c r="I387" s="327"/>
      <c r="J387" s="327"/>
      <c r="K387" s="327"/>
      <c r="L387" s="327"/>
      <c r="M387" s="327"/>
      <c r="N387" s="327"/>
      <c r="O387" s="327"/>
      <c r="P387" s="327"/>
    </row>
    <row r="388" ht="15.75" customHeight="1">
      <c r="B388" s="327"/>
      <c r="C388" s="327"/>
      <c r="D388" s="327"/>
      <c r="E388" s="327"/>
      <c r="F388" s="327"/>
      <c r="G388" s="327"/>
      <c r="H388" s="327"/>
      <c r="I388" s="327"/>
      <c r="J388" s="327"/>
      <c r="K388" s="327"/>
      <c r="L388" s="327"/>
      <c r="M388" s="327"/>
      <c r="N388" s="327"/>
      <c r="O388" s="327"/>
      <c r="P388" s="327"/>
    </row>
    <row r="389" ht="15.75" customHeight="1">
      <c r="B389" s="327"/>
      <c r="C389" s="327"/>
      <c r="D389" s="327"/>
      <c r="E389" s="327"/>
      <c r="F389" s="327"/>
      <c r="G389" s="327"/>
      <c r="H389" s="327"/>
      <c r="I389" s="327"/>
      <c r="J389" s="327"/>
      <c r="K389" s="327"/>
      <c r="L389" s="327"/>
      <c r="M389" s="327"/>
      <c r="N389" s="327"/>
      <c r="O389" s="327"/>
      <c r="P389" s="327"/>
    </row>
    <row r="390" ht="15.75" customHeight="1">
      <c r="B390" s="327"/>
      <c r="C390" s="327"/>
      <c r="D390" s="327"/>
      <c r="E390" s="327"/>
      <c r="F390" s="327"/>
      <c r="G390" s="327"/>
      <c r="H390" s="327"/>
      <c r="I390" s="327"/>
      <c r="J390" s="327"/>
      <c r="K390" s="327"/>
      <c r="L390" s="327"/>
      <c r="M390" s="327"/>
      <c r="N390" s="327"/>
      <c r="O390" s="327"/>
      <c r="P390" s="327"/>
    </row>
    <row r="391" ht="15.75" customHeight="1">
      <c r="B391" s="327"/>
      <c r="C391" s="327"/>
      <c r="D391" s="327"/>
      <c r="E391" s="327"/>
      <c r="F391" s="327"/>
      <c r="G391" s="327"/>
      <c r="H391" s="327"/>
      <c r="I391" s="327"/>
      <c r="J391" s="327"/>
      <c r="K391" s="327"/>
      <c r="L391" s="327"/>
      <c r="M391" s="327"/>
      <c r="N391" s="327"/>
      <c r="O391" s="327"/>
      <c r="P391" s="327"/>
    </row>
    <row r="392" ht="15.75" customHeight="1">
      <c r="B392" s="327"/>
      <c r="C392" s="327"/>
      <c r="D392" s="327"/>
      <c r="E392" s="327"/>
      <c r="F392" s="327"/>
      <c r="G392" s="327"/>
      <c r="H392" s="327"/>
      <c r="I392" s="327"/>
      <c r="J392" s="327"/>
      <c r="K392" s="327"/>
      <c r="L392" s="327"/>
      <c r="M392" s="327"/>
      <c r="N392" s="327"/>
      <c r="O392" s="327"/>
      <c r="P392" s="327"/>
    </row>
    <row r="393" ht="15.75" customHeight="1">
      <c r="B393" s="327"/>
      <c r="C393" s="327"/>
      <c r="D393" s="327"/>
      <c r="E393" s="327"/>
      <c r="F393" s="327"/>
      <c r="G393" s="327"/>
      <c r="H393" s="327"/>
      <c r="I393" s="327"/>
      <c r="J393" s="327"/>
      <c r="K393" s="327"/>
      <c r="L393" s="327"/>
      <c r="M393" s="327"/>
      <c r="N393" s="327"/>
      <c r="O393" s="327"/>
      <c r="P393" s="327"/>
    </row>
    <row r="394" ht="15.75" customHeight="1">
      <c r="B394" s="327"/>
      <c r="C394" s="327"/>
      <c r="D394" s="327"/>
      <c r="E394" s="327"/>
      <c r="F394" s="327"/>
      <c r="G394" s="327"/>
      <c r="H394" s="327"/>
      <c r="I394" s="327"/>
      <c r="J394" s="327"/>
      <c r="K394" s="327"/>
      <c r="L394" s="327"/>
      <c r="M394" s="327"/>
      <c r="N394" s="327"/>
      <c r="O394" s="327"/>
      <c r="P394" s="327"/>
    </row>
    <row r="395" ht="15.75" customHeight="1">
      <c r="B395" s="327"/>
      <c r="C395" s="327"/>
      <c r="D395" s="327"/>
      <c r="E395" s="327"/>
      <c r="F395" s="327"/>
      <c r="G395" s="327"/>
      <c r="H395" s="327"/>
      <c r="I395" s="327"/>
      <c r="J395" s="327"/>
      <c r="K395" s="327"/>
      <c r="L395" s="327"/>
      <c r="M395" s="327"/>
      <c r="N395" s="327"/>
      <c r="O395" s="327"/>
      <c r="P395" s="327"/>
    </row>
    <row r="396" ht="15.75" customHeight="1">
      <c r="B396" s="327"/>
      <c r="C396" s="327"/>
      <c r="D396" s="327"/>
      <c r="E396" s="327"/>
      <c r="F396" s="327"/>
      <c r="G396" s="327"/>
      <c r="H396" s="327"/>
      <c r="I396" s="327"/>
      <c r="J396" s="327"/>
      <c r="K396" s="327"/>
      <c r="L396" s="327"/>
      <c r="M396" s="327"/>
      <c r="N396" s="327"/>
      <c r="O396" s="327"/>
      <c r="P396" s="327"/>
    </row>
    <row r="397" ht="15.75" customHeight="1">
      <c r="B397" s="327"/>
      <c r="C397" s="327"/>
      <c r="D397" s="327"/>
      <c r="E397" s="327"/>
      <c r="F397" s="327"/>
      <c r="G397" s="327"/>
      <c r="H397" s="327"/>
      <c r="I397" s="327"/>
      <c r="J397" s="327"/>
      <c r="K397" s="327"/>
      <c r="L397" s="327"/>
      <c r="M397" s="327"/>
      <c r="N397" s="327"/>
      <c r="O397" s="327"/>
      <c r="P397" s="327"/>
    </row>
    <row r="398" ht="15.75" customHeight="1">
      <c r="B398" s="327"/>
      <c r="C398" s="327"/>
      <c r="D398" s="327"/>
      <c r="E398" s="327"/>
      <c r="F398" s="327"/>
      <c r="G398" s="327"/>
      <c r="H398" s="327"/>
      <c r="I398" s="327"/>
      <c r="J398" s="327"/>
      <c r="K398" s="327"/>
      <c r="L398" s="327"/>
      <c r="M398" s="327"/>
      <c r="N398" s="327"/>
      <c r="O398" s="327"/>
      <c r="P398" s="327"/>
    </row>
    <row r="399" ht="15.75" customHeight="1">
      <c r="B399" s="327"/>
      <c r="C399" s="327"/>
      <c r="D399" s="327"/>
      <c r="E399" s="327"/>
      <c r="F399" s="327"/>
      <c r="G399" s="327"/>
      <c r="H399" s="327"/>
      <c r="I399" s="327"/>
      <c r="J399" s="327"/>
      <c r="K399" s="327"/>
      <c r="L399" s="327"/>
      <c r="M399" s="327"/>
      <c r="N399" s="327"/>
      <c r="O399" s="327"/>
      <c r="P399" s="327"/>
    </row>
    <row r="400" ht="15.75" customHeight="1">
      <c r="B400" s="327"/>
      <c r="C400" s="327"/>
      <c r="D400" s="327"/>
      <c r="E400" s="327"/>
      <c r="F400" s="327"/>
      <c r="G400" s="327"/>
      <c r="H400" s="327"/>
      <c r="I400" s="327"/>
      <c r="J400" s="327"/>
      <c r="K400" s="327"/>
      <c r="L400" s="327"/>
      <c r="M400" s="327"/>
      <c r="N400" s="327"/>
      <c r="O400" s="327"/>
      <c r="P400" s="327"/>
    </row>
    <row r="401" ht="15.75" customHeight="1">
      <c r="B401" s="327"/>
      <c r="C401" s="327"/>
      <c r="D401" s="327"/>
      <c r="E401" s="327"/>
      <c r="F401" s="327"/>
      <c r="G401" s="327"/>
      <c r="H401" s="327"/>
      <c r="I401" s="327"/>
      <c r="J401" s="327"/>
      <c r="K401" s="327"/>
      <c r="L401" s="327"/>
      <c r="M401" s="327"/>
      <c r="N401" s="327"/>
      <c r="O401" s="327"/>
      <c r="P401" s="327"/>
    </row>
    <row r="402" ht="15.75" customHeight="1">
      <c r="B402" s="327"/>
      <c r="C402" s="327"/>
      <c r="D402" s="327"/>
      <c r="E402" s="327"/>
      <c r="F402" s="327"/>
      <c r="G402" s="327"/>
      <c r="H402" s="327"/>
      <c r="I402" s="327"/>
      <c r="J402" s="327"/>
      <c r="K402" s="327"/>
      <c r="L402" s="327"/>
      <c r="M402" s="327"/>
      <c r="N402" s="327"/>
      <c r="O402" s="327"/>
      <c r="P402" s="327"/>
    </row>
    <row r="403" ht="15.75" customHeight="1">
      <c r="B403" s="327"/>
      <c r="C403" s="327"/>
      <c r="D403" s="327"/>
      <c r="E403" s="327"/>
      <c r="F403" s="327"/>
      <c r="G403" s="327"/>
      <c r="H403" s="327"/>
      <c r="I403" s="327"/>
      <c r="J403" s="327"/>
      <c r="K403" s="327"/>
      <c r="L403" s="327"/>
      <c r="M403" s="327"/>
      <c r="N403" s="327"/>
      <c r="O403" s="327"/>
      <c r="P403" s="327"/>
    </row>
    <row r="404" ht="15.75" customHeight="1">
      <c r="B404" s="327"/>
      <c r="C404" s="327"/>
      <c r="D404" s="327"/>
      <c r="E404" s="327"/>
      <c r="F404" s="327"/>
      <c r="G404" s="327"/>
      <c r="H404" s="327"/>
      <c r="I404" s="327"/>
      <c r="J404" s="327"/>
      <c r="K404" s="327"/>
      <c r="L404" s="327"/>
      <c r="M404" s="327"/>
      <c r="N404" s="327"/>
      <c r="O404" s="327"/>
      <c r="P404" s="327"/>
    </row>
    <row r="405" ht="15.75" customHeight="1">
      <c r="B405" s="327"/>
      <c r="C405" s="327"/>
      <c r="D405" s="327"/>
      <c r="E405" s="327"/>
      <c r="F405" s="327"/>
      <c r="G405" s="327"/>
      <c r="H405" s="327"/>
      <c r="I405" s="327"/>
      <c r="J405" s="327"/>
      <c r="K405" s="327"/>
      <c r="L405" s="327"/>
      <c r="M405" s="327"/>
      <c r="N405" s="327"/>
      <c r="O405" s="327"/>
      <c r="P405" s="327"/>
    </row>
    <row r="406" ht="15.75" customHeight="1">
      <c r="B406" s="327"/>
      <c r="C406" s="327"/>
      <c r="D406" s="327"/>
      <c r="E406" s="327"/>
      <c r="F406" s="327"/>
      <c r="G406" s="327"/>
      <c r="H406" s="327"/>
      <c r="I406" s="327"/>
      <c r="J406" s="327"/>
      <c r="K406" s="327"/>
      <c r="L406" s="327"/>
      <c r="M406" s="327"/>
      <c r="N406" s="327"/>
      <c r="O406" s="327"/>
      <c r="P406" s="327"/>
    </row>
    <row r="407" ht="15.75" customHeight="1">
      <c r="B407" s="327"/>
      <c r="C407" s="327"/>
      <c r="D407" s="327"/>
      <c r="E407" s="327"/>
      <c r="F407" s="327"/>
      <c r="G407" s="327"/>
      <c r="H407" s="327"/>
      <c r="I407" s="327"/>
      <c r="J407" s="327"/>
      <c r="K407" s="327"/>
      <c r="L407" s="327"/>
      <c r="M407" s="327"/>
      <c r="N407" s="327"/>
      <c r="O407" s="327"/>
      <c r="P407" s="327"/>
    </row>
    <row r="408" ht="15.75" customHeight="1">
      <c r="B408" s="327"/>
      <c r="C408" s="327"/>
      <c r="D408" s="327"/>
      <c r="E408" s="327"/>
      <c r="F408" s="327"/>
      <c r="G408" s="327"/>
      <c r="H408" s="327"/>
      <c r="I408" s="327"/>
      <c r="J408" s="327"/>
      <c r="K408" s="327"/>
      <c r="L408" s="327"/>
      <c r="M408" s="327"/>
      <c r="N408" s="327"/>
      <c r="O408" s="327"/>
      <c r="P408" s="327"/>
    </row>
    <row r="409" ht="15.75" customHeight="1">
      <c r="B409" s="327"/>
      <c r="C409" s="327"/>
      <c r="D409" s="327"/>
      <c r="E409" s="327"/>
      <c r="F409" s="327"/>
      <c r="G409" s="327"/>
      <c r="H409" s="327"/>
      <c r="I409" s="327"/>
      <c r="J409" s="327"/>
      <c r="K409" s="327"/>
      <c r="L409" s="327"/>
      <c r="M409" s="327"/>
      <c r="N409" s="327"/>
      <c r="O409" s="327"/>
      <c r="P409" s="327"/>
    </row>
    <row r="410" ht="15.75" customHeight="1">
      <c r="B410" s="327"/>
      <c r="C410" s="327"/>
      <c r="D410" s="327"/>
      <c r="E410" s="327"/>
      <c r="F410" s="327"/>
      <c r="G410" s="327"/>
      <c r="H410" s="327"/>
      <c r="I410" s="327"/>
      <c r="J410" s="327"/>
      <c r="K410" s="327"/>
      <c r="L410" s="327"/>
      <c r="M410" s="327"/>
      <c r="N410" s="327"/>
      <c r="O410" s="327"/>
      <c r="P410" s="327"/>
    </row>
    <row r="411" ht="15.75" customHeight="1">
      <c r="B411" s="327"/>
      <c r="C411" s="327"/>
      <c r="D411" s="327"/>
      <c r="E411" s="327"/>
      <c r="F411" s="327"/>
      <c r="G411" s="327"/>
      <c r="H411" s="327"/>
      <c r="I411" s="327"/>
      <c r="J411" s="327"/>
      <c r="K411" s="327"/>
      <c r="L411" s="327"/>
      <c r="M411" s="327"/>
      <c r="N411" s="327"/>
      <c r="O411" s="327"/>
      <c r="P411" s="327"/>
    </row>
    <row r="412" ht="15.75" customHeight="1">
      <c r="B412" s="327"/>
      <c r="C412" s="327"/>
      <c r="D412" s="327"/>
      <c r="E412" s="327"/>
      <c r="F412" s="327"/>
      <c r="G412" s="327"/>
      <c r="H412" s="327"/>
      <c r="I412" s="327"/>
      <c r="J412" s="327"/>
      <c r="K412" s="327"/>
      <c r="L412" s="327"/>
      <c r="M412" s="327"/>
      <c r="N412" s="327"/>
      <c r="O412" s="327"/>
      <c r="P412" s="327"/>
    </row>
    <row r="413" ht="15.75" customHeight="1">
      <c r="B413" s="327"/>
      <c r="C413" s="327"/>
      <c r="D413" s="327"/>
      <c r="E413" s="327"/>
      <c r="F413" s="327"/>
      <c r="G413" s="327"/>
      <c r="H413" s="327"/>
      <c r="I413" s="327"/>
      <c r="J413" s="327"/>
      <c r="K413" s="327"/>
      <c r="L413" s="327"/>
      <c r="M413" s="327"/>
      <c r="N413" s="327"/>
      <c r="O413" s="327"/>
      <c r="P413" s="327"/>
    </row>
    <row r="414" ht="15.75" customHeight="1">
      <c r="B414" s="327"/>
      <c r="C414" s="327"/>
      <c r="D414" s="327"/>
      <c r="E414" s="327"/>
      <c r="F414" s="327"/>
      <c r="G414" s="327"/>
      <c r="H414" s="327"/>
      <c r="I414" s="327"/>
      <c r="J414" s="327"/>
      <c r="K414" s="327"/>
      <c r="L414" s="327"/>
      <c r="M414" s="327"/>
      <c r="N414" s="327"/>
      <c r="O414" s="327"/>
      <c r="P414" s="327"/>
    </row>
    <row r="415" ht="15.75" customHeight="1">
      <c r="B415" s="327"/>
      <c r="C415" s="327"/>
      <c r="D415" s="327"/>
      <c r="E415" s="327"/>
      <c r="F415" s="327"/>
      <c r="G415" s="327"/>
      <c r="H415" s="327"/>
      <c r="I415" s="327"/>
      <c r="J415" s="327"/>
      <c r="K415" s="327"/>
      <c r="L415" s="327"/>
      <c r="M415" s="327"/>
      <c r="N415" s="327"/>
      <c r="O415" s="327"/>
      <c r="P415" s="327"/>
    </row>
    <row r="416" ht="15.75" customHeight="1">
      <c r="B416" s="327"/>
      <c r="C416" s="327"/>
      <c r="D416" s="327"/>
      <c r="E416" s="327"/>
      <c r="F416" s="327"/>
      <c r="G416" s="327"/>
      <c r="H416" s="327"/>
      <c r="I416" s="327"/>
      <c r="J416" s="327"/>
      <c r="K416" s="327"/>
      <c r="L416" s="327"/>
      <c r="M416" s="327"/>
      <c r="N416" s="327"/>
      <c r="O416" s="327"/>
      <c r="P416" s="327"/>
    </row>
    <row r="417" ht="15.75" customHeight="1">
      <c r="B417" s="327"/>
      <c r="C417" s="327"/>
      <c r="D417" s="327"/>
      <c r="E417" s="327"/>
      <c r="F417" s="327"/>
      <c r="G417" s="327"/>
      <c r="H417" s="327"/>
      <c r="I417" s="327"/>
      <c r="J417" s="327"/>
      <c r="K417" s="327"/>
      <c r="L417" s="327"/>
      <c r="M417" s="327"/>
      <c r="N417" s="327"/>
      <c r="O417" s="327"/>
      <c r="P417" s="327"/>
    </row>
    <row r="418" ht="15.75" customHeight="1">
      <c r="B418" s="327"/>
      <c r="C418" s="327"/>
      <c r="D418" s="327"/>
      <c r="E418" s="327"/>
      <c r="F418" s="327"/>
      <c r="G418" s="327"/>
      <c r="H418" s="327"/>
      <c r="I418" s="327"/>
      <c r="J418" s="327"/>
      <c r="K418" s="327"/>
      <c r="L418" s="327"/>
      <c r="M418" s="327"/>
      <c r="N418" s="327"/>
      <c r="O418" s="327"/>
      <c r="P418" s="327"/>
    </row>
    <row r="419" ht="15.75" customHeight="1">
      <c r="B419" s="327"/>
      <c r="C419" s="327"/>
      <c r="D419" s="327"/>
      <c r="E419" s="327"/>
      <c r="F419" s="327"/>
      <c r="G419" s="327"/>
      <c r="H419" s="327"/>
      <c r="I419" s="327"/>
      <c r="J419" s="327"/>
      <c r="K419" s="327"/>
      <c r="L419" s="327"/>
      <c r="M419" s="327"/>
      <c r="N419" s="327"/>
      <c r="O419" s="327"/>
      <c r="P419" s="327"/>
    </row>
    <row r="420" ht="15.75" customHeight="1">
      <c r="B420" s="327"/>
      <c r="C420" s="327"/>
      <c r="D420" s="327"/>
      <c r="E420" s="327"/>
      <c r="F420" s="327"/>
      <c r="G420" s="327"/>
      <c r="H420" s="327"/>
      <c r="I420" s="327"/>
      <c r="J420" s="327"/>
      <c r="K420" s="327"/>
      <c r="L420" s="327"/>
      <c r="M420" s="327"/>
      <c r="N420" s="327"/>
      <c r="O420" s="327"/>
      <c r="P420" s="327"/>
    </row>
    <row r="421" ht="15.75" customHeight="1">
      <c r="B421" s="327"/>
      <c r="C421" s="327"/>
      <c r="D421" s="327"/>
      <c r="E421" s="327"/>
      <c r="F421" s="327"/>
      <c r="G421" s="327"/>
      <c r="H421" s="327"/>
      <c r="I421" s="327"/>
      <c r="J421" s="327"/>
      <c r="K421" s="327"/>
      <c r="L421" s="327"/>
      <c r="M421" s="327"/>
      <c r="N421" s="327"/>
      <c r="O421" s="327"/>
      <c r="P421" s="327"/>
    </row>
    <row r="422" ht="15.75" customHeight="1">
      <c r="B422" s="327"/>
      <c r="C422" s="327"/>
      <c r="D422" s="327"/>
      <c r="E422" s="327"/>
      <c r="F422" s="327"/>
      <c r="G422" s="327"/>
      <c r="H422" s="327"/>
      <c r="I422" s="327"/>
      <c r="J422" s="327"/>
      <c r="K422" s="327"/>
      <c r="L422" s="327"/>
      <c r="M422" s="327"/>
      <c r="N422" s="327"/>
      <c r="O422" s="327"/>
      <c r="P422" s="327"/>
    </row>
    <row r="423" ht="15.75" customHeight="1">
      <c r="B423" s="327"/>
      <c r="C423" s="327"/>
      <c r="D423" s="327"/>
      <c r="E423" s="327"/>
      <c r="F423" s="327"/>
      <c r="G423" s="327"/>
      <c r="H423" s="327"/>
      <c r="I423" s="327"/>
      <c r="J423" s="327"/>
      <c r="K423" s="327"/>
      <c r="L423" s="327"/>
      <c r="M423" s="327"/>
      <c r="N423" s="327"/>
      <c r="O423" s="327"/>
      <c r="P423" s="327"/>
    </row>
    <row r="424" ht="15.75" customHeight="1">
      <c r="B424" s="327"/>
      <c r="C424" s="327"/>
      <c r="D424" s="327"/>
      <c r="E424" s="327"/>
      <c r="F424" s="327"/>
      <c r="G424" s="327"/>
      <c r="H424" s="327"/>
      <c r="I424" s="327"/>
      <c r="J424" s="327"/>
      <c r="K424" s="327"/>
      <c r="L424" s="327"/>
      <c r="M424" s="327"/>
      <c r="N424" s="327"/>
      <c r="O424" s="327"/>
      <c r="P424" s="327"/>
    </row>
    <row r="425" ht="15.75" customHeight="1">
      <c r="B425" s="327"/>
      <c r="C425" s="327"/>
      <c r="D425" s="327"/>
      <c r="E425" s="327"/>
      <c r="F425" s="327"/>
      <c r="G425" s="327"/>
      <c r="H425" s="327"/>
      <c r="I425" s="327"/>
      <c r="J425" s="327"/>
      <c r="K425" s="327"/>
      <c r="L425" s="327"/>
      <c r="M425" s="327"/>
      <c r="N425" s="327"/>
      <c r="O425" s="327"/>
      <c r="P425" s="327"/>
    </row>
    <row r="426" ht="15.75" customHeight="1">
      <c r="B426" s="327"/>
      <c r="C426" s="327"/>
      <c r="D426" s="327"/>
      <c r="E426" s="327"/>
      <c r="F426" s="327"/>
      <c r="G426" s="327"/>
      <c r="H426" s="327"/>
      <c r="I426" s="327"/>
      <c r="J426" s="327"/>
      <c r="K426" s="327"/>
      <c r="L426" s="327"/>
      <c r="M426" s="327"/>
      <c r="N426" s="327"/>
      <c r="O426" s="327"/>
      <c r="P426" s="327"/>
    </row>
    <row r="427" ht="15.75" customHeight="1">
      <c r="B427" s="327"/>
      <c r="C427" s="327"/>
      <c r="D427" s="327"/>
      <c r="E427" s="327"/>
      <c r="F427" s="327"/>
      <c r="G427" s="327"/>
      <c r="H427" s="327"/>
      <c r="I427" s="327"/>
      <c r="J427" s="327"/>
      <c r="K427" s="327"/>
      <c r="L427" s="327"/>
      <c r="M427" s="327"/>
      <c r="N427" s="327"/>
      <c r="O427" s="327"/>
      <c r="P427" s="327"/>
    </row>
    <row r="428" ht="15.75" customHeight="1">
      <c r="B428" s="327"/>
      <c r="C428" s="327"/>
      <c r="D428" s="327"/>
      <c r="E428" s="327"/>
      <c r="F428" s="327"/>
      <c r="G428" s="327"/>
      <c r="H428" s="327"/>
      <c r="I428" s="327"/>
      <c r="J428" s="327"/>
      <c r="K428" s="327"/>
      <c r="L428" s="327"/>
      <c r="M428" s="327"/>
      <c r="N428" s="327"/>
      <c r="O428" s="327"/>
      <c r="P428" s="327"/>
    </row>
    <row r="429" ht="15.75" customHeight="1">
      <c r="B429" s="327"/>
      <c r="C429" s="327"/>
      <c r="D429" s="327"/>
      <c r="E429" s="327"/>
      <c r="F429" s="327"/>
      <c r="G429" s="327"/>
      <c r="H429" s="327"/>
      <c r="I429" s="327"/>
      <c r="J429" s="327"/>
      <c r="K429" s="327"/>
      <c r="L429" s="327"/>
      <c r="M429" s="327"/>
      <c r="N429" s="327"/>
      <c r="O429" s="327"/>
      <c r="P429" s="327"/>
    </row>
    <row r="430" ht="15.75" customHeight="1">
      <c r="B430" s="327"/>
      <c r="C430" s="327"/>
      <c r="D430" s="327"/>
      <c r="E430" s="327"/>
      <c r="F430" s="327"/>
      <c r="G430" s="327"/>
      <c r="H430" s="327"/>
      <c r="I430" s="327"/>
      <c r="J430" s="327"/>
      <c r="K430" s="327"/>
      <c r="L430" s="327"/>
      <c r="M430" s="327"/>
      <c r="N430" s="327"/>
      <c r="O430" s="327"/>
      <c r="P430" s="327"/>
    </row>
    <row r="431" ht="15.75" customHeight="1">
      <c r="B431" s="327"/>
      <c r="C431" s="327"/>
      <c r="D431" s="327"/>
      <c r="E431" s="327"/>
      <c r="F431" s="327"/>
      <c r="G431" s="327"/>
      <c r="H431" s="327"/>
      <c r="I431" s="327"/>
      <c r="J431" s="327"/>
      <c r="K431" s="327"/>
      <c r="L431" s="327"/>
      <c r="M431" s="327"/>
      <c r="N431" s="327"/>
      <c r="O431" s="327"/>
      <c r="P431" s="327"/>
    </row>
    <row r="432" ht="15.75" customHeight="1">
      <c r="B432" s="327"/>
      <c r="C432" s="327"/>
      <c r="D432" s="327"/>
      <c r="E432" s="327"/>
      <c r="F432" s="327"/>
      <c r="G432" s="327"/>
      <c r="H432" s="327"/>
      <c r="I432" s="327"/>
      <c r="J432" s="327"/>
      <c r="K432" s="327"/>
      <c r="L432" s="327"/>
      <c r="M432" s="327"/>
      <c r="N432" s="327"/>
      <c r="O432" s="327"/>
      <c r="P432" s="327"/>
    </row>
    <row r="433" ht="15.75" customHeight="1">
      <c r="B433" s="327"/>
      <c r="C433" s="327"/>
      <c r="D433" s="327"/>
      <c r="E433" s="327"/>
      <c r="F433" s="327"/>
      <c r="G433" s="327"/>
      <c r="H433" s="327"/>
      <c r="I433" s="327"/>
      <c r="J433" s="327"/>
      <c r="K433" s="327"/>
      <c r="L433" s="327"/>
      <c r="M433" s="327"/>
      <c r="N433" s="327"/>
      <c r="O433" s="327"/>
      <c r="P433" s="327"/>
    </row>
    <row r="434" ht="15.75" customHeight="1">
      <c r="B434" s="327"/>
      <c r="C434" s="327"/>
      <c r="D434" s="327"/>
      <c r="E434" s="327"/>
      <c r="F434" s="327"/>
      <c r="G434" s="327"/>
      <c r="H434" s="327"/>
      <c r="I434" s="327"/>
      <c r="J434" s="327"/>
      <c r="K434" s="327"/>
      <c r="L434" s="327"/>
      <c r="M434" s="327"/>
      <c r="N434" s="327"/>
      <c r="O434" s="327"/>
      <c r="P434" s="327"/>
    </row>
    <row r="435" ht="15.75" customHeight="1">
      <c r="B435" s="327"/>
      <c r="C435" s="327"/>
      <c r="D435" s="327"/>
      <c r="E435" s="327"/>
      <c r="F435" s="327"/>
      <c r="G435" s="327"/>
      <c r="H435" s="327"/>
      <c r="I435" s="327"/>
      <c r="J435" s="327"/>
      <c r="K435" s="327"/>
      <c r="L435" s="327"/>
      <c r="M435" s="327"/>
      <c r="N435" s="327"/>
      <c r="O435" s="327"/>
      <c r="P435" s="327"/>
    </row>
    <row r="436" ht="15.75" customHeight="1">
      <c r="B436" s="327"/>
      <c r="C436" s="327"/>
      <c r="D436" s="327"/>
      <c r="E436" s="327"/>
      <c r="F436" s="327"/>
      <c r="G436" s="327"/>
      <c r="H436" s="327"/>
      <c r="I436" s="327"/>
      <c r="J436" s="327"/>
      <c r="K436" s="327"/>
      <c r="L436" s="327"/>
      <c r="M436" s="327"/>
      <c r="N436" s="327"/>
      <c r="O436" s="327"/>
      <c r="P436" s="327"/>
    </row>
    <row r="437" ht="15.75" customHeight="1">
      <c r="B437" s="327"/>
      <c r="C437" s="327"/>
      <c r="D437" s="327"/>
      <c r="E437" s="327"/>
      <c r="F437" s="327"/>
      <c r="G437" s="327"/>
      <c r="H437" s="327"/>
      <c r="I437" s="327"/>
      <c r="J437" s="327"/>
      <c r="K437" s="327"/>
      <c r="L437" s="327"/>
      <c r="M437" s="327"/>
      <c r="N437" s="327"/>
      <c r="O437" s="327"/>
      <c r="P437" s="327"/>
    </row>
    <row r="438" ht="15.75" customHeight="1">
      <c r="B438" s="327"/>
      <c r="C438" s="327"/>
      <c r="D438" s="327"/>
      <c r="E438" s="327"/>
      <c r="F438" s="327"/>
      <c r="G438" s="327"/>
      <c r="H438" s="327"/>
      <c r="I438" s="327"/>
      <c r="J438" s="327"/>
      <c r="K438" s="327"/>
      <c r="L438" s="327"/>
      <c r="M438" s="327"/>
      <c r="N438" s="327"/>
      <c r="O438" s="327"/>
      <c r="P438" s="327"/>
    </row>
    <row r="439" ht="15.75" customHeight="1">
      <c r="B439" s="327"/>
      <c r="C439" s="327"/>
      <c r="D439" s="327"/>
      <c r="E439" s="327"/>
      <c r="F439" s="327"/>
      <c r="G439" s="327"/>
      <c r="H439" s="327"/>
      <c r="I439" s="327"/>
      <c r="J439" s="327"/>
      <c r="K439" s="327"/>
      <c r="L439" s="327"/>
      <c r="M439" s="327"/>
      <c r="N439" s="327"/>
      <c r="O439" s="327"/>
      <c r="P439" s="327"/>
    </row>
    <row r="440" ht="15.75" customHeight="1">
      <c r="B440" s="327"/>
      <c r="C440" s="327"/>
      <c r="D440" s="327"/>
      <c r="E440" s="327"/>
      <c r="F440" s="327"/>
      <c r="G440" s="327"/>
      <c r="H440" s="327"/>
      <c r="I440" s="327"/>
      <c r="J440" s="327"/>
      <c r="K440" s="327"/>
      <c r="L440" s="327"/>
      <c r="M440" s="327"/>
      <c r="N440" s="327"/>
      <c r="O440" s="327"/>
      <c r="P440" s="327"/>
    </row>
    <row r="441" ht="15.75" customHeight="1">
      <c r="B441" s="327"/>
      <c r="C441" s="327"/>
      <c r="D441" s="327"/>
      <c r="E441" s="327"/>
      <c r="F441" s="327"/>
      <c r="G441" s="327"/>
      <c r="H441" s="327"/>
      <c r="I441" s="327"/>
      <c r="J441" s="327"/>
      <c r="K441" s="327"/>
      <c r="L441" s="327"/>
      <c r="M441" s="327"/>
      <c r="N441" s="327"/>
      <c r="O441" s="327"/>
      <c r="P441" s="327"/>
    </row>
    <row r="442" ht="15.75" customHeight="1">
      <c r="B442" s="327"/>
      <c r="C442" s="327"/>
      <c r="D442" s="327"/>
      <c r="E442" s="327"/>
      <c r="F442" s="327"/>
      <c r="G442" s="327"/>
      <c r="H442" s="327"/>
      <c r="I442" s="327"/>
      <c r="J442" s="327"/>
      <c r="K442" s="327"/>
      <c r="L442" s="327"/>
      <c r="M442" s="327"/>
      <c r="N442" s="327"/>
      <c r="O442" s="327"/>
      <c r="P442" s="327"/>
    </row>
    <row r="443" ht="15.75" customHeight="1">
      <c r="B443" s="327"/>
      <c r="C443" s="327"/>
      <c r="D443" s="327"/>
      <c r="E443" s="327"/>
      <c r="F443" s="327"/>
      <c r="G443" s="327"/>
      <c r="H443" s="327"/>
      <c r="I443" s="327"/>
      <c r="J443" s="327"/>
      <c r="K443" s="327"/>
      <c r="L443" s="327"/>
      <c r="M443" s="327"/>
      <c r="N443" s="327"/>
      <c r="O443" s="327"/>
      <c r="P443" s="327"/>
    </row>
    <row r="444" ht="15.75" customHeight="1">
      <c r="B444" s="327"/>
      <c r="C444" s="327"/>
      <c r="D444" s="327"/>
      <c r="E444" s="327"/>
      <c r="F444" s="327"/>
      <c r="G444" s="327"/>
      <c r="H444" s="327"/>
      <c r="I444" s="327"/>
      <c r="J444" s="327"/>
      <c r="K444" s="327"/>
      <c r="L444" s="327"/>
      <c r="M444" s="327"/>
      <c r="N444" s="327"/>
      <c r="O444" s="327"/>
      <c r="P444" s="327"/>
    </row>
    <row r="445" ht="15.75" customHeight="1">
      <c r="B445" s="327"/>
      <c r="C445" s="327"/>
      <c r="D445" s="327"/>
      <c r="E445" s="327"/>
      <c r="F445" s="327"/>
      <c r="G445" s="327"/>
      <c r="H445" s="327"/>
      <c r="I445" s="327"/>
      <c r="J445" s="327"/>
      <c r="K445" s="327"/>
      <c r="L445" s="327"/>
      <c r="M445" s="327"/>
      <c r="N445" s="327"/>
      <c r="O445" s="327"/>
      <c r="P445" s="327"/>
    </row>
    <row r="446" ht="15.75" customHeight="1">
      <c r="B446" s="327"/>
      <c r="C446" s="327"/>
      <c r="D446" s="327"/>
      <c r="E446" s="327"/>
      <c r="F446" s="327"/>
      <c r="G446" s="327"/>
      <c r="H446" s="327"/>
      <c r="I446" s="327"/>
      <c r="J446" s="327"/>
      <c r="K446" s="327"/>
      <c r="L446" s="327"/>
      <c r="M446" s="327"/>
      <c r="N446" s="327"/>
      <c r="O446" s="327"/>
      <c r="P446" s="327"/>
    </row>
    <row r="447" ht="15.75" customHeight="1">
      <c r="B447" s="327"/>
      <c r="C447" s="327"/>
      <c r="D447" s="327"/>
      <c r="E447" s="327"/>
      <c r="F447" s="327"/>
      <c r="G447" s="327"/>
      <c r="H447" s="327"/>
      <c r="I447" s="327"/>
      <c r="J447" s="327"/>
      <c r="K447" s="327"/>
      <c r="L447" s="327"/>
      <c r="M447" s="327"/>
      <c r="N447" s="327"/>
      <c r="O447" s="327"/>
      <c r="P447" s="327"/>
    </row>
    <row r="448" ht="15.75" customHeight="1">
      <c r="B448" s="327"/>
      <c r="C448" s="327"/>
      <c r="D448" s="327"/>
      <c r="E448" s="327"/>
      <c r="F448" s="327"/>
      <c r="G448" s="327"/>
      <c r="H448" s="327"/>
      <c r="I448" s="327"/>
      <c r="J448" s="327"/>
      <c r="K448" s="327"/>
      <c r="L448" s="327"/>
      <c r="M448" s="327"/>
      <c r="N448" s="327"/>
      <c r="O448" s="327"/>
      <c r="P448" s="327"/>
    </row>
    <row r="449" ht="15.75" customHeight="1">
      <c r="B449" s="327"/>
      <c r="C449" s="327"/>
      <c r="D449" s="327"/>
      <c r="E449" s="327"/>
      <c r="F449" s="327"/>
      <c r="G449" s="327"/>
      <c r="H449" s="327"/>
      <c r="I449" s="327"/>
      <c r="J449" s="327"/>
      <c r="K449" s="327"/>
      <c r="L449" s="327"/>
      <c r="M449" s="327"/>
      <c r="N449" s="327"/>
      <c r="O449" s="327"/>
      <c r="P449" s="327"/>
    </row>
    <row r="450" ht="15.75" customHeight="1">
      <c r="B450" s="327"/>
      <c r="C450" s="327"/>
      <c r="D450" s="327"/>
      <c r="E450" s="327"/>
      <c r="F450" s="327"/>
      <c r="G450" s="327"/>
      <c r="H450" s="327"/>
      <c r="I450" s="327"/>
      <c r="J450" s="327"/>
      <c r="K450" s="327"/>
      <c r="L450" s="327"/>
      <c r="M450" s="327"/>
      <c r="N450" s="327"/>
      <c r="O450" s="327"/>
      <c r="P450" s="327"/>
    </row>
    <row r="451" ht="15.75" customHeight="1">
      <c r="B451" s="327"/>
      <c r="C451" s="327"/>
      <c r="D451" s="327"/>
      <c r="E451" s="327"/>
      <c r="F451" s="327"/>
      <c r="G451" s="327"/>
      <c r="H451" s="327"/>
      <c r="I451" s="327"/>
      <c r="J451" s="327"/>
      <c r="K451" s="327"/>
      <c r="L451" s="327"/>
      <c r="M451" s="327"/>
      <c r="N451" s="327"/>
      <c r="O451" s="327"/>
      <c r="P451" s="327"/>
    </row>
    <row r="452" ht="15.75" customHeight="1">
      <c r="B452" s="327"/>
      <c r="C452" s="327"/>
      <c r="D452" s="327"/>
      <c r="E452" s="327"/>
      <c r="F452" s="327"/>
      <c r="G452" s="327"/>
      <c r="H452" s="327"/>
      <c r="I452" s="327"/>
      <c r="J452" s="327"/>
      <c r="K452" s="327"/>
      <c r="L452" s="327"/>
      <c r="M452" s="327"/>
      <c r="N452" s="327"/>
      <c r="O452" s="327"/>
      <c r="P452" s="327"/>
    </row>
    <row r="453" ht="15.75" customHeight="1">
      <c r="B453" s="327"/>
      <c r="C453" s="327"/>
      <c r="D453" s="327"/>
      <c r="E453" s="327"/>
      <c r="F453" s="327"/>
      <c r="G453" s="327"/>
      <c r="H453" s="327"/>
      <c r="I453" s="327"/>
      <c r="J453" s="327"/>
      <c r="K453" s="327"/>
      <c r="L453" s="327"/>
      <c r="M453" s="327"/>
      <c r="N453" s="327"/>
      <c r="O453" s="327"/>
      <c r="P453" s="327"/>
    </row>
    <row r="454" ht="15.75" customHeight="1">
      <c r="B454" s="327"/>
      <c r="C454" s="327"/>
      <c r="D454" s="327"/>
      <c r="E454" s="327"/>
      <c r="F454" s="327"/>
      <c r="G454" s="327"/>
      <c r="H454" s="327"/>
      <c r="I454" s="327"/>
      <c r="J454" s="327"/>
      <c r="K454" s="327"/>
      <c r="L454" s="327"/>
      <c r="M454" s="327"/>
      <c r="N454" s="327"/>
      <c r="O454" s="327"/>
      <c r="P454" s="327"/>
    </row>
    <row r="455" ht="15.75" customHeight="1">
      <c r="B455" s="327"/>
      <c r="C455" s="327"/>
      <c r="D455" s="327"/>
      <c r="E455" s="327"/>
      <c r="F455" s="327"/>
      <c r="G455" s="327"/>
      <c r="H455" s="327"/>
      <c r="I455" s="327"/>
      <c r="J455" s="327"/>
      <c r="K455" s="327"/>
      <c r="L455" s="327"/>
      <c r="M455" s="327"/>
      <c r="N455" s="327"/>
      <c r="O455" s="327"/>
      <c r="P455" s="327"/>
    </row>
    <row r="456" ht="15.75" customHeight="1">
      <c r="B456" s="327"/>
      <c r="C456" s="327"/>
      <c r="D456" s="327"/>
      <c r="E456" s="327"/>
      <c r="F456" s="327"/>
      <c r="G456" s="327"/>
      <c r="H456" s="327"/>
      <c r="I456" s="327"/>
      <c r="J456" s="327"/>
      <c r="K456" s="327"/>
      <c r="L456" s="327"/>
      <c r="M456" s="327"/>
      <c r="N456" s="327"/>
      <c r="O456" s="327"/>
      <c r="P456" s="327"/>
    </row>
    <row r="457" ht="15.75" customHeight="1">
      <c r="B457" s="327"/>
      <c r="C457" s="327"/>
      <c r="D457" s="327"/>
      <c r="E457" s="327"/>
      <c r="F457" s="327"/>
      <c r="G457" s="327"/>
      <c r="H457" s="327"/>
      <c r="I457" s="327"/>
      <c r="J457" s="327"/>
      <c r="K457" s="327"/>
      <c r="L457" s="327"/>
      <c r="M457" s="327"/>
      <c r="N457" s="327"/>
      <c r="O457" s="327"/>
      <c r="P457" s="327"/>
    </row>
    <row r="458" ht="15.75" customHeight="1">
      <c r="B458" s="327"/>
      <c r="C458" s="327"/>
      <c r="D458" s="327"/>
      <c r="E458" s="327"/>
      <c r="F458" s="327"/>
      <c r="G458" s="327"/>
      <c r="H458" s="327"/>
      <c r="I458" s="327"/>
      <c r="J458" s="327"/>
      <c r="K458" s="327"/>
      <c r="L458" s="327"/>
      <c r="M458" s="327"/>
      <c r="N458" s="327"/>
      <c r="O458" s="327"/>
      <c r="P458" s="327"/>
    </row>
    <row r="459" ht="15.75" customHeight="1">
      <c r="B459" s="327"/>
      <c r="C459" s="327"/>
      <c r="D459" s="327"/>
      <c r="E459" s="327"/>
      <c r="F459" s="327"/>
      <c r="G459" s="327"/>
      <c r="H459" s="327"/>
      <c r="I459" s="327"/>
      <c r="J459" s="327"/>
      <c r="K459" s="327"/>
      <c r="L459" s="327"/>
      <c r="M459" s="327"/>
      <c r="N459" s="327"/>
      <c r="O459" s="327"/>
      <c r="P459" s="327"/>
    </row>
    <row r="460" ht="15.75" customHeight="1">
      <c r="B460" s="327"/>
      <c r="C460" s="327"/>
      <c r="D460" s="327"/>
      <c r="E460" s="327"/>
      <c r="F460" s="327"/>
      <c r="G460" s="327"/>
      <c r="H460" s="327"/>
      <c r="I460" s="327"/>
      <c r="J460" s="327"/>
      <c r="K460" s="327"/>
      <c r="L460" s="327"/>
      <c r="M460" s="327"/>
      <c r="N460" s="327"/>
      <c r="O460" s="327"/>
      <c r="P460" s="327"/>
    </row>
    <row r="461" ht="15.75" customHeight="1">
      <c r="B461" s="327"/>
      <c r="C461" s="327"/>
      <c r="D461" s="327"/>
      <c r="E461" s="327"/>
      <c r="F461" s="327"/>
      <c r="G461" s="327"/>
      <c r="H461" s="327"/>
      <c r="I461" s="327"/>
      <c r="J461" s="327"/>
      <c r="K461" s="327"/>
      <c r="L461" s="327"/>
      <c r="M461" s="327"/>
      <c r="N461" s="327"/>
      <c r="O461" s="327"/>
      <c r="P461" s="327"/>
    </row>
    <row r="462" ht="15.75" customHeight="1">
      <c r="B462" s="327"/>
      <c r="C462" s="327"/>
      <c r="D462" s="327"/>
      <c r="E462" s="327"/>
      <c r="F462" s="327"/>
      <c r="G462" s="327"/>
      <c r="H462" s="327"/>
      <c r="I462" s="327"/>
      <c r="J462" s="327"/>
      <c r="K462" s="327"/>
      <c r="L462" s="327"/>
      <c r="M462" s="327"/>
      <c r="N462" s="327"/>
      <c r="O462" s="327"/>
      <c r="P462" s="327"/>
    </row>
    <row r="463" ht="15.75" customHeight="1">
      <c r="B463" s="327"/>
      <c r="C463" s="327"/>
      <c r="D463" s="327"/>
      <c r="E463" s="327"/>
      <c r="F463" s="327"/>
      <c r="G463" s="327"/>
      <c r="H463" s="327"/>
      <c r="I463" s="327"/>
      <c r="J463" s="327"/>
      <c r="K463" s="327"/>
      <c r="L463" s="327"/>
      <c r="M463" s="327"/>
      <c r="N463" s="327"/>
      <c r="O463" s="327"/>
      <c r="P463" s="327"/>
    </row>
    <row r="464" ht="15.75" customHeight="1">
      <c r="B464" s="327"/>
      <c r="C464" s="327"/>
      <c r="D464" s="327"/>
      <c r="E464" s="327"/>
      <c r="F464" s="327"/>
      <c r="G464" s="327"/>
      <c r="H464" s="327"/>
      <c r="I464" s="327"/>
      <c r="J464" s="327"/>
      <c r="K464" s="327"/>
      <c r="L464" s="327"/>
      <c r="M464" s="327"/>
      <c r="N464" s="327"/>
      <c r="O464" s="327"/>
      <c r="P464" s="327"/>
    </row>
    <row r="465" ht="15.75" customHeight="1">
      <c r="B465" s="327"/>
      <c r="C465" s="327"/>
      <c r="D465" s="327"/>
      <c r="E465" s="327"/>
      <c r="F465" s="327"/>
      <c r="G465" s="327"/>
      <c r="H465" s="327"/>
      <c r="I465" s="327"/>
      <c r="J465" s="327"/>
      <c r="K465" s="327"/>
      <c r="L465" s="327"/>
      <c r="M465" s="327"/>
      <c r="N465" s="327"/>
      <c r="O465" s="327"/>
      <c r="P465" s="327"/>
    </row>
    <row r="466" ht="15.75" customHeight="1">
      <c r="B466" s="327"/>
      <c r="C466" s="327"/>
      <c r="D466" s="327"/>
      <c r="E466" s="327"/>
      <c r="F466" s="327"/>
      <c r="G466" s="327"/>
      <c r="H466" s="327"/>
      <c r="I466" s="327"/>
      <c r="J466" s="327"/>
      <c r="K466" s="327"/>
      <c r="L466" s="327"/>
      <c r="M466" s="327"/>
      <c r="N466" s="327"/>
      <c r="O466" s="327"/>
      <c r="P466" s="327"/>
    </row>
    <row r="467" ht="15.75" customHeight="1">
      <c r="B467" s="327"/>
      <c r="C467" s="327"/>
      <c r="D467" s="327"/>
      <c r="E467" s="327"/>
      <c r="F467" s="327"/>
      <c r="G467" s="327"/>
      <c r="H467" s="327"/>
      <c r="I467" s="327"/>
      <c r="J467" s="327"/>
      <c r="K467" s="327"/>
      <c r="L467" s="327"/>
      <c r="M467" s="327"/>
      <c r="N467" s="327"/>
      <c r="O467" s="327"/>
      <c r="P467" s="327"/>
    </row>
    <row r="468" ht="15.75" customHeight="1">
      <c r="B468" s="327"/>
      <c r="C468" s="327"/>
      <c r="D468" s="327"/>
      <c r="E468" s="327"/>
      <c r="F468" s="327"/>
      <c r="G468" s="327"/>
      <c r="H468" s="327"/>
      <c r="I468" s="327"/>
      <c r="J468" s="327"/>
      <c r="K468" s="327"/>
      <c r="L468" s="327"/>
      <c r="M468" s="327"/>
      <c r="N468" s="327"/>
      <c r="O468" s="327"/>
      <c r="P468" s="327"/>
    </row>
    <row r="469" ht="15.75" customHeight="1">
      <c r="B469" s="327"/>
      <c r="C469" s="327"/>
      <c r="D469" s="327"/>
      <c r="E469" s="327"/>
      <c r="F469" s="327"/>
      <c r="G469" s="327"/>
      <c r="H469" s="327"/>
      <c r="I469" s="327"/>
      <c r="J469" s="327"/>
      <c r="K469" s="327"/>
      <c r="L469" s="327"/>
      <c r="M469" s="327"/>
      <c r="N469" s="327"/>
      <c r="O469" s="327"/>
      <c r="P469" s="327"/>
    </row>
    <row r="470" ht="15.75" customHeight="1">
      <c r="B470" s="327"/>
      <c r="C470" s="327"/>
      <c r="D470" s="327"/>
      <c r="E470" s="327"/>
      <c r="F470" s="327"/>
      <c r="G470" s="327"/>
      <c r="H470" s="327"/>
      <c r="I470" s="327"/>
      <c r="J470" s="327"/>
      <c r="K470" s="327"/>
      <c r="L470" s="327"/>
      <c r="M470" s="327"/>
      <c r="N470" s="327"/>
      <c r="O470" s="327"/>
      <c r="P470" s="327"/>
    </row>
    <row r="471" ht="15.75" customHeight="1">
      <c r="B471" s="327"/>
      <c r="C471" s="327"/>
      <c r="D471" s="327"/>
      <c r="E471" s="327"/>
      <c r="F471" s="327"/>
      <c r="G471" s="327"/>
      <c r="H471" s="327"/>
      <c r="I471" s="327"/>
      <c r="J471" s="327"/>
      <c r="K471" s="327"/>
      <c r="L471" s="327"/>
      <c r="M471" s="327"/>
      <c r="N471" s="327"/>
      <c r="O471" s="327"/>
      <c r="P471" s="327"/>
    </row>
    <row r="472" ht="15.75" customHeight="1">
      <c r="B472" s="327"/>
      <c r="C472" s="327"/>
      <c r="D472" s="327"/>
      <c r="E472" s="327"/>
      <c r="F472" s="327"/>
      <c r="G472" s="327"/>
      <c r="H472" s="327"/>
      <c r="I472" s="327"/>
      <c r="J472" s="327"/>
      <c r="K472" s="327"/>
      <c r="L472" s="327"/>
      <c r="M472" s="327"/>
      <c r="N472" s="327"/>
      <c r="O472" s="327"/>
      <c r="P472" s="327"/>
    </row>
    <row r="473" ht="15.75" customHeight="1">
      <c r="B473" s="327"/>
      <c r="C473" s="327"/>
      <c r="D473" s="327"/>
      <c r="E473" s="327"/>
      <c r="F473" s="327"/>
      <c r="G473" s="327"/>
      <c r="H473" s="327"/>
      <c r="I473" s="327"/>
      <c r="J473" s="327"/>
      <c r="K473" s="327"/>
      <c r="L473" s="327"/>
      <c r="M473" s="327"/>
      <c r="N473" s="327"/>
      <c r="O473" s="327"/>
      <c r="P473" s="327"/>
    </row>
    <row r="474" ht="15.75" customHeight="1">
      <c r="B474" s="327"/>
      <c r="C474" s="327"/>
      <c r="D474" s="327"/>
      <c r="E474" s="327"/>
      <c r="F474" s="327"/>
      <c r="G474" s="327"/>
      <c r="H474" s="327"/>
      <c r="I474" s="327"/>
      <c r="J474" s="327"/>
      <c r="K474" s="327"/>
      <c r="L474" s="327"/>
      <c r="M474" s="327"/>
      <c r="N474" s="327"/>
      <c r="O474" s="327"/>
      <c r="P474" s="327"/>
    </row>
    <row r="475" ht="15.75" customHeight="1">
      <c r="B475" s="327"/>
      <c r="C475" s="327"/>
      <c r="D475" s="327"/>
      <c r="E475" s="327"/>
      <c r="F475" s="327"/>
      <c r="G475" s="327"/>
      <c r="H475" s="327"/>
      <c r="I475" s="327"/>
      <c r="J475" s="327"/>
      <c r="K475" s="327"/>
      <c r="L475" s="327"/>
      <c r="M475" s="327"/>
      <c r="N475" s="327"/>
      <c r="O475" s="327"/>
      <c r="P475" s="327"/>
    </row>
    <row r="476" ht="15.75" customHeight="1">
      <c r="B476" s="327"/>
      <c r="C476" s="327"/>
      <c r="D476" s="327"/>
      <c r="E476" s="327"/>
      <c r="F476" s="327"/>
      <c r="G476" s="327"/>
      <c r="H476" s="327"/>
      <c r="I476" s="327"/>
      <c r="J476" s="327"/>
      <c r="K476" s="327"/>
      <c r="L476" s="327"/>
      <c r="M476" s="327"/>
      <c r="N476" s="327"/>
      <c r="O476" s="327"/>
      <c r="P476" s="327"/>
    </row>
    <row r="477" ht="15.75" customHeight="1">
      <c r="B477" s="327"/>
      <c r="C477" s="327"/>
      <c r="D477" s="327"/>
      <c r="E477" s="327"/>
      <c r="F477" s="327"/>
      <c r="G477" s="327"/>
      <c r="H477" s="327"/>
      <c r="I477" s="327"/>
      <c r="J477" s="327"/>
      <c r="K477" s="327"/>
      <c r="L477" s="327"/>
      <c r="M477" s="327"/>
      <c r="N477" s="327"/>
      <c r="O477" s="327"/>
      <c r="P477" s="327"/>
    </row>
    <row r="478" ht="15.75" customHeight="1">
      <c r="B478" s="327"/>
      <c r="C478" s="327"/>
      <c r="D478" s="327"/>
      <c r="E478" s="327"/>
      <c r="F478" s="327"/>
      <c r="G478" s="327"/>
      <c r="H478" s="327"/>
      <c r="I478" s="327"/>
      <c r="J478" s="327"/>
      <c r="K478" s="327"/>
      <c r="L478" s="327"/>
      <c r="M478" s="327"/>
      <c r="N478" s="327"/>
      <c r="O478" s="327"/>
      <c r="P478" s="327"/>
    </row>
    <row r="479" ht="15.75" customHeight="1">
      <c r="B479" s="327"/>
      <c r="C479" s="327"/>
      <c r="D479" s="327"/>
      <c r="E479" s="327"/>
      <c r="F479" s="327"/>
      <c r="G479" s="327"/>
      <c r="H479" s="327"/>
      <c r="I479" s="327"/>
      <c r="J479" s="327"/>
      <c r="K479" s="327"/>
      <c r="L479" s="327"/>
      <c r="M479" s="327"/>
      <c r="N479" s="327"/>
      <c r="O479" s="327"/>
      <c r="P479" s="327"/>
    </row>
    <row r="480" ht="15.75" customHeight="1">
      <c r="B480" s="327"/>
      <c r="C480" s="327"/>
      <c r="D480" s="327"/>
      <c r="E480" s="327"/>
      <c r="F480" s="327"/>
      <c r="G480" s="327"/>
      <c r="H480" s="327"/>
      <c r="I480" s="327"/>
      <c r="J480" s="327"/>
      <c r="K480" s="327"/>
      <c r="L480" s="327"/>
      <c r="M480" s="327"/>
      <c r="N480" s="327"/>
      <c r="O480" s="327"/>
      <c r="P480" s="327"/>
    </row>
    <row r="481" ht="15.75" customHeight="1">
      <c r="B481" s="327"/>
      <c r="C481" s="327"/>
      <c r="D481" s="327"/>
      <c r="E481" s="327"/>
      <c r="F481" s="327"/>
      <c r="G481" s="327"/>
      <c r="H481" s="327"/>
      <c r="I481" s="327"/>
      <c r="J481" s="327"/>
      <c r="K481" s="327"/>
      <c r="L481" s="327"/>
      <c r="M481" s="327"/>
      <c r="N481" s="327"/>
      <c r="O481" s="327"/>
      <c r="P481" s="327"/>
    </row>
    <row r="482" ht="15.75" customHeight="1">
      <c r="B482" s="327"/>
      <c r="C482" s="327"/>
      <c r="D482" s="327"/>
      <c r="E482" s="327"/>
      <c r="F482" s="327"/>
      <c r="G482" s="327"/>
      <c r="H482" s="327"/>
      <c r="I482" s="327"/>
      <c r="J482" s="327"/>
      <c r="K482" s="327"/>
      <c r="L482" s="327"/>
      <c r="M482" s="327"/>
      <c r="N482" s="327"/>
      <c r="O482" s="327"/>
      <c r="P482" s="327"/>
    </row>
    <row r="483" ht="15.75" customHeight="1">
      <c r="B483" s="327"/>
      <c r="C483" s="327"/>
      <c r="D483" s="327"/>
      <c r="E483" s="327"/>
      <c r="F483" s="327"/>
      <c r="G483" s="327"/>
      <c r="H483" s="327"/>
      <c r="I483" s="327"/>
      <c r="J483" s="327"/>
      <c r="K483" s="327"/>
      <c r="L483" s="327"/>
      <c r="M483" s="327"/>
      <c r="N483" s="327"/>
      <c r="O483" s="327"/>
      <c r="P483" s="327"/>
    </row>
    <row r="484" ht="15.75" customHeight="1">
      <c r="B484" s="327"/>
      <c r="C484" s="327"/>
      <c r="D484" s="327"/>
      <c r="E484" s="327"/>
      <c r="F484" s="327"/>
      <c r="G484" s="327"/>
      <c r="H484" s="327"/>
      <c r="I484" s="327"/>
      <c r="J484" s="327"/>
      <c r="K484" s="327"/>
      <c r="L484" s="327"/>
      <c r="M484" s="327"/>
      <c r="N484" s="327"/>
      <c r="O484" s="327"/>
      <c r="P484" s="327"/>
    </row>
    <row r="485" ht="15.75" customHeight="1">
      <c r="B485" s="327"/>
      <c r="C485" s="327"/>
      <c r="D485" s="327"/>
      <c r="E485" s="327"/>
      <c r="F485" s="327"/>
      <c r="G485" s="327"/>
      <c r="H485" s="327"/>
      <c r="I485" s="327"/>
      <c r="J485" s="327"/>
      <c r="K485" s="327"/>
      <c r="L485" s="327"/>
      <c r="M485" s="327"/>
      <c r="N485" s="327"/>
      <c r="O485" s="327"/>
      <c r="P485" s="327"/>
    </row>
    <row r="486" ht="15.75" customHeight="1">
      <c r="B486" s="327"/>
      <c r="C486" s="327"/>
      <c r="D486" s="327"/>
      <c r="E486" s="327"/>
      <c r="F486" s="327"/>
      <c r="G486" s="327"/>
      <c r="H486" s="327"/>
      <c r="I486" s="327"/>
      <c r="J486" s="327"/>
      <c r="K486" s="327"/>
      <c r="L486" s="327"/>
      <c r="M486" s="327"/>
      <c r="N486" s="327"/>
      <c r="O486" s="327"/>
      <c r="P486" s="327"/>
    </row>
    <row r="487" ht="15.75" customHeight="1">
      <c r="B487" s="327"/>
      <c r="C487" s="327"/>
      <c r="D487" s="327"/>
      <c r="E487" s="327"/>
      <c r="F487" s="327"/>
      <c r="G487" s="327"/>
      <c r="H487" s="327"/>
      <c r="I487" s="327"/>
      <c r="J487" s="327"/>
      <c r="K487" s="327"/>
      <c r="L487" s="327"/>
      <c r="M487" s="327"/>
      <c r="N487" s="327"/>
      <c r="O487" s="327"/>
      <c r="P487" s="327"/>
    </row>
    <row r="488" ht="15.75" customHeight="1">
      <c r="B488" s="327"/>
      <c r="C488" s="327"/>
      <c r="D488" s="327"/>
      <c r="E488" s="327"/>
      <c r="F488" s="327"/>
      <c r="G488" s="327"/>
      <c r="H488" s="327"/>
      <c r="I488" s="327"/>
      <c r="J488" s="327"/>
      <c r="K488" s="327"/>
      <c r="L488" s="327"/>
      <c r="M488" s="327"/>
      <c r="N488" s="327"/>
      <c r="O488" s="327"/>
      <c r="P488" s="327"/>
    </row>
    <row r="489" ht="15.75" customHeight="1">
      <c r="B489" s="327"/>
      <c r="C489" s="327"/>
      <c r="D489" s="327"/>
      <c r="E489" s="327"/>
      <c r="F489" s="327"/>
      <c r="G489" s="327"/>
      <c r="H489" s="327"/>
      <c r="I489" s="327"/>
      <c r="J489" s="327"/>
      <c r="K489" s="327"/>
      <c r="L489" s="327"/>
      <c r="M489" s="327"/>
      <c r="N489" s="327"/>
      <c r="O489" s="327"/>
      <c r="P489" s="327"/>
    </row>
    <row r="490" ht="15.75" customHeight="1">
      <c r="B490" s="327"/>
      <c r="C490" s="327"/>
      <c r="D490" s="327"/>
      <c r="E490" s="327"/>
      <c r="F490" s="327"/>
      <c r="G490" s="327"/>
      <c r="H490" s="327"/>
      <c r="I490" s="327"/>
      <c r="J490" s="327"/>
      <c r="K490" s="327"/>
      <c r="L490" s="327"/>
      <c r="M490" s="327"/>
      <c r="N490" s="327"/>
      <c r="O490" s="327"/>
      <c r="P490" s="327"/>
    </row>
    <row r="491" ht="15.75" customHeight="1">
      <c r="B491" s="327"/>
      <c r="C491" s="327"/>
      <c r="D491" s="327"/>
      <c r="E491" s="327"/>
      <c r="F491" s="327"/>
      <c r="G491" s="327"/>
      <c r="H491" s="327"/>
      <c r="I491" s="327"/>
      <c r="J491" s="327"/>
      <c r="K491" s="327"/>
      <c r="L491" s="327"/>
      <c r="M491" s="327"/>
      <c r="N491" s="327"/>
      <c r="O491" s="327"/>
      <c r="P491" s="327"/>
    </row>
    <row r="492" ht="15.75" customHeight="1">
      <c r="B492" s="327"/>
      <c r="C492" s="327"/>
      <c r="D492" s="327"/>
      <c r="E492" s="327"/>
      <c r="F492" s="327"/>
      <c r="G492" s="327"/>
      <c r="H492" s="327"/>
      <c r="I492" s="327"/>
      <c r="J492" s="327"/>
      <c r="K492" s="327"/>
      <c r="L492" s="327"/>
      <c r="M492" s="327"/>
      <c r="N492" s="327"/>
      <c r="O492" s="327"/>
      <c r="P492" s="327"/>
    </row>
    <row r="493" ht="15.75" customHeight="1">
      <c r="B493" s="327"/>
      <c r="C493" s="327"/>
      <c r="D493" s="327"/>
      <c r="E493" s="327"/>
      <c r="F493" s="327"/>
      <c r="G493" s="327"/>
      <c r="H493" s="327"/>
      <c r="I493" s="327"/>
      <c r="J493" s="327"/>
      <c r="K493" s="327"/>
      <c r="L493" s="327"/>
      <c r="M493" s="327"/>
      <c r="N493" s="327"/>
      <c r="O493" s="327"/>
      <c r="P493" s="327"/>
    </row>
    <row r="494" ht="15.75" customHeight="1">
      <c r="B494" s="327"/>
      <c r="C494" s="327"/>
      <c r="D494" s="327"/>
      <c r="E494" s="327"/>
      <c r="F494" s="327"/>
      <c r="G494" s="327"/>
      <c r="H494" s="327"/>
      <c r="I494" s="327"/>
      <c r="J494" s="327"/>
      <c r="K494" s="327"/>
      <c r="L494" s="327"/>
      <c r="M494" s="327"/>
      <c r="N494" s="327"/>
      <c r="O494" s="327"/>
      <c r="P494" s="327"/>
    </row>
    <row r="495" ht="15.75" customHeight="1">
      <c r="B495" s="327"/>
      <c r="C495" s="327"/>
      <c r="D495" s="327"/>
      <c r="E495" s="327"/>
      <c r="F495" s="327"/>
      <c r="G495" s="327"/>
      <c r="H495" s="327"/>
      <c r="I495" s="327"/>
      <c r="J495" s="327"/>
      <c r="K495" s="327"/>
      <c r="L495" s="327"/>
      <c r="M495" s="327"/>
      <c r="N495" s="327"/>
      <c r="O495" s="327"/>
      <c r="P495" s="327"/>
    </row>
    <row r="496" ht="15.75" customHeight="1">
      <c r="B496" s="327"/>
      <c r="C496" s="327"/>
      <c r="D496" s="327"/>
      <c r="E496" s="327"/>
      <c r="F496" s="327"/>
      <c r="G496" s="327"/>
      <c r="H496" s="327"/>
      <c r="I496" s="327"/>
      <c r="J496" s="327"/>
      <c r="K496" s="327"/>
      <c r="L496" s="327"/>
      <c r="M496" s="327"/>
      <c r="N496" s="327"/>
      <c r="O496" s="327"/>
      <c r="P496" s="327"/>
    </row>
    <row r="497" ht="15.75" customHeight="1">
      <c r="B497" s="327"/>
      <c r="C497" s="327"/>
      <c r="D497" s="327"/>
      <c r="E497" s="327"/>
      <c r="F497" s="327"/>
      <c r="G497" s="327"/>
      <c r="H497" s="327"/>
      <c r="I497" s="327"/>
      <c r="J497" s="327"/>
      <c r="K497" s="327"/>
      <c r="L497" s="327"/>
      <c r="M497" s="327"/>
      <c r="N497" s="327"/>
      <c r="O497" s="327"/>
      <c r="P497" s="327"/>
    </row>
    <row r="498" ht="15.75" customHeight="1">
      <c r="B498" s="327"/>
      <c r="C498" s="327"/>
      <c r="D498" s="327"/>
      <c r="E498" s="327"/>
      <c r="F498" s="327"/>
      <c r="G498" s="327"/>
      <c r="H498" s="327"/>
      <c r="I498" s="327"/>
      <c r="J498" s="327"/>
      <c r="K498" s="327"/>
      <c r="L498" s="327"/>
      <c r="M498" s="327"/>
      <c r="N498" s="327"/>
      <c r="O498" s="327"/>
      <c r="P498" s="327"/>
    </row>
    <row r="499" ht="15.75" customHeight="1">
      <c r="B499" s="327"/>
      <c r="C499" s="327"/>
      <c r="D499" s="327"/>
      <c r="E499" s="327"/>
      <c r="F499" s="327"/>
      <c r="G499" s="327"/>
      <c r="H499" s="327"/>
      <c r="I499" s="327"/>
      <c r="J499" s="327"/>
      <c r="K499" s="327"/>
      <c r="L499" s="327"/>
      <c r="M499" s="327"/>
      <c r="N499" s="327"/>
      <c r="O499" s="327"/>
      <c r="P499" s="327"/>
    </row>
    <row r="500" ht="15.75" customHeight="1">
      <c r="B500" s="327"/>
      <c r="C500" s="327"/>
      <c r="D500" s="327"/>
      <c r="E500" s="327"/>
      <c r="F500" s="327"/>
      <c r="G500" s="327"/>
      <c r="H500" s="327"/>
      <c r="I500" s="327"/>
      <c r="J500" s="327"/>
      <c r="K500" s="327"/>
      <c r="L500" s="327"/>
      <c r="M500" s="327"/>
      <c r="N500" s="327"/>
      <c r="O500" s="327"/>
      <c r="P500" s="327"/>
    </row>
    <row r="501" ht="15.75" customHeight="1">
      <c r="B501" s="327"/>
      <c r="C501" s="327"/>
      <c r="D501" s="327"/>
      <c r="E501" s="327"/>
      <c r="F501" s="327"/>
      <c r="G501" s="327"/>
      <c r="H501" s="327"/>
      <c r="I501" s="327"/>
      <c r="J501" s="327"/>
      <c r="K501" s="327"/>
      <c r="L501" s="327"/>
      <c r="M501" s="327"/>
      <c r="N501" s="327"/>
      <c r="O501" s="327"/>
      <c r="P501" s="327"/>
    </row>
    <row r="502" ht="15.75" customHeight="1">
      <c r="B502" s="327"/>
      <c r="C502" s="327"/>
      <c r="D502" s="327"/>
      <c r="E502" s="327"/>
      <c r="F502" s="327"/>
      <c r="G502" s="327"/>
      <c r="H502" s="327"/>
      <c r="I502" s="327"/>
      <c r="J502" s="327"/>
      <c r="K502" s="327"/>
      <c r="L502" s="327"/>
      <c r="M502" s="327"/>
      <c r="N502" s="327"/>
      <c r="O502" s="327"/>
      <c r="P502" s="327"/>
    </row>
    <row r="503" ht="15.75" customHeight="1">
      <c r="B503" s="327"/>
      <c r="C503" s="327"/>
      <c r="D503" s="327"/>
      <c r="E503" s="327"/>
      <c r="F503" s="327"/>
      <c r="G503" s="327"/>
      <c r="H503" s="327"/>
      <c r="I503" s="327"/>
      <c r="J503" s="327"/>
      <c r="K503" s="327"/>
      <c r="L503" s="327"/>
      <c r="M503" s="327"/>
      <c r="N503" s="327"/>
      <c r="O503" s="327"/>
      <c r="P503" s="327"/>
    </row>
    <row r="504" ht="15.75" customHeight="1">
      <c r="B504" s="327"/>
      <c r="C504" s="327"/>
      <c r="D504" s="327"/>
      <c r="E504" s="327"/>
      <c r="F504" s="327"/>
      <c r="G504" s="327"/>
      <c r="H504" s="327"/>
      <c r="I504" s="327"/>
      <c r="J504" s="327"/>
      <c r="K504" s="327"/>
      <c r="L504" s="327"/>
      <c r="M504" s="327"/>
      <c r="N504" s="327"/>
      <c r="O504" s="327"/>
      <c r="P504" s="327"/>
    </row>
    <row r="505" ht="15.75" customHeight="1">
      <c r="B505" s="327"/>
      <c r="C505" s="327"/>
      <c r="D505" s="327"/>
      <c r="E505" s="327"/>
      <c r="F505" s="327"/>
      <c r="G505" s="327"/>
      <c r="H505" s="327"/>
      <c r="I505" s="327"/>
      <c r="J505" s="327"/>
      <c r="K505" s="327"/>
      <c r="L505" s="327"/>
      <c r="M505" s="327"/>
      <c r="N505" s="327"/>
      <c r="O505" s="327"/>
      <c r="P505" s="327"/>
    </row>
    <row r="506" ht="15.75" customHeight="1">
      <c r="B506" s="327"/>
      <c r="C506" s="327"/>
      <c r="D506" s="327"/>
      <c r="E506" s="327"/>
      <c r="F506" s="327"/>
      <c r="G506" s="327"/>
      <c r="H506" s="327"/>
      <c r="I506" s="327"/>
      <c r="J506" s="327"/>
      <c r="K506" s="327"/>
      <c r="L506" s="327"/>
      <c r="M506" s="327"/>
      <c r="N506" s="327"/>
      <c r="O506" s="327"/>
      <c r="P506" s="327"/>
    </row>
    <row r="507" ht="15.75" customHeight="1">
      <c r="B507" s="327"/>
      <c r="C507" s="327"/>
      <c r="D507" s="327"/>
      <c r="E507" s="327"/>
      <c r="F507" s="327"/>
      <c r="G507" s="327"/>
      <c r="H507" s="327"/>
      <c r="I507" s="327"/>
      <c r="J507" s="327"/>
      <c r="K507" s="327"/>
      <c r="L507" s="327"/>
      <c r="M507" s="327"/>
      <c r="N507" s="327"/>
      <c r="O507" s="327"/>
      <c r="P507" s="327"/>
    </row>
    <row r="508" ht="15.75" customHeight="1">
      <c r="B508" s="327"/>
      <c r="C508" s="327"/>
      <c r="D508" s="327"/>
      <c r="E508" s="327"/>
      <c r="F508" s="327"/>
      <c r="G508" s="327"/>
      <c r="H508" s="327"/>
      <c r="I508" s="327"/>
      <c r="J508" s="327"/>
      <c r="K508" s="327"/>
      <c r="L508" s="327"/>
      <c r="M508" s="327"/>
      <c r="N508" s="327"/>
      <c r="O508" s="327"/>
      <c r="P508" s="327"/>
    </row>
    <row r="509" ht="15.75" customHeight="1">
      <c r="B509" s="327"/>
      <c r="C509" s="327"/>
      <c r="D509" s="327"/>
      <c r="E509" s="327"/>
      <c r="F509" s="327"/>
      <c r="G509" s="327"/>
      <c r="H509" s="327"/>
      <c r="I509" s="327"/>
      <c r="J509" s="327"/>
      <c r="K509" s="327"/>
      <c r="L509" s="327"/>
      <c r="M509" s="327"/>
      <c r="N509" s="327"/>
      <c r="O509" s="327"/>
      <c r="P509" s="327"/>
    </row>
    <row r="510" ht="15.75" customHeight="1">
      <c r="B510" s="327"/>
      <c r="C510" s="327"/>
      <c r="D510" s="327"/>
      <c r="E510" s="327"/>
      <c r="F510" s="327"/>
      <c r="G510" s="327"/>
      <c r="H510" s="327"/>
      <c r="I510" s="327"/>
      <c r="J510" s="327"/>
      <c r="K510" s="327"/>
      <c r="L510" s="327"/>
      <c r="M510" s="327"/>
      <c r="N510" s="327"/>
      <c r="O510" s="327"/>
      <c r="P510" s="327"/>
    </row>
    <row r="511" ht="15.75" customHeight="1">
      <c r="B511" s="327"/>
      <c r="C511" s="327"/>
      <c r="D511" s="327"/>
      <c r="E511" s="327"/>
      <c r="F511" s="327"/>
      <c r="G511" s="327"/>
      <c r="H511" s="327"/>
      <c r="I511" s="327"/>
      <c r="J511" s="327"/>
      <c r="K511" s="327"/>
      <c r="L511" s="327"/>
      <c r="M511" s="327"/>
      <c r="N511" s="327"/>
      <c r="O511" s="327"/>
      <c r="P511" s="327"/>
    </row>
    <row r="512" ht="15.75" customHeight="1">
      <c r="B512" s="327"/>
      <c r="C512" s="327"/>
      <c r="D512" s="327"/>
      <c r="E512" s="327"/>
      <c r="F512" s="327"/>
      <c r="G512" s="327"/>
      <c r="H512" s="327"/>
      <c r="I512" s="327"/>
      <c r="J512" s="327"/>
      <c r="K512" s="327"/>
      <c r="L512" s="327"/>
      <c r="M512" s="327"/>
      <c r="N512" s="327"/>
      <c r="O512" s="327"/>
      <c r="P512" s="327"/>
    </row>
    <row r="513" ht="15.75" customHeight="1">
      <c r="B513" s="327"/>
      <c r="C513" s="327"/>
      <c r="D513" s="327"/>
      <c r="E513" s="327"/>
      <c r="F513" s="327"/>
      <c r="G513" s="327"/>
      <c r="H513" s="327"/>
      <c r="I513" s="327"/>
      <c r="J513" s="327"/>
      <c r="K513" s="327"/>
      <c r="L513" s="327"/>
      <c r="M513" s="327"/>
      <c r="N513" s="327"/>
      <c r="O513" s="327"/>
      <c r="P513" s="327"/>
    </row>
    <row r="514" ht="15.75" customHeight="1">
      <c r="B514" s="327"/>
      <c r="C514" s="327"/>
      <c r="D514" s="327"/>
      <c r="E514" s="327"/>
      <c r="F514" s="327"/>
      <c r="G514" s="327"/>
      <c r="H514" s="327"/>
      <c r="I514" s="327"/>
      <c r="J514" s="327"/>
      <c r="K514" s="327"/>
      <c r="L514" s="327"/>
      <c r="M514" s="327"/>
      <c r="N514" s="327"/>
      <c r="O514" s="327"/>
      <c r="P514" s="327"/>
    </row>
    <row r="515" ht="15.75" customHeight="1">
      <c r="B515" s="327"/>
      <c r="C515" s="327"/>
      <c r="D515" s="327"/>
      <c r="E515" s="327"/>
      <c r="F515" s="327"/>
      <c r="G515" s="327"/>
      <c r="H515" s="327"/>
      <c r="I515" s="327"/>
      <c r="J515" s="327"/>
      <c r="K515" s="327"/>
      <c r="L515" s="327"/>
      <c r="M515" s="327"/>
      <c r="N515" s="327"/>
      <c r="O515" s="327"/>
      <c r="P515" s="327"/>
    </row>
    <row r="516" ht="15.75" customHeight="1">
      <c r="B516" s="327"/>
      <c r="C516" s="327"/>
      <c r="D516" s="327"/>
      <c r="E516" s="327"/>
      <c r="F516" s="327"/>
      <c r="G516" s="327"/>
      <c r="H516" s="327"/>
      <c r="I516" s="327"/>
      <c r="J516" s="327"/>
      <c r="K516" s="327"/>
      <c r="L516" s="327"/>
      <c r="M516" s="327"/>
      <c r="N516" s="327"/>
      <c r="O516" s="327"/>
      <c r="P516" s="327"/>
    </row>
    <row r="517" ht="15.75" customHeight="1">
      <c r="B517" s="327"/>
      <c r="C517" s="327"/>
      <c r="D517" s="327"/>
      <c r="E517" s="327"/>
      <c r="F517" s="327"/>
      <c r="G517" s="327"/>
      <c r="H517" s="327"/>
      <c r="I517" s="327"/>
      <c r="J517" s="327"/>
      <c r="K517" s="327"/>
      <c r="L517" s="327"/>
      <c r="M517" s="327"/>
      <c r="N517" s="327"/>
      <c r="O517" s="327"/>
      <c r="P517" s="327"/>
    </row>
    <row r="518" ht="15.75" customHeight="1">
      <c r="B518" s="327"/>
      <c r="C518" s="327"/>
      <c r="D518" s="327"/>
      <c r="E518" s="327"/>
      <c r="F518" s="327"/>
      <c r="G518" s="327"/>
      <c r="H518" s="327"/>
      <c r="I518" s="327"/>
      <c r="J518" s="327"/>
      <c r="K518" s="327"/>
      <c r="L518" s="327"/>
      <c r="M518" s="327"/>
      <c r="N518" s="327"/>
      <c r="O518" s="327"/>
      <c r="P518" s="327"/>
    </row>
    <row r="519" ht="15.75" customHeight="1">
      <c r="B519" s="327"/>
      <c r="C519" s="327"/>
      <c r="D519" s="327"/>
      <c r="E519" s="327"/>
      <c r="F519" s="327"/>
      <c r="G519" s="327"/>
      <c r="H519" s="327"/>
      <c r="I519" s="327"/>
      <c r="J519" s="327"/>
      <c r="K519" s="327"/>
      <c r="L519" s="327"/>
      <c r="M519" s="327"/>
      <c r="N519" s="327"/>
      <c r="O519" s="327"/>
      <c r="P519" s="327"/>
    </row>
    <row r="520" ht="15.75" customHeight="1">
      <c r="B520" s="327"/>
      <c r="C520" s="327"/>
      <c r="D520" s="327"/>
      <c r="E520" s="327"/>
      <c r="F520" s="327"/>
      <c r="G520" s="327"/>
      <c r="H520" s="327"/>
      <c r="I520" s="327"/>
      <c r="J520" s="327"/>
      <c r="K520" s="327"/>
      <c r="L520" s="327"/>
      <c r="M520" s="327"/>
      <c r="N520" s="327"/>
      <c r="O520" s="327"/>
      <c r="P520" s="327"/>
    </row>
    <row r="521" ht="15.75" customHeight="1">
      <c r="B521" s="327"/>
      <c r="C521" s="327"/>
      <c r="D521" s="327"/>
      <c r="E521" s="327"/>
      <c r="F521" s="327"/>
      <c r="G521" s="327"/>
      <c r="H521" s="327"/>
      <c r="I521" s="327"/>
      <c r="J521" s="327"/>
      <c r="K521" s="327"/>
      <c r="L521" s="327"/>
      <c r="M521" s="327"/>
      <c r="N521" s="327"/>
      <c r="O521" s="327"/>
      <c r="P521" s="327"/>
    </row>
    <row r="522" ht="15.75" customHeight="1">
      <c r="B522" s="327"/>
      <c r="C522" s="327"/>
      <c r="D522" s="327"/>
      <c r="E522" s="327"/>
      <c r="F522" s="327"/>
      <c r="G522" s="327"/>
      <c r="H522" s="327"/>
      <c r="I522" s="327"/>
      <c r="J522" s="327"/>
      <c r="K522" s="327"/>
      <c r="L522" s="327"/>
      <c r="M522" s="327"/>
      <c r="N522" s="327"/>
      <c r="O522" s="327"/>
      <c r="P522" s="327"/>
    </row>
    <row r="523" ht="15.75" customHeight="1">
      <c r="B523" s="327"/>
      <c r="C523" s="327"/>
      <c r="D523" s="327"/>
      <c r="E523" s="327"/>
      <c r="F523" s="327"/>
      <c r="G523" s="327"/>
      <c r="H523" s="327"/>
      <c r="I523" s="327"/>
      <c r="J523" s="327"/>
      <c r="K523" s="327"/>
      <c r="L523" s="327"/>
      <c r="M523" s="327"/>
      <c r="N523" s="327"/>
      <c r="O523" s="327"/>
      <c r="P523" s="327"/>
    </row>
    <row r="524" ht="15.75" customHeight="1">
      <c r="B524" s="327"/>
      <c r="C524" s="327"/>
      <c r="D524" s="327"/>
      <c r="E524" s="327"/>
      <c r="F524" s="327"/>
      <c r="G524" s="327"/>
      <c r="H524" s="327"/>
      <c r="I524" s="327"/>
      <c r="J524" s="327"/>
      <c r="K524" s="327"/>
      <c r="L524" s="327"/>
      <c r="M524" s="327"/>
      <c r="N524" s="327"/>
      <c r="O524" s="327"/>
      <c r="P524" s="327"/>
    </row>
    <row r="525" ht="15.75" customHeight="1">
      <c r="B525" s="327"/>
      <c r="C525" s="327"/>
      <c r="D525" s="327"/>
      <c r="E525" s="327"/>
      <c r="F525" s="327"/>
      <c r="G525" s="327"/>
      <c r="H525" s="327"/>
      <c r="I525" s="327"/>
      <c r="J525" s="327"/>
      <c r="K525" s="327"/>
      <c r="L525" s="327"/>
      <c r="M525" s="327"/>
      <c r="N525" s="327"/>
      <c r="O525" s="327"/>
      <c r="P525" s="327"/>
    </row>
    <row r="526" ht="15.75" customHeight="1">
      <c r="B526" s="327"/>
      <c r="C526" s="327"/>
      <c r="D526" s="327"/>
      <c r="E526" s="327"/>
      <c r="F526" s="327"/>
      <c r="G526" s="327"/>
      <c r="H526" s="327"/>
      <c r="I526" s="327"/>
      <c r="J526" s="327"/>
      <c r="K526" s="327"/>
      <c r="L526" s="327"/>
      <c r="M526" s="327"/>
      <c r="N526" s="327"/>
      <c r="O526" s="327"/>
      <c r="P526" s="327"/>
    </row>
    <row r="527" ht="15.75" customHeight="1">
      <c r="B527" s="327"/>
      <c r="C527" s="327"/>
      <c r="D527" s="327"/>
      <c r="E527" s="327"/>
      <c r="F527" s="327"/>
      <c r="G527" s="327"/>
      <c r="H527" s="327"/>
      <c r="I527" s="327"/>
      <c r="J527" s="327"/>
      <c r="K527" s="327"/>
      <c r="L527" s="327"/>
      <c r="M527" s="327"/>
      <c r="N527" s="327"/>
      <c r="O527" s="327"/>
      <c r="P527" s="327"/>
    </row>
    <row r="528" ht="15.75" customHeight="1">
      <c r="B528" s="327"/>
      <c r="C528" s="327"/>
      <c r="D528" s="327"/>
      <c r="E528" s="327"/>
      <c r="F528" s="327"/>
      <c r="G528" s="327"/>
      <c r="H528" s="327"/>
      <c r="I528" s="327"/>
      <c r="J528" s="327"/>
      <c r="K528" s="327"/>
      <c r="L528" s="327"/>
      <c r="M528" s="327"/>
      <c r="N528" s="327"/>
      <c r="O528" s="327"/>
      <c r="P528" s="327"/>
    </row>
    <row r="529" ht="15.75" customHeight="1">
      <c r="B529" s="327"/>
      <c r="C529" s="327"/>
      <c r="D529" s="327"/>
      <c r="E529" s="327"/>
      <c r="F529" s="327"/>
      <c r="G529" s="327"/>
      <c r="H529" s="327"/>
      <c r="I529" s="327"/>
      <c r="J529" s="327"/>
      <c r="K529" s="327"/>
      <c r="L529" s="327"/>
      <c r="M529" s="327"/>
      <c r="N529" s="327"/>
      <c r="O529" s="327"/>
      <c r="P529" s="327"/>
    </row>
    <row r="530" ht="15.75" customHeight="1">
      <c r="B530" s="327"/>
      <c r="C530" s="327"/>
      <c r="D530" s="327"/>
      <c r="E530" s="327"/>
      <c r="F530" s="327"/>
      <c r="G530" s="327"/>
      <c r="H530" s="327"/>
      <c r="I530" s="327"/>
      <c r="J530" s="327"/>
      <c r="K530" s="327"/>
      <c r="L530" s="327"/>
      <c r="M530" s="327"/>
      <c r="N530" s="327"/>
      <c r="O530" s="327"/>
      <c r="P530" s="327"/>
    </row>
    <row r="531" ht="15.75" customHeight="1">
      <c r="B531" s="327"/>
      <c r="C531" s="327"/>
      <c r="D531" s="327"/>
      <c r="E531" s="327"/>
      <c r="F531" s="327"/>
      <c r="G531" s="327"/>
      <c r="H531" s="327"/>
      <c r="I531" s="327"/>
      <c r="J531" s="327"/>
      <c r="K531" s="327"/>
      <c r="L531" s="327"/>
      <c r="M531" s="327"/>
      <c r="N531" s="327"/>
      <c r="O531" s="327"/>
      <c r="P531" s="327"/>
    </row>
    <row r="532" ht="15.75" customHeight="1">
      <c r="B532" s="327"/>
      <c r="C532" s="327"/>
      <c r="D532" s="327"/>
      <c r="E532" s="327"/>
      <c r="F532" s="327"/>
      <c r="G532" s="327"/>
      <c r="H532" s="327"/>
      <c r="I532" s="327"/>
      <c r="J532" s="327"/>
      <c r="K532" s="327"/>
      <c r="L532" s="327"/>
      <c r="M532" s="327"/>
      <c r="N532" s="327"/>
      <c r="O532" s="327"/>
      <c r="P532" s="327"/>
    </row>
    <row r="533" ht="15.75" customHeight="1">
      <c r="B533" s="327"/>
      <c r="C533" s="327"/>
      <c r="D533" s="327"/>
      <c r="E533" s="327"/>
      <c r="F533" s="327"/>
      <c r="G533" s="327"/>
      <c r="H533" s="327"/>
      <c r="I533" s="327"/>
      <c r="J533" s="327"/>
      <c r="K533" s="327"/>
      <c r="L533" s="327"/>
      <c r="M533" s="327"/>
      <c r="N533" s="327"/>
      <c r="O533" s="327"/>
      <c r="P533" s="327"/>
    </row>
    <row r="534" ht="15.75" customHeight="1">
      <c r="B534" s="327"/>
      <c r="C534" s="327"/>
      <c r="D534" s="327"/>
      <c r="E534" s="327"/>
      <c r="F534" s="327"/>
      <c r="G534" s="327"/>
      <c r="H534" s="327"/>
      <c r="I534" s="327"/>
      <c r="J534" s="327"/>
      <c r="K534" s="327"/>
      <c r="L534" s="327"/>
      <c r="M534" s="327"/>
      <c r="N534" s="327"/>
      <c r="O534" s="327"/>
      <c r="P534" s="327"/>
    </row>
    <row r="535" ht="15.75" customHeight="1">
      <c r="B535" s="327"/>
      <c r="C535" s="327"/>
      <c r="D535" s="327"/>
      <c r="E535" s="327"/>
      <c r="F535" s="327"/>
      <c r="G535" s="327"/>
      <c r="H535" s="327"/>
      <c r="I535" s="327"/>
      <c r="J535" s="327"/>
      <c r="K535" s="327"/>
      <c r="L535" s="327"/>
      <c r="M535" s="327"/>
      <c r="N535" s="327"/>
      <c r="O535" s="327"/>
      <c r="P535" s="327"/>
    </row>
    <row r="536" ht="15.75" customHeight="1">
      <c r="B536" s="327"/>
      <c r="C536" s="327"/>
      <c r="D536" s="327"/>
      <c r="E536" s="327"/>
      <c r="F536" s="327"/>
      <c r="G536" s="327"/>
      <c r="H536" s="327"/>
      <c r="I536" s="327"/>
      <c r="J536" s="327"/>
      <c r="K536" s="327"/>
      <c r="L536" s="327"/>
      <c r="M536" s="327"/>
      <c r="N536" s="327"/>
      <c r="O536" s="327"/>
      <c r="P536" s="327"/>
    </row>
    <row r="537" ht="15.75" customHeight="1">
      <c r="B537" s="327"/>
      <c r="C537" s="327"/>
      <c r="D537" s="327"/>
      <c r="E537" s="327"/>
      <c r="F537" s="327"/>
      <c r="G537" s="327"/>
      <c r="H537" s="327"/>
      <c r="I537" s="327"/>
      <c r="J537" s="327"/>
      <c r="K537" s="327"/>
      <c r="L537" s="327"/>
      <c r="M537" s="327"/>
      <c r="N537" s="327"/>
      <c r="O537" s="327"/>
      <c r="P537" s="327"/>
    </row>
    <row r="538" ht="15.75" customHeight="1">
      <c r="B538" s="327"/>
      <c r="C538" s="327"/>
      <c r="D538" s="327"/>
      <c r="E538" s="327"/>
      <c r="F538" s="327"/>
      <c r="G538" s="327"/>
      <c r="H538" s="327"/>
      <c r="I538" s="327"/>
      <c r="J538" s="327"/>
      <c r="K538" s="327"/>
      <c r="L538" s="327"/>
      <c r="M538" s="327"/>
      <c r="N538" s="327"/>
      <c r="O538" s="327"/>
      <c r="P538" s="327"/>
    </row>
    <row r="539" ht="15.75" customHeight="1">
      <c r="B539" s="327"/>
      <c r="C539" s="327"/>
      <c r="D539" s="327"/>
      <c r="E539" s="327"/>
      <c r="F539" s="327"/>
      <c r="G539" s="327"/>
      <c r="H539" s="327"/>
      <c r="I539" s="327"/>
      <c r="J539" s="327"/>
      <c r="K539" s="327"/>
      <c r="L539" s="327"/>
      <c r="M539" s="327"/>
      <c r="N539" s="327"/>
      <c r="O539" s="327"/>
      <c r="P539" s="327"/>
    </row>
    <row r="540" ht="15.75" customHeight="1">
      <c r="B540" s="327"/>
      <c r="C540" s="327"/>
      <c r="D540" s="327"/>
      <c r="E540" s="327"/>
      <c r="F540" s="327"/>
      <c r="G540" s="327"/>
      <c r="H540" s="327"/>
      <c r="I540" s="327"/>
      <c r="J540" s="327"/>
      <c r="K540" s="327"/>
      <c r="L540" s="327"/>
      <c r="M540" s="327"/>
      <c r="N540" s="327"/>
      <c r="O540" s="327"/>
      <c r="P540" s="327"/>
    </row>
    <row r="541" ht="15.75" customHeight="1">
      <c r="B541" s="327"/>
      <c r="C541" s="327"/>
      <c r="D541" s="327"/>
      <c r="E541" s="327"/>
      <c r="F541" s="327"/>
      <c r="G541" s="327"/>
      <c r="H541" s="327"/>
      <c r="I541" s="327"/>
      <c r="J541" s="327"/>
      <c r="K541" s="327"/>
      <c r="L541" s="327"/>
      <c r="M541" s="327"/>
      <c r="N541" s="327"/>
      <c r="O541" s="327"/>
      <c r="P541" s="327"/>
    </row>
    <row r="542" ht="15.75" customHeight="1">
      <c r="B542" s="327"/>
      <c r="C542" s="327"/>
      <c r="D542" s="327"/>
      <c r="E542" s="327"/>
      <c r="F542" s="327"/>
      <c r="G542" s="327"/>
      <c r="H542" s="327"/>
      <c r="I542" s="327"/>
      <c r="J542" s="327"/>
      <c r="K542" s="327"/>
      <c r="L542" s="327"/>
      <c r="M542" s="327"/>
      <c r="N542" s="327"/>
      <c r="O542" s="327"/>
      <c r="P542" s="327"/>
    </row>
    <row r="543" ht="15.75" customHeight="1">
      <c r="B543" s="327"/>
      <c r="C543" s="327"/>
      <c r="D543" s="327"/>
      <c r="E543" s="327"/>
      <c r="F543" s="327"/>
      <c r="G543" s="327"/>
      <c r="H543" s="327"/>
      <c r="I543" s="327"/>
      <c r="J543" s="327"/>
      <c r="K543" s="327"/>
      <c r="L543" s="327"/>
      <c r="M543" s="327"/>
      <c r="N543" s="327"/>
      <c r="O543" s="327"/>
      <c r="P543" s="327"/>
    </row>
    <row r="544" ht="15.75" customHeight="1">
      <c r="B544" s="327"/>
      <c r="C544" s="327"/>
      <c r="D544" s="327"/>
      <c r="E544" s="327"/>
      <c r="F544" s="327"/>
      <c r="G544" s="327"/>
      <c r="H544" s="327"/>
      <c r="I544" s="327"/>
      <c r="J544" s="327"/>
      <c r="K544" s="327"/>
      <c r="L544" s="327"/>
      <c r="M544" s="327"/>
      <c r="N544" s="327"/>
      <c r="O544" s="327"/>
      <c r="P544" s="327"/>
    </row>
    <row r="545" ht="15.75" customHeight="1">
      <c r="B545" s="327"/>
      <c r="C545" s="327"/>
      <c r="D545" s="327"/>
      <c r="E545" s="327"/>
      <c r="F545" s="327"/>
      <c r="G545" s="327"/>
      <c r="H545" s="327"/>
      <c r="I545" s="327"/>
      <c r="J545" s="327"/>
      <c r="K545" s="327"/>
      <c r="L545" s="327"/>
      <c r="M545" s="327"/>
      <c r="N545" s="327"/>
      <c r="O545" s="327"/>
      <c r="P545" s="327"/>
    </row>
    <row r="546" ht="15.75" customHeight="1">
      <c r="B546" s="327"/>
      <c r="C546" s="327"/>
      <c r="D546" s="327"/>
      <c r="E546" s="327"/>
      <c r="F546" s="327"/>
      <c r="G546" s="327"/>
      <c r="H546" s="327"/>
      <c r="I546" s="327"/>
      <c r="J546" s="327"/>
      <c r="K546" s="327"/>
      <c r="L546" s="327"/>
      <c r="M546" s="327"/>
      <c r="N546" s="327"/>
      <c r="O546" s="327"/>
      <c r="P546" s="327"/>
    </row>
    <row r="547" ht="15.75" customHeight="1">
      <c r="B547" s="327"/>
      <c r="C547" s="327"/>
      <c r="D547" s="327"/>
      <c r="E547" s="327"/>
      <c r="F547" s="327"/>
      <c r="G547" s="327"/>
      <c r="H547" s="327"/>
      <c r="I547" s="327"/>
      <c r="J547" s="327"/>
      <c r="K547" s="327"/>
      <c r="L547" s="327"/>
      <c r="M547" s="327"/>
      <c r="N547" s="327"/>
      <c r="O547" s="327"/>
      <c r="P547" s="327"/>
    </row>
    <row r="548" ht="15.75" customHeight="1">
      <c r="B548" s="327"/>
      <c r="C548" s="327"/>
      <c r="D548" s="327"/>
      <c r="E548" s="327"/>
      <c r="F548" s="327"/>
      <c r="G548" s="327"/>
      <c r="H548" s="327"/>
      <c r="I548" s="327"/>
      <c r="J548" s="327"/>
      <c r="K548" s="327"/>
      <c r="L548" s="327"/>
      <c r="M548" s="327"/>
      <c r="N548" s="327"/>
      <c r="O548" s="327"/>
      <c r="P548" s="327"/>
    </row>
    <row r="549" ht="15.75" customHeight="1">
      <c r="B549" s="327"/>
      <c r="C549" s="327"/>
      <c r="D549" s="327"/>
      <c r="E549" s="327"/>
      <c r="F549" s="327"/>
      <c r="G549" s="327"/>
      <c r="H549" s="327"/>
      <c r="I549" s="327"/>
      <c r="J549" s="327"/>
      <c r="K549" s="327"/>
      <c r="L549" s="327"/>
      <c r="M549" s="327"/>
      <c r="N549" s="327"/>
      <c r="O549" s="327"/>
      <c r="P549" s="327"/>
    </row>
    <row r="550" ht="15.75" customHeight="1">
      <c r="B550" s="327"/>
      <c r="C550" s="327"/>
      <c r="D550" s="327"/>
      <c r="E550" s="327"/>
      <c r="F550" s="327"/>
      <c r="G550" s="327"/>
      <c r="H550" s="327"/>
      <c r="I550" s="327"/>
      <c r="J550" s="327"/>
      <c r="K550" s="327"/>
      <c r="L550" s="327"/>
      <c r="M550" s="327"/>
      <c r="N550" s="327"/>
      <c r="O550" s="327"/>
      <c r="P550" s="327"/>
    </row>
    <row r="551" ht="15.75" customHeight="1">
      <c r="B551" s="327"/>
      <c r="C551" s="327"/>
      <c r="D551" s="327"/>
      <c r="E551" s="327"/>
      <c r="F551" s="327"/>
      <c r="G551" s="327"/>
      <c r="H551" s="327"/>
      <c r="I551" s="327"/>
      <c r="J551" s="327"/>
      <c r="K551" s="327"/>
      <c r="L551" s="327"/>
      <c r="M551" s="327"/>
      <c r="N551" s="327"/>
      <c r="O551" s="327"/>
      <c r="P551" s="327"/>
    </row>
    <row r="552" ht="15.75" customHeight="1">
      <c r="B552" s="327"/>
      <c r="C552" s="327"/>
      <c r="D552" s="327"/>
      <c r="E552" s="327"/>
      <c r="F552" s="327"/>
      <c r="G552" s="327"/>
      <c r="H552" s="327"/>
      <c r="I552" s="327"/>
      <c r="J552" s="327"/>
      <c r="K552" s="327"/>
      <c r="L552" s="327"/>
      <c r="M552" s="327"/>
      <c r="N552" s="327"/>
      <c r="O552" s="327"/>
      <c r="P552" s="327"/>
    </row>
    <row r="553" ht="15.75" customHeight="1">
      <c r="B553" s="327"/>
      <c r="C553" s="327"/>
      <c r="D553" s="327"/>
      <c r="E553" s="327"/>
      <c r="F553" s="327"/>
      <c r="G553" s="327"/>
      <c r="H553" s="327"/>
      <c r="I553" s="327"/>
      <c r="J553" s="327"/>
      <c r="K553" s="327"/>
      <c r="L553" s="327"/>
      <c r="M553" s="327"/>
      <c r="N553" s="327"/>
      <c r="O553" s="327"/>
      <c r="P553" s="327"/>
    </row>
    <row r="554" ht="15.75" customHeight="1">
      <c r="B554" s="327"/>
      <c r="C554" s="327"/>
      <c r="D554" s="327"/>
      <c r="E554" s="327"/>
      <c r="F554" s="327"/>
      <c r="G554" s="327"/>
      <c r="H554" s="327"/>
      <c r="I554" s="327"/>
      <c r="J554" s="327"/>
      <c r="K554" s="327"/>
      <c r="L554" s="327"/>
      <c r="M554" s="327"/>
      <c r="N554" s="327"/>
      <c r="O554" s="327"/>
      <c r="P554" s="327"/>
    </row>
    <row r="555" ht="15.75" customHeight="1">
      <c r="B555" s="327"/>
      <c r="C555" s="327"/>
      <c r="D555" s="327"/>
      <c r="E555" s="327"/>
      <c r="F555" s="327"/>
      <c r="G555" s="327"/>
      <c r="H555" s="327"/>
      <c r="I555" s="327"/>
      <c r="J555" s="327"/>
      <c r="K555" s="327"/>
      <c r="L555" s="327"/>
      <c r="M555" s="327"/>
      <c r="N555" s="327"/>
      <c r="O555" s="327"/>
      <c r="P555" s="327"/>
    </row>
    <row r="556" ht="15.75" customHeight="1">
      <c r="B556" s="327"/>
      <c r="C556" s="327"/>
      <c r="D556" s="327"/>
      <c r="E556" s="327"/>
      <c r="F556" s="327"/>
      <c r="G556" s="327"/>
      <c r="H556" s="327"/>
      <c r="I556" s="327"/>
      <c r="J556" s="327"/>
      <c r="K556" s="327"/>
      <c r="L556" s="327"/>
      <c r="M556" s="327"/>
      <c r="N556" s="327"/>
      <c r="O556" s="327"/>
      <c r="P556" s="327"/>
    </row>
    <row r="557" ht="15.75" customHeight="1">
      <c r="B557" s="327"/>
      <c r="C557" s="327"/>
      <c r="D557" s="327"/>
      <c r="E557" s="327"/>
      <c r="F557" s="327"/>
      <c r="G557" s="327"/>
      <c r="H557" s="327"/>
      <c r="I557" s="327"/>
      <c r="J557" s="327"/>
      <c r="K557" s="327"/>
      <c r="L557" s="327"/>
      <c r="M557" s="327"/>
      <c r="N557" s="327"/>
      <c r="O557" s="327"/>
      <c r="P557" s="327"/>
    </row>
    <row r="558" ht="15.75" customHeight="1">
      <c r="B558" s="327"/>
      <c r="C558" s="327"/>
      <c r="D558" s="327"/>
      <c r="E558" s="327"/>
      <c r="F558" s="327"/>
      <c r="G558" s="327"/>
      <c r="H558" s="327"/>
      <c r="I558" s="327"/>
      <c r="J558" s="327"/>
      <c r="K558" s="327"/>
      <c r="L558" s="327"/>
      <c r="M558" s="327"/>
      <c r="N558" s="327"/>
      <c r="O558" s="327"/>
      <c r="P558" s="327"/>
    </row>
    <row r="559" ht="15.75" customHeight="1">
      <c r="B559" s="327"/>
      <c r="C559" s="327"/>
      <c r="D559" s="327"/>
      <c r="E559" s="327"/>
      <c r="F559" s="327"/>
      <c r="G559" s="327"/>
      <c r="H559" s="327"/>
      <c r="I559" s="327"/>
      <c r="J559" s="327"/>
      <c r="K559" s="327"/>
      <c r="L559" s="327"/>
      <c r="M559" s="327"/>
      <c r="N559" s="327"/>
      <c r="O559" s="327"/>
      <c r="P559" s="327"/>
    </row>
    <row r="560" ht="15.75" customHeight="1">
      <c r="B560" s="327"/>
      <c r="C560" s="327"/>
      <c r="D560" s="327"/>
      <c r="E560" s="327"/>
      <c r="F560" s="327"/>
      <c r="G560" s="327"/>
      <c r="H560" s="327"/>
      <c r="I560" s="327"/>
      <c r="J560" s="327"/>
      <c r="K560" s="327"/>
      <c r="L560" s="327"/>
      <c r="M560" s="327"/>
      <c r="N560" s="327"/>
      <c r="O560" s="327"/>
      <c r="P560" s="327"/>
    </row>
    <row r="561" ht="15.75" customHeight="1">
      <c r="B561" s="327"/>
      <c r="C561" s="327"/>
      <c r="D561" s="327"/>
      <c r="E561" s="327"/>
      <c r="F561" s="327"/>
      <c r="G561" s="327"/>
      <c r="H561" s="327"/>
      <c r="I561" s="327"/>
      <c r="J561" s="327"/>
      <c r="K561" s="327"/>
      <c r="L561" s="327"/>
      <c r="M561" s="327"/>
      <c r="N561" s="327"/>
      <c r="O561" s="327"/>
      <c r="P561" s="327"/>
    </row>
    <row r="562" ht="15.75" customHeight="1">
      <c r="B562" s="327"/>
      <c r="C562" s="327"/>
      <c r="D562" s="327"/>
      <c r="E562" s="327"/>
      <c r="F562" s="327"/>
      <c r="G562" s="327"/>
      <c r="H562" s="327"/>
      <c r="I562" s="327"/>
      <c r="J562" s="327"/>
      <c r="K562" s="327"/>
      <c r="L562" s="327"/>
      <c r="M562" s="327"/>
      <c r="N562" s="327"/>
      <c r="O562" s="327"/>
      <c r="P562" s="327"/>
    </row>
    <row r="563" ht="15.75" customHeight="1">
      <c r="B563" s="327"/>
      <c r="C563" s="327"/>
      <c r="D563" s="327"/>
      <c r="E563" s="327"/>
      <c r="F563" s="327"/>
      <c r="G563" s="327"/>
      <c r="H563" s="327"/>
      <c r="I563" s="327"/>
      <c r="J563" s="327"/>
      <c r="K563" s="327"/>
      <c r="L563" s="327"/>
      <c r="M563" s="327"/>
      <c r="N563" s="327"/>
      <c r="O563" s="327"/>
      <c r="P563" s="327"/>
    </row>
    <row r="564" ht="15.75" customHeight="1">
      <c r="B564" s="327"/>
      <c r="C564" s="327"/>
      <c r="D564" s="327"/>
      <c r="E564" s="327"/>
      <c r="F564" s="327"/>
      <c r="G564" s="327"/>
      <c r="H564" s="327"/>
      <c r="I564" s="327"/>
      <c r="J564" s="327"/>
      <c r="K564" s="327"/>
      <c r="L564" s="327"/>
      <c r="M564" s="327"/>
      <c r="N564" s="327"/>
      <c r="O564" s="327"/>
      <c r="P564" s="327"/>
    </row>
    <row r="565" ht="15.75" customHeight="1">
      <c r="B565" s="327"/>
      <c r="C565" s="327"/>
      <c r="D565" s="327"/>
      <c r="E565" s="327"/>
      <c r="F565" s="327"/>
      <c r="G565" s="327"/>
      <c r="H565" s="327"/>
      <c r="I565" s="327"/>
      <c r="J565" s="327"/>
      <c r="K565" s="327"/>
      <c r="L565" s="327"/>
      <c r="M565" s="327"/>
      <c r="N565" s="327"/>
      <c r="O565" s="327"/>
      <c r="P565" s="327"/>
    </row>
    <row r="566" ht="15.75" customHeight="1">
      <c r="B566" s="327"/>
      <c r="C566" s="327"/>
      <c r="D566" s="327"/>
      <c r="E566" s="327"/>
      <c r="F566" s="327"/>
      <c r="G566" s="327"/>
      <c r="H566" s="327"/>
      <c r="I566" s="327"/>
      <c r="J566" s="327"/>
      <c r="K566" s="327"/>
      <c r="L566" s="327"/>
      <c r="M566" s="327"/>
      <c r="N566" s="327"/>
      <c r="O566" s="327"/>
      <c r="P566" s="327"/>
    </row>
    <row r="567" ht="15.75" customHeight="1">
      <c r="B567" s="327"/>
      <c r="C567" s="327"/>
      <c r="D567" s="327"/>
      <c r="E567" s="327"/>
      <c r="F567" s="327"/>
      <c r="G567" s="327"/>
      <c r="H567" s="327"/>
      <c r="I567" s="327"/>
      <c r="J567" s="327"/>
      <c r="K567" s="327"/>
      <c r="L567" s="327"/>
      <c r="M567" s="327"/>
      <c r="N567" s="327"/>
      <c r="O567" s="327"/>
      <c r="P567" s="327"/>
    </row>
    <row r="568" ht="15.75" customHeight="1">
      <c r="B568" s="327"/>
      <c r="C568" s="327"/>
      <c r="D568" s="327"/>
      <c r="E568" s="327"/>
      <c r="F568" s="327"/>
      <c r="G568" s="327"/>
      <c r="H568" s="327"/>
      <c r="I568" s="327"/>
      <c r="J568" s="327"/>
      <c r="K568" s="327"/>
      <c r="L568" s="327"/>
      <c r="M568" s="327"/>
      <c r="N568" s="327"/>
      <c r="O568" s="327"/>
      <c r="P568" s="327"/>
    </row>
    <row r="569" ht="15.75" customHeight="1">
      <c r="B569" s="327"/>
      <c r="C569" s="327"/>
      <c r="D569" s="327"/>
      <c r="E569" s="327"/>
      <c r="F569" s="327"/>
      <c r="G569" s="327"/>
      <c r="H569" s="327"/>
      <c r="I569" s="327"/>
      <c r="J569" s="327"/>
      <c r="K569" s="327"/>
      <c r="L569" s="327"/>
      <c r="M569" s="327"/>
      <c r="N569" s="327"/>
      <c r="O569" s="327"/>
      <c r="P569" s="327"/>
    </row>
    <row r="570" ht="15.75" customHeight="1">
      <c r="B570" s="327"/>
      <c r="C570" s="327"/>
      <c r="D570" s="327"/>
      <c r="E570" s="327"/>
      <c r="F570" s="327"/>
      <c r="G570" s="327"/>
      <c r="H570" s="327"/>
      <c r="I570" s="327"/>
      <c r="J570" s="327"/>
      <c r="K570" s="327"/>
      <c r="L570" s="327"/>
      <c r="M570" s="327"/>
      <c r="N570" s="327"/>
      <c r="O570" s="327"/>
      <c r="P570" s="327"/>
    </row>
    <row r="571" ht="15.75" customHeight="1">
      <c r="B571" s="327"/>
      <c r="C571" s="327"/>
      <c r="D571" s="327"/>
      <c r="E571" s="327"/>
      <c r="F571" s="327"/>
      <c r="G571" s="327"/>
      <c r="H571" s="327"/>
      <c r="I571" s="327"/>
      <c r="J571" s="327"/>
      <c r="K571" s="327"/>
      <c r="L571" s="327"/>
      <c r="M571" s="327"/>
      <c r="N571" s="327"/>
      <c r="O571" s="327"/>
      <c r="P571" s="327"/>
    </row>
    <row r="572" ht="15.75" customHeight="1">
      <c r="B572" s="327"/>
      <c r="C572" s="327"/>
      <c r="D572" s="327"/>
      <c r="E572" s="327"/>
      <c r="F572" s="327"/>
      <c r="G572" s="327"/>
      <c r="H572" s="327"/>
      <c r="I572" s="327"/>
      <c r="J572" s="327"/>
      <c r="K572" s="327"/>
      <c r="L572" s="327"/>
      <c r="M572" s="327"/>
      <c r="N572" s="327"/>
      <c r="O572" s="327"/>
      <c r="P572" s="327"/>
    </row>
    <row r="573" ht="15.75" customHeight="1">
      <c r="B573" s="327"/>
      <c r="C573" s="327"/>
      <c r="D573" s="327"/>
      <c r="E573" s="327"/>
      <c r="F573" s="327"/>
      <c r="G573" s="327"/>
      <c r="H573" s="327"/>
      <c r="I573" s="327"/>
      <c r="J573" s="327"/>
      <c r="K573" s="327"/>
      <c r="L573" s="327"/>
      <c r="M573" s="327"/>
      <c r="N573" s="327"/>
      <c r="O573" s="327"/>
      <c r="P573" s="327"/>
    </row>
    <row r="574" ht="15.75" customHeight="1">
      <c r="B574" s="327"/>
      <c r="C574" s="327"/>
      <c r="D574" s="327"/>
      <c r="E574" s="327"/>
      <c r="F574" s="327"/>
      <c r="G574" s="327"/>
      <c r="H574" s="327"/>
      <c r="I574" s="327"/>
      <c r="J574" s="327"/>
      <c r="K574" s="327"/>
      <c r="L574" s="327"/>
      <c r="M574" s="327"/>
      <c r="N574" s="327"/>
      <c r="O574" s="327"/>
      <c r="P574" s="327"/>
    </row>
    <row r="575" ht="15.75" customHeight="1">
      <c r="B575" s="327"/>
      <c r="C575" s="327"/>
      <c r="D575" s="327"/>
      <c r="E575" s="327"/>
      <c r="F575" s="327"/>
      <c r="G575" s="327"/>
      <c r="H575" s="327"/>
      <c r="I575" s="327"/>
      <c r="J575" s="327"/>
      <c r="K575" s="327"/>
      <c r="L575" s="327"/>
      <c r="M575" s="327"/>
      <c r="N575" s="327"/>
      <c r="O575" s="327"/>
      <c r="P575" s="327"/>
    </row>
    <row r="576" ht="15.75" customHeight="1">
      <c r="B576" s="327"/>
      <c r="C576" s="327"/>
      <c r="D576" s="327"/>
      <c r="E576" s="327"/>
      <c r="F576" s="327"/>
      <c r="G576" s="327"/>
      <c r="H576" s="327"/>
      <c r="I576" s="327"/>
      <c r="J576" s="327"/>
      <c r="K576" s="327"/>
      <c r="L576" s="327"/>
      <c r="M576" s="327"/>
      <c r="N576" s="327"/>
      <c r="O576" s="327"/>
      <c r="P576" s="327"/>
    </row>
    <row r="577" ht="15.75" customHeight="1">
      <c r="B577" s="327"/>
      <c r="C577" s="327"/>
      <c r="D577" s="327"/>
      <c r="E577" s="327"/>
      <c r="F577" s="327"/>
      <c r="G577" s="327"/>
      <c r="H577" s="327"/>
      <c r="I577" s="327"/>
      <c r="J577" s="327"/>
      <c r="K577" s="327"/>
      <c r="L577" s="327"/>
      <c r="M577" s="327"/>
      <c r="N577" s="327"/>
      <c r="O577" s="327"/>
      <c r="P577" s="327"/>
    </row>
    <row r="578" ht="15.75" customHeight="1">
      <c r="B578" s="327"/>
      <c r="C578" s="327"/>
      <c r="D578" s="327"/>
      <c r="E578" s="327"/>
      <c r="F578" s="327"/>
      <c r="G578" s="327"/>
      <c r="H578" s="327"/>
      <c r="I578" s="327"/>
      <c r="J578" s="327"/>
      <c r="K578" s="327"/>
      <c r="L578" s="327"/>
      <c r="M578" s="327"/>
      <c r="N578" s="327"/>
      <c r="O578" s="327"/>
      <c r="P578" s="327"/>
    </row>
    <row r="579" ht="15.75" customHeight="1">
      <c r="B579" s="327"/>
      <c r="C579" s="327"/>
      <c r="D579" s="327"/>
      <c r="E579" s="327"/>
      <c r="F579" s="327"/>
      <c r="G579" s="327"/>
      <c r="H579" s="327"/>
      <c r="I579" s="327"/>
      <c r="J579" s="327"/>
      <c r="K579" s="327"/>
      <c r="L579" s="327"/>
      <c r="M579" s="327"/>
      <c r="N579" s="327"/>
      <c r="O579" s="327"/>
      <c r="P579" s="327"/>
    </row>
    <row r="580" ht="15.75" customHeight="1">
      <c r="B580" s="327"/>
      <c r="C580" s="327"/>
      <c r="D580" s="327"/>
      <c r="E580" s="327"/>
      <c r="F580" s="327"/>
      <c r="G580" s="327"/>
      <c r="H580" s="327"/>
      <c r="I580" s="327"/>
      <c r="J580" s="327"/>
      <c r="K580" s="327"/>
      <c r="L580" s="327"/>
      <c r="M580" s="327"/>
      <c r="N580" s="327"/>
      <c r="O580" s="327"/>
      <c r="P580" s="327"/>
    </row>
    <row r="581" ht="15.75" customHeight="1">
      <c r="B581" s="327"/>
      <c r="C581" s="327"/>
      <c r="D581" s="327"/>
      <c r="E581" s="327"/>
      <c r="F581" s="327"/>
      <c r="G581" s="327"/>
      <c r="H581" s="327"/>
      <c r="I581" s="327"/>
      <c r="J581" s="327"/>
      <c r="K581" s="327"/>
      <c r="L581" s="327"/>
      <c r="M581" s="327"/>
      <c r="N581" s="327"/>
      <c r="O581" s="327"/>
      <c r="P581" s="327"/>
    </row>
    <row r="582" ht="15.75" customHeight="1">
      <c r="B582" s="327"/>
      <c r="C582" s="327"/>
      <c r="D582" s="327"/>
      <c r="E582" s="327"/>
      <c r="F582" s="327"/>
      <c r="G582" s="327"/>
      <c r="H582" s="327"/>
      <c r="I582" s="327"/>
      <c r="J582" s="327"/>
      <c r="K582" s="327"/>
      <c r="L582" s="327"/>
      <c r="M582" s="327"/>
      <c r="N582" s="327"/>
      <c r="O582" s="327"/>
      <c r="P582" s="327"/>
    </row>
    <row r="583" ht="15.75" customHeight="1">
      <c r="B583" s="327"/>
      <c r="C583" s="327"/>
      <c r="D583" s="327"/>
      <c r="E583" s="327"/>
      <c r="F583" s="327"/>
      <c r="G583" s="327"/>
      <c r="H583" s="327"/>
      <c r="I583" s="327"/>
      <c r="J583" s="327"/>
      <c r="K583" s="327"/>
      <c r="L583" s="327"/>
      <c r="M583" s="327"/>
      <c r="N583" s="327"/>
      <c r="O583" s="327"/>
      <c r="P583" s="327"/>
    </row>
    <row r="584" ht="15.75" customHeight="1">
      <c r="B584" s="327"/>
      <c r="C584" s="327"/>
      <c r="D584" s="327"/>
      <c r="E584" s="327"/>
      <c r="F584" s="327"/>
      <c r="G584" s="327"/>
      <c r="H584" s="327"/>
      <c r="I584" s="327"/>
      <c r="J584" s="327"/>
      <c r="K584" s="327"/>
      <c r="L584" s="327"/>
      <c r="M584" s="327"/>
      <c r="N584" s="327"/>
      <c r="O584" s="327"/>
      <c r="P584" s="327"/>
    </row>
    <row r="585" ht="15.75" customHeight="1">
      <c r="B585" s="327"/>
      <c r="C585" s="327"/>
      <c r="D585" s="327"/>
      <c r="E585" s="327"/>
      <c r="F585" s="327"/>
      <c r="G585" s="327"/>
      <c r="H585" s="327"/>
      <c r="I585" s="327"/>
      <c r="J585" s="327"/>
      <c r="K585" s="327"/>
      <c r="L585" s="327"/>
      <c r="M585" s="327"/>
      <c r="N585" s="327"/>
      <c r="O585" s="327"/>
      <c r="P585" s="327"/>
    </row>
    <row r="586" ht="15.75" customHeight="1">
      <c r="B586" s="327"/>
      <c r="C586" s="327"/>
      <c r="D586" s="327"/>
      <c r="E586" s="327"/>
      <c r="F586" s="327"/>
      <c r="G586" s="327"/>
      <c r="H586" s="327"/>
      <c r="I586" s="327"/>
      <c r="J586" s="327"/>
      <c r="K586" s="327"/>
      <c r="L586" s="327"/>
      <c r="M586" s="327"/>
      <c r="N586" s="327"/>
      <c r="O586" s="327"/>
      <c r="P586" s="327"/>
    </row>
    <row r="587" ht="15.75" customHeight="1">
      <c r="B587" s="327"/>
      <c r="C587" s="327"/>
      <c r="D587" s="327"/>
      <c r="E587" s="327"/>
      <c r="F587" s="327"/>
      <c r="G587" s="327"/>
      <c r="H587" s="327"/>
      <c r="I587" s="327"/>
      <c r="J587" s="327"/>
      <c r="K587" s="327"/>
      <c r="L587" s="327"/>
      <c r="M587" s="327"/>
      <c r="N587" s="327"/>
      <c r="O587" s="327"/>
      <c r="P587" s="327"/>
    </row>
    <row r="588" ht="15.75" customHeight="1">
      <c r="B588" s="327"/>
      <c r="C588" s="327"/>
      <c r="D588" s="327"/>
      <c r="E588" s="327"/>
      <c r="F588" s="327"/>
      <c r="G588" s="327"/>
      <c r="H588" s="327"/>
      <c r="I588" s="327"/>
      <c r="J588" s="327"/>
      <c r="K588" s="327"/>
      <c r="L588" s="327"/>
      <c r="M588" s="327"/>
      <c r="N588" s="327"/>
      <c r="O588" s="327"/>
      <c r="P588" s="327"/>
    </row>
    <row r="589" ht="15.75" customHeight="1">
      <c r="B589" s="327"/>
      <c r="C589" s="327"/>
      <c r="D589" s="327"/>
      <c r="E589" s="327"/>
      <c r="F589" s="327"/>
      <c r="G589" s="327"/>
      <c r="H589" s="327"/>
      <c r="I589" s="327"/>
      <c r="J589" s="327"/>
      <c r="K589" s="327"/>
      <c r="L589" s="327"/>
      <c r="M589" s="327"/>
      <c r="N589" s="327"/>
      <c r="O589" s="327"/>
      <c r="P589" s="327"/>
    </row>
    <row r="590" ht="15.75" customHeight="1">
      <c r="B590" s="327"/>
      <c r="C590" s="327"/>
      <c r="D590" s="327"/>
      <c r="E590" s="327"/>
      <c r="F590" s="327"/>
      <c r="G590" s="327"/>
      <c r="H590" s="327"/>
      <c r="I590" s="327"/>
      <c r="J590" s="327"/>
      <c r="K590" s="327"/>
      <c r="L590" s="327"/>
      <c r="M590" s="327"/>
      <c r="N590" s="327"/>
      <c r="O590" s="327"/>
      <c r="P590" s="327"/>
    </row>
    <row r="591" ht="15.75" customHeight="1">
      <c r="B591" s="327"/>
      <c r="C591" s="327"/>
      <c r="D591" s="327"/>
      <c r="E591" s="327"/>
      <c r="F591" s="327"/>
      <c r="G591" s="327"/>
      <c r="H591" s="327"/>
      <c r="I591" s="327"/>
      <c r="J591" s="327"/>
      <c r="K591" s="327"/>
      <c r="L591" s="327"/>
      <c r="M591" s="327"/>
      <c r="N591" s="327"/>
      <c r="O591" s="327"/>
      <c r="P591" s="327"/>
    </row>
    <row r="592" ht="15.75" customHeight="1">
      <c r="B592" s="327"/>
      <c r="C592" s="327"/>
      <c r="D592" s="327"/>
      <c r="E592" s="327"/>
      <c r="F592" s="327"/>
      <c r="G592" s="327"/>
      <c r="H592" s="327"/>
      <c r="I592" s="327"/>
      <c r="J592" s="327"/>
      <c r="K592" s="327"/>
      <c r="L592" s="327"/>
      <c r="M592" s="327"/>
      <c r="N592" s="327"/>
      <c r="O592" s="327"/>
      <c r="P592" s="327"/>
    </row>
    <row r="593" ht="15.75" customHeight="1">
      <c r="B593" s="327"/>
      <c r="C593" s="327"/>
      <c r="D593" s="327"/>
      <c r="E593" s="327"/>
      <c r="F593" s="327"/>
      <c r="G593" s="327"/>
      <c r="H593" s="327"/>
      <c r="I593" s="327"/>
      <c r="J593" s="327"/>
      <c r="K593" s="327"/>
      <c r="L593" s="327"/>
      <c r="M593" s="327"/>
      <c r="N593" s="327"/>
      <c r="O593" s="327"/>
      <c r="P593" s="327"/>
    </row>
    <row r="594" ht="15.75" customHeight="1">
      <c r="B594" s="327"/>
      <c r="C594" s="327"/>
      <c r="D594" s="327"/>
      <c r="E594" s="327"/>
      <c r="F594" s="327"/>
      <c r="G594" s="327"/>
      <c r="H594" s="327"/>
      <c r="I594" s="327"/>
      <c r="J594" s="327"/>
      <c r="K594" s="327"/>
      <c r="L594" s="327"/>
      <c r="M594" s="327"/>
      <c r="N594" s="327"/>
      <c r="O594" s="327"/>
      <c r="P594" s="327"/>
    </row>
    <row r="595" ht="15.75" customHeight="1">
      <c r="B595" s="327"/>
      <c r="C595" s="327"/>
      <c r="D595" s="327"/>
      <c r="E595" s="327"/>
      <c r="F595" s="327"/>
      <c r="G595" s="327"/>
      <c r="H595" s="327"/>
      <c r="I595" s="327"/>
      <c r="J595" s="327"/>
      <c r="K595" s="327"/>
      <c r="L595" s="327"/>
      <c r="M595" s="327"/>
      <c r="N595" s="327"/>
      <c r="O595" s="327"/>
      <c r="P595" s="327"/>
    </row>
    <row r="596" ht="15.75" customHeight="1">
      <c r="B596" s="327"/>
      <c r="C596" s="327"/>
      <c r="D596" s="327"/>
      <c r="E596" s="327"/>
      <c r="F596" s="327"/>
      <c r="G596" s="327"/>
      <c r="H596" s="327"/>
      <c r="I596" s="327"/>
      <c r="J596" s="327"/>
      <c r="K596" s="327"/>
      <c r="L596" s="327"/>
      <c r="M596" s="327"/>
      <c r="N596" s="327"/>
      <c r="O596" s="327"/>
      <c r="P596" s="327"/>
    </row>
    <row r="597" ht="15.75" customHeight="1">
      <c r="B597" s="327"/>
      <c r="C597" s="327"/>
      <c r="D597" s="327"/>
      <c r="E597" s="327"/>
      <c r="F597" s="327"/>
      <c r="G597" s="327"/>
      <c r="H597" s="327"/>
      <c r="I597" s="327"/>
      <c r="J597" s="327"/>
      <c r="K597" s="327"/>
      <c r="L597" s="327"/>
      <c r="M597" s="327"/>
      <c r="N597" s="327"/>
      <c r="O597" s="327"/>
      <c r="P597" s="327"/>
    </row>
    <row r="598" ht="15.75" customHeight="1">
      <c r="B598" s="327"/>
      <c r="C598" s="327"/>
      <c r="D598" s="327"/>
      <c r="E598" s="327"/>
      <c r="F598" s="327"/>
      <c r="G598" s="327"/>
      <c r="H598" s="327"/>
      <c r="I598" s="327"/>
      <c r="J598" s="327"/>
      <c r="K598" s="327"/>
      <c r="L598" s="327"/>
      <c r="M598" s="327"/>
      <c r="N598" s="327"/>
      <c r="O598" s="327"/>
      <c r="P598" s="327"/>
    </row>
    <row r="599" ht="15.75" customHeight="1">
      <c r="B599" s="327"/>
      <c r="C599" s="327"/>
      <c r="D599" s="327"/>
      <c r="E599" s="327"/>
      <c r="F599" s="327"/>
      <c r="G599" s="327"/>
      <c r="H599" s="327"/>
      <c r="I599" s="327"/>
      <c r="J599" s="327"/>
      <c r="K599" s="327"/>
      <c r="L599" s="327"/>
      <c r="M599" s="327"/>
      <c r="N599" s="327"/>
      <c r="O599" s="327"/>
      <c r="P599" s="327"/>
    </row>
    <row r="600" ht="15.75" customHeight="1">
      <c r="B600" s="327"/>
      <c r="C600" s="327"/>
      <c r="D600" s="327"/>
      <c r="E600" s="327"/>
      <c r="F600" s="327"/>
      <c r="G600" s="327"/>
      <c r="H600" s="327"/>
      <c r="I600" s="327"/>
      <c r="J600" s="327"/>
      <c r="K600" s="327"/>
      <c r="L600" s="327"/>
      <c r="M600" s="327"/>
      <c r="N600" s="327"/>
      <c r="O600" s="327"/>
      <c r="P600" s="327"/>
    </row>
    <row r="601" ht="15.75" customHeight="1">
      <c r="B601" s="327"/>
      <c r="C601" s="327"/>
      <c r="D601" s="327"/>
      <c r="E601" s="327"/>
      <c r="F601" s="327"/>
      <c r="G601" s="327"/>
      <c r="H601" s="327"/>
      <c r="I601" s="327"/>
      <c r="J601" s="327"/>
      <c r="K601" s="327"/>
      <c r="L601" s="327"/>
      <c r="M601" s="327"/>
      <c r="N601" s="327"/>
      <c r="O601" s="327"/>
      <c r="P601" s="327"/>
    </row>
    <row r="602" ht="15.75" customHeight="1">
      <c r="B602" s="327"/>
      <c r="C602" s="327"/>
      <c r="D602" s="327"/>
      <c r="E602" s="327"/>
      <c r="F602" s="327"/>
      <c r="G602" s="327"/>
      <c r="H602" s="327"/>
      <c r="I602" s="327"/>
      <c r="J602" s="327"/>
      <c r="K602" s="327"/>
      <c r="L602" s="327"/>
      <c r="M602" s="327"/>
      <c r="N602" s="327"/>
      <c r="O602" s="327"/>
      <c r="P602" s="327"/>
    </row>
    <row r="603" ht="15.75" customHeight="1">
      <c r="B603" s="327"/>
      <c r="C603" s="327"/>
      <c r="D603" s="327"/>
      <c r="E603" s="327"/>
      <c r="F603" s="327"/>
      <c r="G603" s="327"/>
      <c r="H603" s="327"/>
      <c r="I603" s="327"/>
      <c r="J603" s="327"/>
      <c r="K603" s="327"/>
      <c r="L603" s="327"/>
      <c r="M603" s="327"/>
      <c r="N603" s="327"/>
      <c r="O603" s="327"/>
      <c r="P603" s="327"/>
    </row>
    <row r="604" ht="15.75" customHeight="1">
      <c r="B604" s="327"/>
      <c r="C604" s="327"/>
      <c r="D604" s="327"/>
      <c r="E604" s="327"/>
      <c r="F604" s="327"/>
      <c r="G604" s="327"/>
      <c r="H604" s="327"/>
      <c r="I604" s="327"/>
      <c r="J604" s="327"/>
      <c r="K604" s="327"/>
      <c r="L604" s="327"/>
      <c r="M604" s="327"/>
      <c r="N604" s="327"/>
      <c r="O604" s="327"/>
      <c r="P604" s="327"/>
    </row>
    <row r="605" ht="15.75" customHeight="1">
      <c r="B605" s="327"/>
      <c r="C605" s="327"/>
      <c r="D605" s="327"/>
      <c r="E605" s="327"/>
      <c r="F605" s="327"/>
      <c r="G605" s="327"/>
      <c r="H605" s="327"/>
      <c r="I605" s="327"/>
      <c r="J605" s="327"/>
      <c r="K605" s="327"/>
      <c r="L605" s="327"/>
      <c r="M605" s="327"/>
      <c r="N605" s="327"/>
      <c r="O605" s="327"/>
      <c r="P605" s="327"/>
    </row>
    <row r="606" ht="15.75" customHeight="1">
      <c r="B606" s="327"/>
      <c r="C606" s="327"/>
      <c r="D606" s="327"/>
      <c r="E606" s="327"/>
      <c r="F606" s="327"/>
      <c r="G606" s="327"/>
      <c r="H606" s="327"/>
      <c r="I606" s="327"/>
      <c r="J606" s="327"/>
      <c r="K606" s="327"/>
      <c r="L606" s="327"/>
      <c r="M606" s="327"/>
      <c r="N606" s="327"/>
      <c r="O606" s="327"/>
      <c r="P606" s="327"/>
    </row>
    <row r="607" ht="15.75" customHeight="1">
      <c r="B607" s="327"/>
      <c r="C607" s="327"/>
      <c r="D607" s="327"/>
      <c r="E607" s="327"/>
      <c r="F607" s="327"/>
      <c r="G607" s="327"/>
      <c r="H607" s="327"/>
      <c r="I607" s="327"/>
      <c r="J607" s="327"/>
      <c r="K607" s="327"/>
      <c r="L607" s="327"/>
      <c r="M607" s="327"/>
      <c r="N607" s="327"/>
      <c r="O607" s="327"/>
      <c r="P607" s="327"/>
    </row>
    <row r="608" ht="15.75" customHeight="1">
      <c r="B608" s="327"/>
      <c r="C608" s="327"/>
      <c r="D608" s="327"/>
      <c r="E608" s="327"/>
      <c r="F608" s="327"/>
      <c r="G608" s="327"/>
      <c r="H608" s="327"/>
      <c r="I608" s="327"/>
      <c r="J608" s="327"/>
      <c r="K608" s="327"/>
      <c r="L608" s="327"/>
      <c r="M608" s="327"/>
      <c r="N608" s="327"/>
      <c r="O608" s="327"/>
      <c r="P608" s="327"/>
    </row>
    <row r="609" ht="15.75" customHeight="1">
      <c r="B609" s="327"/>
      <c r="C609" s="327"/>
      <c r="D609" s="327"/>
      <c r="E609" s="327"/>
      <c r="F609" s="327"/>
      <c r="G609" s="327"/>
      <c r="H609" s="327"/>
      <c r="I609" s="327"/>
      <c r="J609" s="327"/>
      <c r="K609" s="327"/>
      <c r="L609" s="327"/>
      <c r="M609" s="327"/>
      <c r="N609" s="327"/>
      <c r="O609" s="327"/>
      <c r="P609" s="327"/>
    </row>
    <row r="610" ht="15.75" customHeight="1">
      <c r="B610" s="327"/>
      <c r="C610" s="327"/>
      <c r="D610" s="327"/>
      <c r="E610" s="327"/>
      <c r="F610" s="327"/>
      <c r="G610" s="327"/>
      <c r="H610" s="327"/>
      <c r="I610" s="327"/>
      <c r="J610" s="327"/>
      <c r="K610" s="327"/>
      <c r="L610" s="327"/>
      <c r="M610" s="327"/>
      <c r="N610" s="327"/>
      <c r="O610" s="327"/>
      <c r="P610" s="327"/>
    </row>
    <row r="611" ht="15.75" customHeight="1">
      <c r="B611" s="327"/>
      <c r="C611" s="327"/>
      <c r="D611" s="327"/>
      <c r="E611" s="327"/>
      <c r="F611" s="327"/>
      <c r="G611" s="327"/>
      <c r="H611" s="327"/>
      <c r="I611" s="327"/>
      <c r="J611" s="327"/>
      <c r="K611" s="327"/>
      <c r="L611" s="327"/>
      <c r="M611" s="327"/>
      <c r="N611" s="327"/>
      <c r="O611" s="327"/>
      <c r="P611" s="327"/>
    </row>
    <row r="612" ht="15.75" customHeight="1">
      <c r="B612" s="327"/>
      <c r="C612" s="327"/>
      <c r="D612" s="327"/>
      <c r="E612" s="327"/>
      <c r="F612" s="327"/>
      <c r="G612" s="327"/>
      <c r="H612" s="327"/>
      <c r="I612" s="327"/>
      <c r="J612" s="327"/>
      <c r="K612" s="327"/>
      <c r="L612" s="327"/>
      <c r="M612" s="327"/>
      <c r="N612" s="327"/>
      <c r="O612" s="327"/>
      <c r="P612" s="327"/>
    </row>
    <row r="613" ht="15.75" customHeight="1">
      <c r="B613" s="327"/>
      <c r="C613" s="327"/>
      <c r="D613" s="327"/>
      <c r="E613" s="327"/>
      <c r="F613" s="327"/>
      <c r="G613" s="327"/>
      <c r="H613" s="327"/>
      <c r="I613" s="327"/>
      <c r="J613" s="327"/>
      <c r="K613" s="327"/>
      <c r="L613" s="327"/>
      <c r="M613" s="327"/>
      <c r="N613" s="327"/>
      <c r="O613" s="327"/>
      <c r="P613" s="327"/>
    </row>
    <row r="614" ht="15.75" customHeight="1">
      <c r="B614" s="327"/>
      <c r="C614" s="327"/>
      <c r="D614" s="327"/>
      <c r="E614" s="327"/>
      <c r="F614" s="327"/>
      <c r="G614" s="327"/>
      <c r="H614" s="327"/>
      <c r="I614" s="327"/>
      <c r="J614" s="327"/>
      <c r="K614" s="327"/>
      <c r="L614" s="327"/>
      <c r="M614" s="327"/>
      <c r="N614" s="327"/>
      <c r="O614" s="327"/>
      <c r="P614" s="327"/>
    </row>
    <row r="615" ht="15.75" customHeight="1">
      <c r="B615" s="327"/>
      <c r="C615" s="327"/>
      <c r="D615" s="327"/>
      <c r="E615" s="327"/>
      <c r="F615" s="327"/>
      <c r="G615" s="327"/>
      <c r="H615" s="327"/>
      <c r="I615" s="327"/>
      <c r="J615" s="327"/>
      <c r="K615" s="327"/>
      <c r="L615" s="327"/>
      <c r="M615" s="327"/>
      <c r="N615" s="327"/>
      <c r="O615" s="327"/>
      <c r="P615" s="327"/>
    </row>
    <row r="616" ht="15.75" customHeight="1">
      <c r="B616" s="327"/>
      <c r="C616" s="327"/>
      <c r="D616" s="327"/>
      <c r="E616" s="327"/>
      <c r="F616" s="327"/>
      <c r="G616" s="327"/>
      <c r="H616" s="327"/>
      <c r="I616" s="327"/>
      <c r="J616" s="327"/>
      <c r="K616" s="327"/>
      <c r="L616" s="327"/>
      <c r="M616" s="327"/>
      <c r="N616" s="327"/>
      <c r="O616" s="327"/>
      <c r="P616" s="327"/>
    </row>
    <row r="617" ht="15.75" customHeight="1">
      <c r="B617" s="327"/>
      <c r="C617" s="327"/>
      <c r="D617" s="327"/>
      <c r="E617" s="327"/>
      <c r="F617" s="327"/>
      <c r="G617" s="327"/>
      <c r="H617" s="327"/>
      <c r="I617" s="327"/>
      <c r="J617" s="327"/>
      <c r="K617" s="327"/>
      <c r="L617" s="327"/>
      <c r="M617" s="327"/>
      <c r="N617" s="327"/>
      <c r="O617" s="327"/>
      <c r="P617" s="327"/>
    </row>
    <row r="618" ht="15.75" customHeight="1">
      <c r="B618" s="327"/>
      <c r="C618" s="327"/>
      <c r="D618" s="327"/>
      <c r="E618" s="327"/>
      <c r="F618" s="327"/>
      <c r="G618" s="327"/>
      <c r="H618" s="327"/>
      <c r="I618" s="327"/>
      <c r="J618" s="327"/>
      <c r="K618" s="327"/>
      <c r="L618" s="327"/>
      <c r="M618" s="327"/>
      <c r="N618" s="327"/>
      <c r="O618" s="327"/>
      <c r="P618" s="327"/>
    </row>
    <row r="619" ht="15.75" customHeight="1">
      <c r="B619" s="327"/>
      <c r="C619" s="327"/>
      <c r="D619" s="327"/>
      <c r="E619" s="327"/>
      <c r="F619" s="327"/>
      <c r="G619" s="327"/>
      <c r="H619" s="327"/>
      <c r="I619" s="327"/>
      <c r="J619" s="327"/>
      <c r="K619" s="327"/>
      <c r="L619" s="327"/>
      <c r="M619" s="327"/>
      <c r="N619" s="327"/>
      <c r="O619" s="327"/>
      <c r="P619" s="327"/>
    </row>
    <row r="620" ht="15.75" customHeight="1">
      <c r="B620" s="327"/>
      <c r="C620" s="327"/>
      <c r="D620" s="327"/>
      <c r="E620" s="327"/>
      <c r="F620" s="327"/>
      <c r="G620" s="327"/>
      <c r="H620" s="327"/>
      <c r="I620" s="327"/>
      <c r="J620" s="327"/>
      <c r="K620" s="327"/>
      <c r="L620" s="327"/>
      <c r="M620" s="327"/>
      <c r="N620" s="327"/>
      <c r="O620" s="327"/>
      <c r="P620" s="327"/>
    </row>
    <row r="621" ht="15.75" customHeight="1">
      <c r="B621" s="327"/>
      <c r="C621" s="327"/>
      <c r="D621" s="327"/>
      <c r="E621" s="327"/>
      <c r="F621" s="327"/>
      <c r="G621" s="327"/>
      <c r="H621" s="327"/>
      <c r="I621" s="327"/>
      <c r="J621" s="327"/>
      <c r="K621" s="327"/>
      <c r="L621" s="327"/>
      <c r="M621" s="327"/>
      <c r="N621" s="327"/>
      <c r="O621" s="327"/>
      <c r="P621" s="327"/>
    </row>
    <row r="622" ht="15.75" customHeight="1">
      <c r="B622" s="327"/>
      <c r="C622" s="327"/>
      <c r="D622" s="327"/>
      <c r="E622" s="327"/>
      <c r="F622" s="327"/>
      <c r="G622" s="327"/>
      <c r="H622" s="327"/>
      <c r="I622" s="327"/>
      <c r="J622" s="327"/>
      <c r="K622" s="327"/>
      <c r="L622" s="327"/>
      <c r="M622" s="327"/>
      <c r="N622" s="327"/>
      <c r="O622" s="327"/>
      <c r="P622" s="327"/>
    </row>
    <row r="623" ht="15.75" customHeight="1">
      <c r="B623" s="327"/>
      <c r="C623" s="327"/>
      <c r="D623" s="327"/>
      <c r="E623" s="327"/>
      <c r="F623" s="327"/>
      <c r="G623" s="327"/>
      <c r="H623" s="327"/>
      <c r="I623" s="327"/>
      <c r="J623" s="327"/>
      <c r="K623" s="327"/>
      <c r="L623" s="327"/>
      <c r="M623" s="327"/>
      <c r="N623" s="327"/>
      <c r="O623" s="327"/>
      <c r="P623" s="327"/>
    </row>
    <row r="624" ht="15.75" customHeight="1">
      <c r="B624" s="327"/>
      <c r="C624" s="327"/>
      <c r="D624" s="327"/>
      <c r="E624" s="327"/>
      <c r="F624" s="327"/>
      <c r="G624" s="327"/>
      <c r="H624" s="327"/>
      <c r="I624" s="327"/>
      <c r="J624" s="327"/>
      <c r="K624" s="327"/>
      <c r="L624" s="327"/>
      <c r="M624" s="327"/>
      <c r="N624" s="327"/>
      <c r="O624" s="327"/>
      <c r="P624" s="327"/>
    </row>
    <row r="625" ht="15.75" customHeight="1">
      <c r="B625" s="327"/>
      <c r="C625" s="327"/>
      <c r="D625" s="327"/>
      <c r="E625" s="327"/>
      <c r="F625" s="327"/>
      <c r="G625" s="327"/>
      <c r="H625" s="327"/>
      <c r="I625" s="327"/>
      <c r="J625" s="327"/>
      <c r="K625" s="327"/>
      <c r="L625" s="327"/>
      <c r="M625" s="327"/>
      <c r="N625" s="327"/>
      <c r="O625" s="327"/>
      <c r="P625" s="327"/>
    </row>
    <row r="626" ht="15.75" customHeight="1">
      <c r="B626" s="327"/>
      <c r="C626" s="327"/>
      <c r="D626" s="327"/>
      <c r="E626" s="327"/>
      <c r="F626" s="327"/>
      <c r="G626" s="327"/>
      <c r="H626" s="327"/>
      <c r="I626" s="327"/>
      <c r="J626" s="327"/>
      <c r="K626" s="327"/>
      <c r="L626" s="327"/>
      <c r="M626" s="327"/>
      <c r="N626" s="327"/>
      <c r="O626" s="327"/>
      <c r="P626" s="327"/>
    </row>
    <row r="627" ht="15.75" customHeight="1">
      <c r="B627" s="327"/>
      <c r="C627" s="327"/>
      <c r="D627" s="327"/>
      <c r="E627" s="327"/>
      <c r="F627" s="327"/>
      <c r="G627" s="327"/>
      <c r="H627" s="327"/>
      <c r="I627" s="327"/>
      <c r="J627" s="327"/>
      <c r="K627" s="327"/>
      <c r="L627" s="327"/>
      <c r="M627" s="327"/>
      <c r="N627" s="327"/>
      <c r="O627" s="327"/>
      <c r="P627" s="327"/>
    </row>
    <row r="628" ht="15.75" customHeight="1">
      <c r="B628" s="327"/>
      <c r="C628" s="327"/>
      <c r="D628" s="327"/>
      <c r="E628" s="327"/>
      <c r="F628" s="327"/>
      <c r="G628" s="327"/>
      <c r="H628" s="327"/>
      <c r="I628" s="327"/>
      <c r="J628" s="327"/>
      <c r="K628" s="327"/>
      <c r="L628" s="327"/>
      <c r="M628" s="327"/>
      <c r="N628" s="327"/>
      <c r="O628" s="327"/>
      <c r="P628" s="327"/>
    </row>
    <row r="629" ht="15.75" customHeight="1">
      <c r="B629" s="327"/>
      <c r="C629" s="327"/>
      <c r="D629" s="327"/>
      <c r="E629" s="327"/>
      <c r="F629" s="327"/>
      <c r="G629" s="327"/>
      <c r="H629" s="327"/>
      <c r="I629" s="327"/>
      <c r="J629" s="327"/>
      <c r="K629" s="327"/>
      <c r="L629" s="327"/>
      <c r="M629" s="327"/>
      <c r="N629" s="327"/>
      <c r="O629" s="327"/>
      <c r="P629" s="327"/>
    </row>
    <row r="630" ht="15.75" customHeight="1">
      <c r="B630" s="327"/>
      <c r="C630" s="327"/>
      <c r="D630" s="327"/>
      <c r="E630" s="327"/>
      <c r="F630" s="327"/>
      <c r="G630" s="327"/>
      <c r="H630" s="327"/>
      <c r="I630" s="327"/>
      <c r="J630" s="327"/>
      <c r="K630" s="327"/>
      <c r="L630" s="327"/>
      <c r="M630" s="327"/>
      <c r="N630" s="327"/>
      <c r="O630" s="327"/>
      <c r="P630" s="327"/>
    </row>
    <row r="631" ht="15.75" customHeight="1">
      <c r="B631" s="327"/>
      <c r="C631" s="327"/>
      <c r="D631" s="327"/>
      <c r="E631" s="327"/>
      <c r="F631" s="327"/>
      <c r="G631" s="327"/>
      <c r="H631" s="327"/>
      <c r="I631" s="327"/>
      <c r="J631" s="327"/>
      <c r="K631" s="327"/>
      <c r="L631" s="327"/>
      <c r="M631" s="327"/>
      <c r="N631" s="327"/>
      <c r="O631" s="327"/>
      <c r="P631" s="327"/>
    </row>
    <row r="632" ht="15.75" customHeight="1">
      <c r="B632" s="327"/>
      <c r="C632" s="327"/>
      <c r="D632" s="327"/>
      <c r="E632" s="327"/>
      <c r="F632" s="327"/>
      <c r="G632" s="327"/>
      <c r="H632" s="327"/>
      <c r="I632" s="327"/>
      <c r="J632" s="327"/>
      <c r="K632" s="327"/>
      <c r="L632" s="327"/>
      <c r="M632" s="327"/>
      <c r="N632" s="327"/>
      <c r="O632" s="327"/>
      <c r="P632" s="327"/>
    </row>
    <row r="633" ht="15.75" customHeight="1">
      <c r="B633" s="327"/>
      <c r="C633" s="327"/>
      <c r="D633" s="327"/>
      <c r="E633" s="327"/>
      <c r="F633" s="327"/>
      <c r="G633" s="327"/>
      <c r="H633" s="327"/>
      <c r="I633" s="327"/>
      <c r="J633" s="327"/>
      <c r="K633" s="327"/>
      <c r="L633" s="327"/>
      <c r="M633" s="327"/>
      <c r="N633" s="327"/>
      <c r="O633" s="327"/>
      <c r="P633" s="327"/>
    </row>
    <row r="634" ht="15.75" customHeight="1">
      <c r="B634" s="327"/>
      <c r="C634" s="327"/>
      <c r="D634" s="327"/>
      <c r="E634" s="327"/>
      <c r="F634" s="327"/>
      <c r="G634" s="327"/>
      <c r="H634" s="327"/>
      <c r="I634" s="327"/>
      <c r="J634" s="327"/>
      <c r="K634" s="327"/>
      <c r="L634" s="327"/>
      <c r="M634" s="327"/>
      <c r="N634" s="327"/>
      <c r="O634" s="327"/>
      <c r="P634" s="327"/>
    </row>
    <row r="635" ht="15.75" customHeight="1">
      <c r="B635" s="327"/>
      <c r="C635" s="327"/>
      <c r="D635" s="327"/>
      <c r="E635" s="327"/>
      <c r="F635" s="327"/>
      <c r="G635" s="327"/>
      <c r="H635" s="327"/>
      <c r="I635" s="327"/>
      <c r="J635" s="327"/>
      <c r="K635" s="327"/>
      <c r="L635" s="327"/>
      <c r="M635" s="327"/>
      <c r="N635" s="327"/>
      <c r="O635" s="327"/>
      <c r="P635" s="327"/>
    </row>
    <row r="636" ht="15.75" customHeight="1">
      <c r="B636" s="327"/>
      <c r="C636" s="327"/>
      <c r="D636" s="327"/>
      <c r="E636" s="327"/>
      <c r="F636" s="327"/>
      <c r="G636" s="327"/>
      <c r="H636" s="327"/>
      <c r="I636" s="327"/>
      <c r="J636" s="327"/>
      <c r="K636" s="327"/>
      <c r="L636" s="327"/>
      <c r="M636" s="327"/>
      <c r="N636" s="327"/>
      <c r="O636" s="327"/>
      <c r="P636" s="327"/>
    </row>
    <row r="637" ht="15.75" customHeight="1">
      <c r="B637" s="327"/>
      <c r="C637" s="327"/>
      <c r="D637" s="327"/>
      <c r="E637" s="327"/>
      <c r="F637" s="327"/>
      <c r="G637" s="327"/>
      <c r="H637" s="327"/>
      <c r="I637" s="327"/>
      <c r="J637" s="327"/>
      <c r="K637" s="327"/>
      <c r="L637" s="327"/>
      <c r="M637" s="327"/>
      <c r="N637" s="327"/>
      <c r="O637" s="327"/>
      <c r="P637" s="327"/>
    </row>
    <row r="638" ht="15.75" customHeight="1">
      <c r="B638" s="327"/>
      <c r="C638" s="327"/>
      <c r="D638" s="327"/>
      <c r="E638" s="327"/>
      <c r="F638" s="327"/>
      <c r="G638" s="327"/>
      <c r="H638" s="327"/>
      <c r="I638" s="327"/>
      <c r="J638" s="327"/>
      <c r="K638" s="327"/>
      <c r="L638" s="327"/>
      <c r="M638" s="327"/>
      <c r="N638" s="327"/>
      <c r="O638" s="327"/>
      <c r="P638" s="327"/>
    </row>
    <row r="639" ht="15.75" customHeight="1">
      <c r="B639" s="327"/>
      <c r="C639" s="327"/>
      <c r="D639" s="327"/>
      <c r="E639" s="327"/>
      <c r="F639" s="327"/>
      <c r="G639" s="327"/>
      <c r="H639" s="327"/>
      <c r="I639" s="327"/>
      <c r="J639" s="327"/>
      <c r="K639" s="327"/>
      <c r="L639" s="327"/>
      <c r="M639" s="327"/>
      <c r="N639" s="327"/>
      <c r="O639" s="327"/>
      <c r="P639" s="327"/>
    </row>
    <row r="640" ht="15.75" customHeight="1">
      <c r="B640" s="327"/>
      <c r="C640" s="327"/>
      <c r="D640" s="327"/>
      <c r="E640" s="327"/>
      <c r="F640" s="327"/>
      <c r="G640" s="327"/>
      <c r="H640" s="327"/>
      <c r="I640" s="327"/>
      <c r="J640" s="327"/>
      <c r="K640" s="327"/>
      <c r="L640" s="327"/>
      <c r="M640" s="327"/>
      <c r="N640" s="327"/>
      <c r="O640" s="327"/>
      <c r="P640" s="327"/>
    </row>
    <row r="641" ht="15.75" customHeight="1">
      <c r="B641" s="327"/>
      <c r="C641" s="327"/>
      <c r="D641" s="327"/>
      <c r="E641" s="327"/>
      <c r="F641" s="327"/>
      <c r="G641" s="327"/>
      <c r="H641" s="327"/>
      <c r="I641" s="327"/>
      <c r="J641" s="327"/>
      <c r="K641" s="327"/>
      <c r="L641" s="327"/>
      <c r="M641" s="327"/>
      <c r="N641" s="327"/>
      <c r="O641" s="327"/>
      <c r="P641" s="327"/>
    </row>
    <row r="642" ht="15.75" customHeight="1">
      <c r="B642" s="327"/>
      <c r="C642" s="327"/>
      <c r="D642" s="327"/>
      <c r="E642" s="327"/>
      <c r="F642" s="327"/>
      <c r="G642" s="327"/>
      <c r="H642" s="327"/>
      <c r="I642" s="327"/>
      <c r="J642" s="327"/>
      <c r="K642" s="327"/>
      <c r="L642" s="327"/>
      <c r="M642" s="327"/>
      <c r="N642" s="327"/>
      <c r="O642" s="327"/>
      <c r="P642" s="327"/>
    </row>
    <row r="643" ht="15.75" customHeight="1">
      <c r="B643" s="327"/>
      <c r="C643" s="327"/>
      <c r="D643" s="327"/>
      <c r="E643" s="327"/>
      <c r="F643" s="327"/>
      <c r="G643" s="327"/>
      <c r="H643" s="327"/>
      <c r="I643" s="327"/>
      <c r="J643" s="327"/>
      <c r="K643" s="327"/>
      <c r="L643" s="327"/>
      <c r="M643" s="327"/>
      <c r="N643" s="327"/>
      <c r="O643" s="327"/>
      <c r="P643" s="327"/>
    </row>
    <row r="644" ht="15.75" customHeight="1">
      <c r="B644" s="327"/>
      <c r="C644" s="327"/>
      <c r="D644" s="327"/>
      <c r="E644" s="327"/>
      <c r="F644" s="327"/>
      <c r="G644" s="327"/>
      <c r="H644" s="327"/>
      <c r="I644" s="327"/>
      <c r="J644" s="327"/>
      <c r="K644" s="327"/>
      <c r="L644" s="327"/>
      <c r="M644" s="327"/>
      <c r="N644" s="327"/>
      <c r="O644" s="327"/>
      <c r="P644" s="327"/>
    </row>
    <row r="645" ht="15.75" customHeight="1">
      <c r="B645" s="327"/>
      <c r="C645" s="327"/>
      <c r="D645" s="327"/>
      <c r="E645" s="327"/>
      <c r="F645" s="327"/>
      <c r="G645" s="327"/>
      <c r="H645" s="327"/>
      <c r="I645" s="327"/>
      <c r="J645" s="327"/>
      <c r="K645" s="327"/>
      <c r="L645" s="327"/>
      <c r="M645" s="327"/>
      <c r="N645" s="327"/>
      <c r="O645" s="327"/>
      <c r="P645" s="327"/>
    </row>
    <row r="646" ht="15.75" customHeight="1">
      <c r="B646" s="327"/>
      <c r="C646" s="327"/>
      <c r="D646" s="327"/>
      <c r="E646" s="327"/>
      <c r="F646" s="327"/>
      <c r="G646" s="327"/>
      <c r="H646" s="327"/>
      <c r="I646" s="327"/>
      <c r="J646" s="327"/>
      <c r="K646" s="327"/>
      <c r="L646" s="327"/>
      <c r="M646" s="327"/>
      <c r="N646" s="327"/>
      <c r="O646" s="327"/>
      <c r="P646" s="327"/>
    </row>
    <row r="647" ht="15.75" customHeight="1">
      <c r="B647" s="327"/>
      <c r="C647" s="327"/>
      <c r="D647" s="327"/>
      <c r="E647" s="327"/>
      <c r="F647" s="327"/>
      <c r="G647" s="327"/>
      <c r="H647" s="327"/>
      <c r="I647" s="327"/>
      <c r="J647" s="327"/>
      <c r="K647" s="327"/>
      <c r="L647" s="327"/>
      <c r="M647" s="327"/>
      <c r="N647" s="327"/>
      <c r="O647" s="327"/>
      <c r="P647" s="327"/>
    </row>
    <row r="648" ht="15.75" customHeight="1">
      <c r="B648" s="327"/>
      <c r="C648" s="327"/>
      <c r="D648" s="327"/>
      <c r="E648" s="327"/>
      <c r="F648" s="327"/>
      <c r="G648" s="327"/>
      <c r="H648" s="327"/>
      <c r="I648" s="327"/>
      <c r="J648" s="327"/>
      <c r="K648" s="327"/>
      <c r="L648" s="327"/>
      <c r="M648" s="327"/>
      <c r="N648" s="327"/>
      <c r="O648" s="327"/>
      <c r="P648" s="327"/>
    </row>
    <row r="649" ht="15.75" customHeight="1">
      <c r="B649" s="327"/>
      <c r="C649" s="327"/>
      <c r="D649" s="327"/>
      <c r="E649" s="327"/>
      <c r="F649" s="327"/>
      <c r="G649" s="327"/>
      <c r="H649" s="327"/>
      <c r="I649" s="327"/>
      <c r="J649" s="327"/>
      <c r="K649" s="327"/>
      <c r="L649" s="327"/>
      <c r="M649" s="327"/>
      <c r="N649" s="327"/>
      <c r="O649" s="327"/>
      <c r="P649" s="327"/>
    </row>
    <row r="650" ht="15.75" customHeight="1">
      <c r="B650" s="327"/>
      <c r="C650" s="327"/>
      <c r="D650" s="327"/>
      <c r="E650" s="327"/>
      <c r="F650" s="327"/>
      <c r="G650" s="327"/>
      <c r="H650" s="327"/>
      <c r="I650" s="327"/>
      <c r="J650" s="327"/>
      <c r="K650" s="327"/>
      <c r="L650" s="327"/>
      <c r="M650" s="327"/>
      <c r="N650" s="327"/>
      <c r="O650" s="327"/>
      <c r="P650" s="327"/>
    </row>
    <row r="651" ht="15.75" customHeight="1">
      <c r="B651" s="327"/>
      <c r="C651" s="327"/>
      <c r="D651" s="327"/>
      <c r="E651" s="327"/>
      <c r="F651" s="327"/>
      <c r="G651" s="327"/>
      <c r="H651" s="327"/>
      <c r="I651" s="327"/>
      <c r="J651" s="327"/>
      <c r="K651" s="327"/>
      <c r="L651" s="327"/>
      <c r="M651" s="327"/>
      <c r="N651" s="327"/>
      <c r="O651" s="327"/>
      <c r="P651" s="327"/>
    </row>
    <row r="652" ht="15.75" customHeight="1">
      <c r="B652" s="327"/>
      <c r="C652" s="327"/>
      <c r="D652" s="327"/>
      <c r="E652" s="327"/>
      <c r="F652" s="327"/>
      <c r="G652" s="327"/>
      <c r="H652" s="327"/>
      <c r="I652" s="327"/>
      <c r="J652" s="327"/>
      <c r="K652" s="327"/>
      <c r="L652" s="327"/>
      <c r="M652" s="327"/>
      <c r="N652" s="327"/>
      <c r="O652" s="327"/>
      <c r="P652" s="327"/>
    </row>
    <row r="653" ht="15.75" customHeight="1">
      <c r="B653" s="327"/>
      <c r="C653" s="327"/>
      <c r="D653" s="327"/>
      <c r="E653" s="327"/>
      <c r="F653" s="327"/>
      <c r="G653" s="327"/>
      <c r="H653" s="327"/>
      <c r="I653" s="327"/>
      <c r="J653" s="327"/>
      <c r="K653" s="327"/>
      <c r="L653" s="327"/>
      <c r="M653" s="327"/>
      <c r="N653" s="327"/>
      <c r="O653" s="327"/>
      <c r="P653" s="327"/>
    </row>
    <row r="654" ht="15.75" customHeight="1">
      <c r="B654" s="327"/>
      <c r="C654" s="327"/>
      <c r="D654" s="327"/>
      <c r="E654" s="327"/>
      <c r="F654" s="327"/>
      <c r="G654" s="327"/>
      <c r="H654" s="327"/>
      <c r="I654" s="327"/>
      <c r="J654" s="327"/>
      <c r="K654" s="327"/>
      <c r="L654" s="327"/>
      <c r="M654" s="327"/>
      <c r="N654" s="327"/>
      <c r="O654" s="327"/>
      <c r="P654" s="327"/>
    </row>
    <row r="655" ht="15.75" customHeight="1">
      <c r="B655" s="327"/>
      <c r="C655" s="327"/>
      <c r="D655" s="327"/>
      <c r="E655" s="327"/>
      <c r="F655" s="327"/>
      <c r="G655" s="327"/>
      <c r="H655" s="327"/>
      <c r="I655" s="327"/>
      <c r="J655" s="327"/>
      <c r="K655" s="327"/>
      <c r="L655" s="327"/>
      <c r="M655" s="327"/>
      <c r="N655" s="327"/>
      <c r="O655" s="327"/>
      <c r="P655" s="327"/>
    </row>
    <row r="656" ht="15.75" customHeight="1">
      <c r="B656" s="327"/>
      <c r="C656" s="327"/>
      <c r="D656" s="327"/>
      <c r="E656" s="327"/>
      <c r="F656" s="327"/>
      <c r="G656" s="327"/>
      <c r="H656" s="327"/>
      <c r="I656" s="327"/>
      <c r="J656" s="327"/>
      <c r="K656" s="327"/>
      <c r="L656" s="327"/>
      <c r="M656" s="327"/>
      <c r="N656" s="327"/>
      <c r="O656" s="327"/>
      <c r="P656" s="327"/>
    </row>
    <row r="657" ht="15.75" customHeight="1">
      <c r="B657" s="327"/>
      <c r="C657" s="327"/>
      <c r="D657" s="327"/>
      <c r="E657" s="327"/>
      <c r="F657" s="327"/>
      <c r="G657" s="327"/>
      <c r="H657" s="327"/>
      <c r="I657" s="327"/>
      <c r="J657" s="327"/>
      <c r="K657" s="327"/>
      <c r="L657" s="327"/>
      <c r="M657" s="327"/>
      <c r="N657" s="327"/>
      <c r="O657" s="327"/>
      <c r="P657" s="327"/>
    </row>
    <row r="658" ht="15.75" customHeight="1">
      <c r="B658" s="327"/>
      <c r="C658" s="327"/>
      <c r="D658" s="327"/>
      <c r="E658" s="327"/>
      <c r="F658" s="327"/>
      <c r="G658" s="327"/>
      <c r="H658" s="327"/>
      <c r="I658" s="327"/>
      <c r="J658" s="327"/>
      <c r="K658" s="327"/>
      <c r="L658" s="327"/>
      <c r="M658" s="327"/>
      <c r="N658" s="327"/>
      <c r="O658" s="327"/>
      <c r="P658" s="327"/>
    </row>
    <row r="659" ht="15.75" customHeight="1">
      <c r="B659" s="327"/>
      <c r="C659" s="327"/>
      <c r="D659" s="327"/>
      <c r="E659" s="327"/>
      <c r="F659" s="327"/>
      <c r="G659" s="327"/>
      <c r="H659" s="327"/>
      <c r="I659" s="327"/>
      <c r="J659" s="327"/>
      <c r="K659" s="327"/>
      <c r="L659" s="327"/>
      <c r="M659" s="327"/>
      <c r="N659" s="327"/>
      <c r="O659" s="327"/>
      <c r="P659" s="327"/>
    </row>
    <row r="660" ht="15.75" customHeight="1">
      <c r="B660" s="327"/>
      <c r="C660" s="327"/>
      <c r="D660" s="327"/>
      <c r="E660" s="327"/>
      <c r="F660" s="327"/>
      <c r="G660" s="327"/>
      <c r="H660" s="327"/>
      <c r="I660" s="327"/>
      <c r="J660" s="327"/>
      <c r="K660" s="327"/>
      <c r="L660" s="327"/>
      <c r="M660" s="327"/>
      <c r="N660" s="327"/>
      <c r="O660" s="327"/>
      <c r="P660" s="327"/>
    </row>
    <row r="661" ht="15.75" customHeight="1">
      <c r="B661" s="327"/>
      <c r="C661" s="327"/>
      <c r="D661" s="327"/>
      <c r="E661" s="327"/>
      <c r="F661" s="327"/>
      <c r="G661" s="327"/>
      <c r="H661" s="327"/>
      <c r="I661" s="327"/>
      <c r="J661" s="327"/>
      <c r="K661" s="327"/>
      <c r="L661" s="327"/>
      <c r="M661" s="327"/>
      <c r="N661" s="327"/>
      <c r="O661" s="327"/>
      <c r="P661" s="327"/>
    </row>
    <row r="662" ht="15.75" customHeight="1">
      <c r="B662" s="327"/>
      <c r="C662" s="327"/>
      <c r="D662" s="327"/>
      <c r="E662" s="327"/>
      <c r="F662" s="327"/>
      <c r="G662" s="327"/>
      <c r="H662" s="327"/>
      <c r="I662" s="327"/>
      <c r="J662" s="327"/>
      <c r="K662" s="327"/>
      <c r="L662" s="327"/>
      <c r="M662" s="327"/>
      <c r="N662" s="327"/>
      <c r="O662" s="327"/>
      <c r="P662" s="327"/>
    </row>
    <row r="663" ht="15.75" customHeight="1">
      <c r="B663" s="327"/>
      <c r="C663" s="327"/>
      <c r="D663" s="327"/>
      <c r="E663" s="327"/>
      <c r="F663" s="327"/>
      <c r="G663" s="327"/>
      <c r="H663" s="327"/>
      <c r="I663" s="327"/>
      <c r="J663" s="327"/>
      <c r="K663" s="327"/>
      <c r="L663" s="327"/>
      <c r="M663" s="327"/>
      <c r="N663" s="327"/>
      <c r="O663" s="327"/>
      <c r="P663" s="327"/>
    </row>
    <row r="664" ht="15.75" customHeight="1">
      <c r="B664" s="327"/>
      <c r="C664" s="327"/>
      <c r="D664" s="327"/>
      <c r="E664" s="327"/>
      <c r="F664" s="327"/>
      <c r="G664" s="327"/>
      <c r="H664" s="327"/>
      <c r="I664" s="327"/>
      <c r="J664" s="327"/>
      <c r="K664" s="327"/>
      <c r="L664" s="327"/>
      <c r="M664" s="327"/>
      <c r="N664" s="327"/>
      <c r="O664" s="327"/>
      <c r="P664" s="327"/>
    </row>
    <row r="665" ht="15.75" customHeight="1">
      <c r="B665" s="327"/>
      <c r="C665" s="327"/>
      <c r="D665" s="327"/>
      <c r="E665" s="327"/>
      <c r="F665" s="327"/>
      <c r="G665" s="327"/>
      <c r="H665" s="327"/>
      <c r="I665" s="327"/>
      <c r="J665" s="327"/>
      <c r="K665" s="327"/>
      <c r="L665" s="327"/>
      <c r="M665" s="327"/>
      <c r="N665" s="327"/>
      <c r="O665" s="327"/>
      <c r="P665" s="327"/>
    </row>
    <row r="666" ht="15.75" customHeight="1">
      <c r="B666" s="327"/>
      <c r="C666" s="327"/>
      <c r="D666" s="327"/>
      <c r="E666" s="327"/>
      <c r="F666" s="327"/>
      <c r="G666" s="327"/>
      <c r="H666" s="327"/>
      <c r="I666" s="327"/>
      <c r="J666" s="327"/>
      <c r="K666" s="327"/>
      <c r="L666" s="327"/>
      <c r="M666" s="327"/>
      <c r="N666" s="327"/>
      <c r="O666" s="327"/>
      <c r="P666" s="327"/>
    </row>
    <row r="667" ht="15.75" customHeight="1">
      <c r="B667" s="327"/>
      <c r="C667" s="327"/>
      <c r="D667" s="327"/>
      <c r="E667" s="327"/>
      <c r="F667" s="327"/>
      <c r="G667" s="327"/>
      <c r="H667" s="327"/>
      <c r="I667" s="327"/>
      <c r="J667" s="327"/>
      <c r="K667" s="327"/>
      <c r="L667" s="327"/>
      <c r="M667" s="327"/>
      <c r="N667" s="327"/>
      <c r="O667" s="327"/>
      <c r="P667" s="327"/>
    </row>
    <row r="668" ht="15.75" customHeight="1">
      <c r="B668" s="327"/>
      <c r="C668" s="327"/>
      <c r="D668" s="327"/>
      <c r="E668" s="327"/>
      <c r="F668" s="327"/>
      <c r="G668" s="327"/>
      <c r="H668" s="327"/>
      <c r="I668" s="327"/>
      <c r="J668" s="327"/>
      <c r="K668" s="327"/>
      <c r="L668" s="327"/>
      <c r="M668" s="327"/>
      <c r="N668" s="327"/>
      <c r="O668" s="327"/>
      <c r="P668" s="327"/>
    </row>
    <row r="669" ht="15.75" customHeight="1">
      <c r="B669" s="327"/>
      <c r="C669" s="327"/>
      <c r="D669" s="327"/>
      <c r="E669" s="327"/>
      <c r="F669" s="327"/>
      <c r="G669" s="327"/>
      <c r="H669" s="327"/>
      <c r="I669" s="327"/>
      <c r="J669" s="327"/>
      <c r="K669" s="327"/>
      <c r="L669" s="327"/>
      <c r="M669" s="327"/>
      <c r="N669" s="327"/>
      <c r="O669" s="327"/>
      <c r="P669" s="327"/>
    </row>
    <row r="670" ht="15.75" customHeight="1">
      <c r="B670" s="327"/>
      <c r="C670" s="327"/>
      <c r="D670" s="327"/>
      <c r="E670" s="327"/>
      <c r="F670" s="327"/>
      <c r="G670" s="327"/>
      <c r="H670" s="327"/>
      <c r="I670" s="327"/>
      <c r="J670" s="327"/>
      <c r="K670" s="327"/>
      <c r="L670" s="327"/>
      <c r="M670" s="327"/>
      <c r="N670" s="327"/>
      <c r="O670" s="327"/>
      <c r="P670" s="327"/>
    </row>
    <row r="671" ht="15.75" customHeight="1">
      <c r="B671" s="327"/>
      <c r="C671" s="327"/>
      <c r="D671" s="327"/>
      <c r="E671" s="327"/>
      <c r="F671" s="327"/>
      <c r="G671" s="327"/>
      <c r="H671" s="327"/>
      <c r="I671" s="327"/>
      <c r="J671" s="327"/>
      <c r="K671" s="327"/>
      <c r="L671" s="327"/>
      <c r="M671" s="327"/>
      <c r="N671" s="327"/>
      <c r="O671" s="327"/>
      <c r="P671" s="327"/>
    </row>
    <row r="672" ht="15.75" customHeight="1">
      <c r="B672" s="327"/>
      <c r="C672" s="327"/>
      <c r="D672" s="327"/>
      <c r="E672" s="327"/>
      <c r="F672" s="327"/>
      <c r="G672" s="327"/>
      <c r="H672" s="327"/>
      <c r="I672" s="327"/>
      <c r="J672" s="327"/>
      <c r="K672" s="327"/>
      <c r="L672" s="327"/>
      <c r="M672" s="327"/>
      <c r="N672" s="327"/>
      <c r="O672" s="327"/>
      <c r="P672" s="327"/>
    </row>
    <row r="673" ht="15.75" customHeight="1">
      <c r="B673" s="327"/>
      <c r="C673" s="327"/>
      <c r="D673" s="327"/>
      <c r="E673" s="327"/>
      <c r="F673" s="327"/>
      <c r="G673" s="327"/>
      <c r="H673" s="327"/>
      <c r="I673" s="327"/>
      <c r="J673" s="327"/>
      <c r="K673" s="327"/>
      <c r="L673" s="327"/>
      <c r="M673" s="327"/>
      <c r="N673" s="327"/>
      <c r="O673" s="327"/>
      <c r="P673" s="327"/>
    </row>
    <row r="674" ht="15.75" customHeight="1">
      <c r="B674" s="327"/>
      <c r="C674" s="327"/>
      <c r="D674" s="327"/>
      <c r="E674" s="327"/>
      <c r="F674" s="327"/>
      <c r="G674" s="327"/>
      <c r="H674" s="327"/>
      <c r="I674" s="327"/>
      <c r="J674" s="327"/>
      <c r="K674" s="327"/>
      <c r="L674" s="327"/>
      <c r="M674" s="327"/>
      <c r="N674" s="327"/>
      <c r="O674" s="327"/>
      <c r="P674" s="327"/>
    </row>
    <row r="675" ht="15.75" customHeight="1">
      <c r="B675" s="327"/>
      <c r="C675" s="327"/>
      <c r="D675" s="327"/>
      <c r="E675" s="327"/>
      <c r="F675" s="327"/>
      <c r="G675" s="327"/>
      <c r="H675" s="327"/>
      <c r="I675" s="327"/>
      <c r="J675" s="327"/>
      <c r="K675" s="327"/>
      <c r="L675" s="327"/>
      <c r="M675" s="327"/>
      <c r="N675" s="327"/>
      <c r="O675" s="327"/>
      <c r="P675" s="327"/>
    </row>
    <row r="676" ht="15.75" customHeight="1">
      <c r="B676" s="327"/>
      <c r="C676" s="327"/>
      <c r="D676" s="327"/>
      <c r="E676" s="327"/>
      <c r="F676" s="327"/>
      <c r="G676" s="327"/>
      <c r="H676" s="327"/>
      <c r="I676" s="327"/>
      <c r="J676" s="327"/>
      <c r="K676" s="327"/>
      <c r="L676" s="327"/>
      <c r="M676" s="327"/>
      <c r="N676" s="327"/>
      <c r="O676" s="327"/>
      <c r="P676" s="327"/>
    </row>
    <row r="677" ht="15.75" customHeight="1">
      <c r="B677" s="327"/>
      <c r="C677" s="327"/>
      <c r="D677" s="327"/>
      <c r="E677" s="327"/>
      <c r="F677" s="327"/>
      <c r="G677" s="327"/>
      <c r="H677" s="327"/>
      <c r="I677" s="327"/>
      <c r="J677" s="327"/>
      <c r="K677" s="327"/>
      <c r="L677" s="327"/>
      <c r="M677" s="327"/>
      <c r="N677" s="327"/>
      <c r="O677" s="327"/>
      <c r="P677" s="327"/>
    </row>
    <row r="678" ht="15.75" customHeight="1">
      <c r="B678" s="327"/>
      <c r="C678" s="327"/>
      <c r="D678" s="327"/>
      <c r="E678" s="327"/>
      <c r="F678" s="327"/>
      <c r="G678" s="327"/>
      <c r="H678" s="327"/>
      <c r="I678" s="327"/>
      <c r="J678" s="327"/>
      <c r="K678" s="327"/>
      <c r="L678" s="327"/>
      <c r="M678" s="327"/>
      <c r="N678" s="327"/>
      <c r="O678" s="327"/>
      <c r="P678" s="327"/>
    </row>
    <row r="679" ht="15.75" customHeight="1">
      <c r="B679" s="327"/>
      <c r="C679" s="327"/>
      <c r="D679" s="327"/>
      <c r="E679" s="327"/>
      <c r="F679" s="327"/>
      <c r="G679" s="327"/>
      <c r="H679" s="327"/>
      <c r="I679" s="327"/>
      <c r="J679" s="327"/>
      <c r="K679" s="327"/>
      <c r="L679" s="327"/>
      <c r="M679" s="327"/>
      <c r="N679" s="327"/>
      <c r="O679" s="327"/>
      <c r="P679" s="327"/>
    </row>
    <row r="680" ht="15.75" customHeight="1">
      <c r="B680" s="327"/>
      <c r="C680" s="327"/>
      <c r="D680" s="327"/>
      <c r="E680" s="327"/>
      <c r="F680" s="327"/>
      <c r="G680" s="327"/>
      <c r="H680" s="327"/>
      <c r="I680" s="327"/>
      <c r="J680" s="327"/>
      <c r="K680" s="327"/>
      <c r="L680" s="327"/>
      <c r="M680" s="327"/>
      <c r="N680" s="327"/>
      <c r="O680" s="327"/>
      <c r="P680" s="327"/>
    </row>
    <row r="681" ht="15.75" customHeight="1">
      <c r="B681" s="327"/>
      <c r="C681" s="327"/>
      <c r="D681" s="327"/>
      <c r="E681" s="327"/>
      <c r="F681" s="327"/>
      <c r="G681" s="327"/>
      <c r="H681" s="327"/>
      <c r="I681" s="327"/>
      <c r="J681" s="327"/>
      <c r="K681" s="327"/>
      <c r="L681" s="327"/>
      <c r="M681" s="327"/>
      <c r="N681" s="327"/>
      <c r="O681" s="327"/>
      <c r="P681" s="327"/>
    </row>
    <row r="682" ht="15.75" customHeight="1">
      <c r="B682" s="327"/>
      <c r="C682" s="327"/>
      <c r="D682" s="327"/>
      <c r="E682" s="327"/>
      <c r="F682" s="327"/>
      <c r="G682" s="327"/>
      <c r="H682" s="327"/>
      <c r="I682" s="327"/>
      <c r="J682" s="327"/>
      <c r="K682" s="327"/>
      <c r="L682" s="327"/>
      <c r="M682" s="327"/>
      <c r="N682" s="327"/>
      <c r="O682" s="327"/>
      <c r="P682" s="327"/>
    </row>
    <row r="683" ht="15.75" customHeight="1">
      <c r="B683" s="327"/>
      <c r="C683" s="327"/>
      <c r="D683" s="327"/>
      <c r="E683" s="327"/>
      <c r="F683" s="327"/>
      <c r="G683" s="327"/>
      <c r="H683" s="327"/>
      <c r="I683" s="327"/>
      <c r="J683" s="327"/>
      <c r="K683" s="327"/>
      <c r="L683" s="327"/>
      <c r="M683" s="327"/>
      <c r="N683" s="327"/>
      <c r="O683" s="327"/>
      <c r="P683" s="327"/>
    </row>
    <row r="684" ht="15.75" customHeight="1">
      <c r="B684" s="327"/>
      <c r="C684" s="327"/>
      <c r="D684" s="327"/>
      <c r="E684" s="327"/>
      <c r="F684" s="327"/>
      <c r="G684" s="327"/>
      <c r="H684" s="327"/>
      <c r="I684" s="327"/>
      <c r="J684" s="327"/>
      <c r="K684" s="327"/>
      <c r="L684" s="327"/>
      <c r="M684" s="327"/>
      <c r="N684" s="327"/>
      <c r="O684" s="327"/>
      <c r="P684" s="327"/>
    </row>
    <row r="685" ht="15.75" customHeight="1">
      <c r="B685" s="327"/>
      <c r="C685" s="327"/>
      <c r="D685" s="327"/>
      <c r="E685" s="327"/>
      <c r="F685" s="327"/>
      <c r="G685" s="327"/>
      <c r="H685" s="327"/>
      <c r="I685" s="327"/>
      <c r="J685" s="327"/>
      <c r="K685" s="327"/>
      <c r="L685" s="327"/>
      <c r="M685" s="327"/>
      <c r="N685" s="327"/>
      <c r="O685" s="327"/>
      <c r="P685" s="327"/>
    </row>
    <row r="686" ht="15.75" customHeight="1">
      <c r="B686" s="327"/>
      <c r="C686" s="327"/>
      <c r="D686" s="327"/>
      <c r="E686" s="327"/>
      <c r="F686" s="327"/>
      <c r="G686" s="327"/>
      <c r="H686" s="327"/>
      <c r="I686" s="327"/>
      <c r="J686" s="327"/>
      <c r="K686" s="327"/>
      <c r="L686" s="327"/>
      <c r="M686" s="327"/>
      <c r="N686" s="327"/>
      <c r="O686" s="327"/>
      <c r="P686" s="327"/>
    </row>
    <row r="687" ht="15.75" customHeight="1">
      <c r="B687" s="327"/>
      <c r="C687" s="327"/>
      <c r="D687" s="327"/>
      <c r="E687" s="327"/>
      <c r="F687" s="327"/>
      <c r="G687" s="327"/>
      <c r="H687" s="327"/>
      <c r="I687" s="327"/>
      <c r="J687" s="327"/>
      <c r="K687" s="327"/>
      <c r="L687" s="327"/>
      <c r="M687" s="327"/>
      <c r="N687" s="327"/>
      <c r="O687" s="327"/>
      <c r="P687" s="327"/>
    </row>
    <row r="688" ht="15.75" customHeight="1">
      <c r="B688" s="327"/>
      <c r="C688" s="327"/>
      <c r="D688" s="327"/>
      <c r="E688" s="327"/>
      <c r="F688" s="327"/>
      <c r="G688" s="327"/>
      <c r="H688" s="327"/>
      <c r="I688" s="327"/>
      <c r="J688" s="327"/>
      <c r="K688" s="327"/>
      <c r="L688" s="327"/>
      <c r="M688" s="327"/>
      <c r="N688" s="327"/>
      <c r="O688" s="327"/>
      <c r="P688" s="327"/>
    </row>
    <row r="689" ht="15.75" customHeight="1">
      <c r="B689" s="327"/>
      <c r="C689" s="327"/>
      <c r="D689" s="327"/>
      <c r="E689" s="327"/>
      <c r="F689" s="327"/>
      <c r="G689" s="327"/>
      <c r="H689" s="327"/>
      <c r="I689" s="327"/>
      <c r="J689" s="327"/>
      <c r="K689" s="327"/>
      <c r="L689" s="327"/>
      <c r="M689" s="327"/>
      <c r="N689" s="327"/>
      <c r="O689" s="327"/>
      <c r="P689" s="327"/>
    </row>
    <row r="690" ht="15.75" customHeight="1">
      <c r="B690" s="327"/>
      <c r="C690" s="327"/>
      <c r="D690" s="327"/>
      <c r="E690" s="327"/>
      <c r="F690" s="327"/>
      <c r="G690" s="327"/>
      <c r="H690" s="327"/>
      <c r="I690" s="327"/>
      <c r="J690" s="327"/>
      <c r="K690" s="327"/>
      <c r="L690" s="327"/>
      <c r="M690" s="327"/>
      <c r="N690" s="327"/>
      <c r="O690" s="327"/>
      <c r="P690" s="327"/>
    </row>
    <row r="691" ht="15.75" customHeight="1">
      <c r="B691" s="327"/>
      <c r="C691" s="327"/>
      <c r="D691" s="327"/>
      <c r="E691" s="327"/>
      <c r="F691" s="327"/>
      <c r="G691" s="327"/>
      <c r="H691" s="327"/>
      <c r="I691" s="327"/>
      <c r="J691" s="327"/>
      <c r="K691" s="327"/>
      <c r="L691" s="327"/>
      <c r="M691" s="327"/>
      <c r="N691" s="327"/>
      <c r="O691" s="327"/>
      <c r="P691" s="327"/>
    </row>
    <row r="692" ht="15.75" customHeight="1">
      <c r="B692" s="327"/>
      <c r="C692" s="327"/>
      <c r="D692" s="327"/>
      <c r="E692" s="327"/>
      <c r="F692" s="327"/>
      <c r="G692" s="327"/>
      <c r="H692" s="327"/>
      <c r="I692" s="327"/>
      <c r="J692" s="327"/>
      <c r="K692" s="327"/>
      <c r="L692" s="327"/>
      <c r="M692" s="327"/>
      <c r="N692" s="327"/>
      <c r="O692" s="327"/>
      <c r="P692" s="327"/>
    </row>
    <row r="693" ht="15.75" customHeight="1">
      <c r="B693" s="327"/>
      <c r="C693" s="327"/>
      <c r="D693" s="327"/>
      <c r="E693" s="327"/>
      <c r="F693" s="327"/>
      <c r="G693" s="327"/>
      <c r="H693" s="327"/>
      <c r="I693" s="327"/>
      <c r="J693" s="327"/>
      <c r="K693" s="327"/>
      <c r="L693" s="327"/>
      <c r="M693" s="327"/>
      <c r="N693" s="327"/>
      <c r="O693" s="327"/>
      <c r="P693" s="327"/>
    </row>
    <row r="694" ht="15.75" customHeight="1">
      <c r="B694" s="327"/>
      <c r="C694" s="327"/>
      <c r="D694" s="327"/>
      <c r="E694" s="327"/>
      <c r="F694" s="327"/>
      <c r="G694" s="327"/>
      <c r="H694" s="327"/>
      <c r="I694" s="327"/>
      <c r="J694" s="327"/>
      <c r="K694" s="327"/>
      <c r="L694" s="327"/>
      <c r="M694" s="327"/>
      <c r="N694" s="327"/>
      <c r="O694" s="327"/>
      <c r="P694" s="327"/>
    </row>
    <row r="695" ht="15.75" customHeight="1">
      <c r="B695" s="327"/>
      <c r="C695" s="327"/>
      <c r="D695" s="327"/>
      <c r="E695" s="327"/>
      <c r="F695" s="327"/>
      <c r="G695" s="327"/>
      <c r="H695" s="327"/>
      <c r="I695" s="327"/>
      <c r="J695" s="327"/>
      <c r="K695" s="327"/>
      <c r="L695" s="327"/>
      <c r="M695" s="327"/>
      <c r="N695" s="327"/>
      <c r="O695" s="327"/>
      <c r="P695" s="327"/>
    </row>
    <row r="696" ht="15.75" customHeight="1">
      <c r="B696" s="327"/>
      <c r="C696" s="327"/>
      <c r="D696" s="327"/>
      <c r="E696" s="327"/>
      <c r="F696" s="327"/>
      <c r="G696" s="327"/>
      <c r="H696" s="327"/>
      <c r="I696" s="327"/>
      <c r="J696" s="327"/>
      <c r="K696" s="327"/>
      <c r="L696" s="327"/>
      <c r="M696" s="327"/>
      <c r="N696" s="327"/>
      <c r="O696" s="327"/>
      <c r="P696" s="327"/>
    </row>
    <row r="697" ht="15.75" customHeight="1">
      <c r="B697" s="327"/>
      <c r="C697" s="327"/>
      <c r="D697" s="327"/>
      <c r="E697" s="327"/>
      <c r="F697" s="327"/>
      <c r="G697" s="327"/>
      <c r="H697" s="327"/>
      <c r="I697" s="327"/>
      <c r="J697" s="327"/>
      <c r="K697" s="327"/>
      <c r="L697" s="327"/>
      <c r="M697" s="327"/>
      <c r="N697" s="327"/>
      <c r="O697" s="327"/>
      <c r="P697" s="327"/>
    </row>
    <row r="698" ht="15.75" customHeight="1">
      <c r="B698" s="327"/>
      <c r="C698" s="327"/>
      <c r="D698" s="327"/>
      <c r="E698" s="327"/>
      <c r="F698" s="327"/>
      <c r="G698" s="327"/>
      <c r="H698" s="327"/>
      <c r="I698" s="327"/>
      <c r="J698" s="327"/>
      <c r="K698" s="327"/>
      <c r="L698" s="327"/>
      <c r="M698" s="327"/>
      <c r="N698" s="327"/>
      <c r="O698" s="327"/>
      <c r="P698" s="327"/>
    </row>
    <row r="699" ht="15.75" customHeight="1">
      <c r="B699" s="327"/>
      <c r="C699" s="327"/>
      <c r="D699" s="327"/>
      <c r="E699" s="327"/>
      <c r="F699" s="327"/>
      <c r="G699" s="327"/>
      <c r="H699" s="327"/>
      <c r="I699" s="327"/>
      <c r="J699" s="327"/>
      <c r="K699" s="327"/>
      <c r="L699" s="327"/>
      <c r="M699" s="327"/>
      <c r="N699" s="327"/>
      <c r="O699" s="327"/>
      <c r="P699" s="327"/>
    </row>
    <row r="700" ht="15.75" customHeight="1">
      <c r="B700" s="327"/>
      <c r="C700" s="327"/>
      <c r="D700" s="327"/>
      <c r="E700" s="327"/>
      <c r="F700" s="327"/>
      <c r="G700" s="327"/>
      <c r="H700" s="327"/>
      <c r="I700" s="327"/>
      <c r="J700" s="327"/>
      <c r="K700" s="327"/>
      <c r="L700" s="327"/>
      <c r="M700" s="327"/>
      <c r="N700" s="327"/>
      <c r="O700" s="327"/>
      <c r="P700" s="327"/>
    </row>
    <row r="701" ht="15.75" customHeight="1">
      <c r="B701" s="327"/>
      <c r="C701" s="327"/>
      <c r="D701" s="327"/>
      <c r="E701" s="327"/>
      <c r="F701" s="327"/>
      <c r="G701" s="327"/>
      <c r="H701" s="327"/>
      <c r="I701" s="327"/>
      <c r="J701" s="327"/>
      <c r="K701" s="327"/>
      <c r="L701" s="327"/>
      <c r="M701" s="327"/>
      <c r="N701" s="327"/>
      <c r="O701" s="327"/>
      <c r="P701" s="327"/>
    </row>
    <row r="702" ht="15.75" customHeight="1">
      <c r="B702" s="327"/>
      <c r="C702" s="327"/>
      <c r="D702" s="327"/>
      <c r="E702" s="327"/>
      <c r="F702" s="327"/>
      <c r="G702" s="327"/>
      <c r="H702" s="327"/>
      <c r="I702" s="327"/>
      <c r="J702" s="327"/>
      <c r="K702" s="327"/>
      <c r="L702" s="327"/>
      <c r="M702" s="327"/>
      <c r="N702" s="327"/>
      <c r="O702" s="327"/>
      <c r="P702" s="327"/>
    </row>
    <row r="703" ht="15.75" customHeight="1">
      <c r="B703" s="327"/>
      <c r="C703" s="327"/>
      <c r="D703" s="327"/>
      <c r="E703" s="327"/>
      <c r="F703" s="327"/>
      <c r="G703" s="327"/>
      <c r="H703" s="327"/>
      <c r="I703" s="327"/>
      <c r="J703" s="327"/>
      <c r="K703" s="327"/>
      <c r="L703" s="327"/>
      <c r="M703" s="327"/>
      <c r="N703" s="327"/>
      <c r="O703" s="327"/>
      <c r="P703" s="327"/>
    </row>
    <row r="704" ht="15.75" customHeight="1">
      <c r="B704" s="327"/>
      <c r="C704" s="327"/>
      <c r="D704" s="327"/>
      <c r="E704" s="327"/>
      <c r="F704" s="327"/>
      <c r="G704" s="327"/>
      <c r="H704" s="327"/>
      <c r="I704" s="327"/>
      <c r="J704" s="327"/>
      <c r="K704" s="327"/>
      <c r="L704" s="327"/>
      <c r="M704" s="327"/>
      <c r="N704" s="327"/>
      <c r="O704" s="327"/>
      <c r="P704" s="327"/>
    </row>
    <row r="705" ht="15.75" customHeight="1">
      <c r="B705" s="327"/>
      <c r="C705" s="327"/>
      <c r="D705" s="327"/>
      <c r="E705" s="327"/>
      <c r="F705" s="327"/>
      <c r="G705" s="327"/>
      <c r="H705" s="327"/>
      <c r="I705" s="327"/>
      <c r="J705" s="327"/>
      <c r="K705" s="327"/>
      <c r="L705" s="327"/>
      <c r="M705" s="327"/>
      <c r="N705" s="327"/>
      <c r="O705" s="327"/>
      <c r="P705" s="327"/>
    </row>
    <row r="706" ht="15.75" customHeight="1">
      <c r="B706" s="327"/>
      <c r="C706" s="327"/>
      <c r="D706" s="327"/>
      <c r="E706" s="327"/>
      <c r="F706" s="327"/>
      <c r="G706" s="327"/>
      <c r="H706" s="327"/>
      <c r="I706" s="327"/>
      <c r="J706" s="327"/>
      <c r="K706" s="327"/>
      <c r="L706" s="327"/>
      <c r="M706" s="327"/>
      <c r="N706" s="327"/>
      <c r="O706" s="327"/>
      <c r="P706" s="327"/>
    </row>
    <row r="707" ht="15.75" customHeight="1">
      <c r="B707" s="327"/>
      <c r="C707" s="327"/>
      <c r="D707" s="327"/>
      <c r="E707" s="327"/>
      <c r="F707" s="327"/>
      <c r="G707" s="327"/>
      <c r="H707" s="327"/>
      <c r="I707" s="327"/>
      <c r="J707" s="327"/>
      <c r="K707" s="327"/>
      <c r="L707" s="327"/>
      <c r="M707" s="327"/>
      <c r="N707" s="327"/>
      <c r="O707" s="327"/>
      <c r="P707" s="327"/>
    </row>
    <row r="708" ht="15.75" customHeight="1">
      <c r="B708" s="327"/>
      <c r="C708" s="327"/>
      <c r="D708" s="327"/>
      <c r="E708" s="327"/>
      <c r="F708" s="327"/>
      <c r="G708" s="327"/>
      <c r="H708" s="327"/>
      <c r="I708" s="327"/>
      <c r="J708" s="327"/>
      <c r="K708" s="327"/>
      <c r="L708" s="327"/>
      <c r="M708" s="327"/>
      <c r="N708" s="327"/>
      <c r="O708" s="327"/>
      <c r="P708" s="327"/>
    </row>
    <row r="709" ht="15.75" customHeight="1">
      <c r="B709" s="327"/>
      <c r="C709" s="327"/>
      <c r="D709" s="327"/>
      <c r="E709" s="327"/>
      <c r="F709" s="327"/>
      <c r="G709" s="327"/>
      <c r="H709" s="327"/>
      <c r="I709" s="327"/>
      <c r="J709" s="327"/>
      <c r="K709" s="327"/>
      <c r="L709" s="327"/>
      <c r="M709" s="327"/>
      <c r="N709" s="327"/>
      <c r="O709" s="327"/>
      <c r="P709" s="327"/>
    </row>
    <row r="710" ht="15.75" customHeight="1">
      <c r="B710" s="327"/>
      <c r="C710" s="327"/>
      <c r="D710" s="327"/>
      <c r="E710" s="327"/>
      <c r="F710" s="327"/>
      <c r="G710" s="327"/>
      <c r="H710" s="327"/>
      <c r="I710" s="327"/>
      <c r="J710" s="327"/>
      <c r="K710" s="327"/>
      <c r="L710" s="327"/>
      <c r="M710" s="327"/>
      <c r="N710" s="327"/>
      <c r="O710" s="327"/>
      <c r="P710" s="327"/>
    </row>
    <row r="711" ht="15.75" customHeight="1">
      <c r="B711" s="327"/>
      <c r="C711" s="327"/>
      <c r="D711" s="327"/>
      <c r="E711" s="327"/>
      <c r="F711" s="327"/>
      <c r="G711" s="327"/>
      <c r="H711" s="327"/>
      <c r="I711" s="327"/>
      <c r="J711" s="327"/>
      <c r="K711" s="327"/>
      <c r="L711" s="327"/>
      <c r="M711" s="327"/>
      <c r="N711" s="327"/>
      <c r="O711" s="327"/>
      <c r="P711" s="327"/>
    </row>
    <row r="712" ht="15.75" customHeight="1">
      <c r="B712" s="327"/>
      <c r="C712" s="327"/>
      <c r="D712" s="327"/>
      <c r="E712" s="327"/>
      <c r="F712" s="327"/>
      <c r="G712" s="327"/>
      <c r="H712" s="327"/>
      <c r="I712" s="327"/>
      <c r="J712" s="327"/>
      <c r="K712" s="327"/>
      <c r="L712" s="327"/>
      <c r="M712" s="327"/>
      <c r="N712" s="327"/>
      <c r="O712" s="327"/>
      <c r="P712" s="327"/>
    </row>
    <row r="713" ht="15.75" customHeight="1">
      <c r="B713" s="327"/>
      <c r="C713" s="327"/>
      <c r="D713" s="327"/>
      <c r="E713" s="327"/>
      <c r="F713" s="327"/>
      <c r="G713" s="327"/>
      <c r="H713" s="327"/>
      <c r="I713" s="327"/>
      <c r="J713" s="327"/>
      <c r="K713" s="327"/>
      <c r="L713" s="327"/>
      <c r="M713" s="327"/>
      <c r="N713" s="327"/>
      <c r="O713" s="327"/>
      <c r="P713" s="327"/>
    </row>
    <row r="714" ht="15.75" customHeight="1">
      <c r="B714" s="327"/>
      <c r="C714" s="327"/>
      <c r="D714" s="327"/>
      <c r="E714" s="327"/>
      <c r="F714" s="327"/>
      <c r="G714" s="327"/>
      <c r="H714" s="327"/>
      <c r="I714" s="327"/>
      <c r="J714" s="327"/>
      <c r="K714" s="327"/>
      <c r="L714" s="327"/>
      <c r="M714" s="327"/>
      <c r="N714" s="327"/>
      <c r="O714" s="327"/>
      <c r="P714" s="327"/>
    </row>
    <row r="715" ht="15.75" customHeight="1">
      <c r="B715" s="327"/>
      <c r="C715" s="327"/>
      <c r="D715" s="327"/>
      <c r="E715" s="327"/>
      <c r="F715" s="327"/>
      <c r="G715" s="327"/>
      <c r="H715" s="327"/>
      <c r="I715" s="327"/>
      <c r="J715" s="327"/>
      <c r="K715" s="327"/>
      <c r="L715" s="327"/>
      <c r="M715" s="327"/>
      <c r="N715" s="327"/>
      <c r="O715" s="327"/>
      <c r="P715" s="327"/>
    </row>
    <row r="716" ht="15.75" customHeight="1">
      <c r="B716" s="327"/>
      <c r="C716" s="327"/>
      <c r="D716" s="327"/>
      <c r="E716" s="327"/>
      <c r="F716" s="327"/>
      <c r="G716" s="327"/>
      <c r="H716" s="327"/>
      <c r="I716" s="327"/>
      <c r="J716" s="327"/>
      <c r="K716" s="327"/>
      <c r="L716" s="327"/>
      <c r="M716" s="327"/>
      <c r="N716" s="327"/>
      <c r="O716" s="327"/>
      <c r="P716" s="327"/>
    </row>
    <row r="717" ht="15.75" customHeight="1">
      <c r="B717" s="327"/>
      <c r="C717" s="327"/>
      <c r="D717" s="327"/>
      <c r="E717" s="327"/>
      <c r="F717" s="327"/>
      <c r="G717" s="327"/>
      <c r="H717" s="327"/>
      <c r="I717" s="327"/>
      <c r="J717" s="327"/>
      <c r="K717" s="327"/>
      <c r="L717" s="327"/>
      <c r="M717" s="327"/>
      <c r="N717" s="327"/>
      <c r="O717" s="327"/>
      <c r="P717" s="327"/>
    </row>
    <row r="718" ht="15.75" customHeight="1">
      <c r="B718" s="327"/>
      <c r="C718" s="327"/>
      <c r="D718" s="327"/>
      <c r="E718" s="327"/>
      <c r="F718" s="327"/>
      <c r="G718" s="327"/>
      <c r="H718" s="327"/>
      <c r="I718" s="327"/>
      <c r="J718" s="327"/>
      <c r="K718" s="327"/>
      <c r="L718" s="327"/>
      <c r="M718" s="327"/>
      <c r="N718" s="327"/>
      <c r="O718" s="327"/>
      <c r="P718" s="327"/>
    </row>
    <row r="719" ht="15.75" customHeight="1">
      <c r="B719" s="327"/>
      <c r="C719" s="327"/>
      <c r="D719" s="327"/>
      <c r="E719" s="327"/>
      <c r="F719" s="327"/>
      <c r="G719" s="327"/>
      <c r="H719" s="327"/>
      <c r="I719" s="327"/>
      <c r="J719" s="327"/>
      <c r="K719" s="327"/>
      <c r="L719" s="327"/>
      <c r="M719" s="327"/>
      <c r="N719" s="327"/>
      <c r="O719" s="327"/>
      <c r="P719" s="327"/>
    </row>
    <row r="720" ht="15.75" customHeight="1">
      <c r="B720" s="327"/>
      <c r="C720" s="327"/>
      <c r="D720" s="327"/>
      <c r="E720" s="327"/>
      <c r="F720" s="327"/>
      <c r="G720" s="327"/>
      <c r="H720" s="327"/>
      <c r="I720" s="327"/>
      <c r="J720" s="327"/>
      <c r="K720" s="327"/>
      <c r="L720" s="327"/>
      <c r="M720" s="327"/>
      <c r="N720" s="327"/>
      <c r="O720" s="327"/>
      <c r="P720" s="327"/>
    </row>
    <row r="721" ht="15.75" customHeight="1">
      <c r="B721" s="327"/>
      <c r="C721" s="327"/>
      <c r="D721" s="327"/>
      <c r="E721" s="327"/>
      <c r="F721" s="327"/>
      <c r="G721" s="327"/>
      <c r="H721" s="327"/>
      <c r="I721" s="327"/>
      <c r="J721" s="327"/>
      <c r="K721" s="327"/>
      <c r="L721" s="327"/>
      <c r="M721" s="327"/>
      <c r="N721" s="327"/>
      <c r="O721" s="327"/>
      <c r="P721" s="327"/>
    </row>
    <row r="722" ht="15.75" customHeight="1">
      <c r="B722" s="327"/>
      <c r="C722" s="327"/>
      <c r="D722" s="327"/>
      <c r="E722" s="327"/>
      <c r="F722" s="327"/>
      <c r="G722" s="327"/>
      <c r="H722" s="327"/>
      <c r="I722" s="327"/>
      <c r="J722" s="327"/>
      <c r="K722" s="327"/>
      <c r="L722" s="327"/>
      <c r="M722" s="327"/>
      <c r="N722" s="327"/>
      <c r="O722" s="327"/>
      <c r="P722" s="327"/>
    </row>
    <row r="723" ht="15.75" customHeight="1">
      <c r="B723" s="327"/>
      <c r="C723" s="327"/>
      <c r="D723" s="327"/>
      <c r="E723" s="327"/>
      <c r="F723" s="327"/>
      <c r="G723" s="327"/>
      <c r="H723" s="327"/>
      <c r="I723" s="327"/>
      <c r="J723" s="327"/>
      <c r="K723" s="327"/>
      <c r="L723" s="327"/>
      <c r="M723" s="327"/>
      <c r="N723" s="327"/>
      <c r="O723" s="327"/>
      <c r="P723" s="327"/>
    </row>
    <row r="724" ht="15.75" customHeight="1">
      <c r="B724" s="327"/>
      <c r="C724" s="327"/>
      <c r="D724" s="327"/>
      <c r="E724" s="327"/>
      <c r="F724" s="327"/>
      <c r="G724" s="327"/>
      <c r="H724" s="327"/>
      <c r="I724" s="327"/>
      <c r="J724" s="327"/>
      <c r="K724" s="327"/>
      <c r="L724" s="327"/>
      <c r="M724" s="327"/>
      <c r="N724" s="327"/>
      <c r="O724" s="327"/>
      <c r="P724" s="327"/>
    </row>
    <row r="725" ht="15.75" customHeight="1">
      <c r="B725" s="327"/>
      <c r="C725" s="327"/>
      <c r="D725" s="327"/>
      <c r="E725" s="327"/>
      <c r="F725" s="327"/>
      <c r="G725" s="327"/>
      <c r="H725" s="327"/>
      <c r="I725" s="327"/>
      <c r="J725" s="327"/>
      <c r="K725" s="327"/>
      <c r="L725" s="327"/>
      <c r="M725" s="327"/>
      <c r="N725" s="327"/>
      <c r="O725" s="327"/>
      <c r="P725" s="327"/>
    </row>
    <row r="726" ht="15.75" customHeight="1">
      <c r="B726" s="327"/>
      <c r="C726" s="327"/>
      <c r="D726" s="327"/>
      <c r="E726" s="327"/>
      <c r="F726" s="327"/>
      <c r="G726" s="327"/>
      <c r="H726" s="327"/>
      <c r="I726" s="327"/>
      <c r="J726" s="327"/>
      <c r="K726" s="327"/>
      <c r="L726" s="327"/>
      <c r="M726" s="327"/>
      <c r="N726" s="327"/>
      <c r="O726" s="327"/>
      <c r="P726" s="327"/>
    </row>
    <row r="727" ht="15.75" customHeight="1">
      <c r="B727" s="327"/>
      <c r="C727" s="327"/>
      <c r="D727" s="327"/>
      <c r="E727" s="327"/>
      <c r="F727" s="327"/>
      <c r="G727" s="327"/>
      <c r="H727" s="327"/>
      <c r="I727" s="327"/>
      <c r="J727" s="327"/>
      <c r="K727" s="327"/>
      <c r="L727" s="327"/>
      <c r="M727" s="327"/>
      <c r="N727" s="327"/>
      <c r="O727" s="327"/>
      <c r="P727" s="327"/>
    </row>
    <row r="728" ht="15.75" customHeight="1">
      <c r="B728" s="327"/>
      <c r="C728" s="327"/>
      <c r="D728" s="327"/>
      <c r="E728" s="327"/>
      <c r="F728" s="327"/>
      <c r="G728" s="327"/>
      <c r="H728" s="327"/>
      <c r="I728" s="327"/>
      <c r="J728" s="327"/>
      <c r="K728" s="327"/>
      <c r="L728" s="327"/>
      <c r="M728" s="327"/>
      <c r="N728" s="327"/>
      <c r="O728" s="327"/>
      <c r="P728" s="327"/>
    </row>
    <row r="729" ht="15.75" customHeight="1">
      <c r="B729" s="327"/>
      <c r="C729" s="327"/>
      <c r="D729" s="327"/>
      <c r="E729" s="327"/>
      <c r="F729" s="327"/>
      <c r="G729" s="327"/>
      <c r="H729" s="327"/>
      <c r="I729" s="327"/>
      <c r="J729" s="327"/>
      <c r="K729" s="327"/>
      <c r="L729" s="327"/>
      <c r="M729" s="327"/>
      <c r="N729" s="327"/>
      <c r="O729" s="327"/>
      <c r="P729" s="327"/>
    </row>
    <row r="730" ht="15.75" customHeight="1">
      <c r="B730" s="327"/>
      <c r="C730" s="327"/>
      <c r="D730" s="327"/>
      <c r="E730" s="327"/>
      <c r="F730" s="327"/>
      <c r="G730" s="327"/>
      <c r="H730" s="327"/>
      <c r="I730" s="327"/>
      <c r="J730" s="327"/>
      <c r="K730" s="327"/>
      <c r="L730" s="327"/>
      <c r="M730" s="327"/>
      <c r="N730" s="327"/>
      <c r="O730" s="327"/>
      <c r="P730" s="327"/>
    </row>
    <row r="731" ht="15.75" customHeight="1">
      <c r="B731" s="327"/>
      <c r="C731" s="327"/>
      <c r="D731" s="327"/>
      <c r="E731" s="327"/>
      <c r="F731" s="327"/>
      <c r="G731" s="327"/>
      <c r="H731" s="327"/>
      <c r="I731" s="327"/>
      <c r="J731" s="327"/>
      <c r="K731" s="327"/>
      <c r="L731" s="327"/>
      <c r="M731" s="327"/>
      <c r="N731" s="327"/>
      <c r="O731" s="327"/>
      <c r="P731" s="327"/>
    </row>
    <row r="732" ht="15.75" customHeight="1">
      <c r="B732" s="327"/>
      <c r="C732" s="327"/>
      <c r="D732" s="327"/>
      <c r="E732" s="327"/>
      <c r="F732" s="327"/>
      <c r="G732" s="327"/>
      <c r="H732" s="327"/>
      <c r="I732" s="327"/>
      <c r="J732" s="327"/>
      <c r="K732" s="327"/>
      <c r="L732" s="327"/>
      <c r="M732" s="327"/>
      <c r="N732" s="327"/>
      <c r="O732" s="327"/>
      <c r="P732" s="327"/>
    </row>
    <row r="733" ht="15.75" customHeight="1">
      <c r="B733" s="327"/>
      <c r="C733" s="327"/>
      <c r="D733" s="327"/>
      <c r="E733" s="327"/>
      <c r="F733" s="327"/>
      <c r="G733" s="327"/>
      <c r="H733" s="327"/>
      <c r="I733" s="327"/>
      <c r="J733" s="327"/>
      <c r="K733" s="327"/>
      <c r="L733" s="327"/>
      <c r="M733" s="327"/>
      <c r="N733" s="327"/>
      <c r="O733" s="327"/>
      <c r="P733" s="327"/>
    </row>
    <row r="734" ht="15.75" customHeight="1">
      <c r="B734" s="327"/>
      <c r="C734" s="327"/>
      <c r="D734" s="327"/>
      <c r="E734" s="327"/>
      <c r="F734" s="327"/>
      <c r="G734" s="327"/>
      <c r="H734" s="327"/>
      <c r="I734" s="327"/>
      <c r="J734" s="327"/>
      <c r="K734" s="327"/>
      <c r="L734" s="327"/>
      <c r="M734" s="327"/>
      <c r="N734" s="327"/>
      <c r="O734" s="327"/>
      <c r="P734" s="327"/>
    </row>
    <row r="735" ht="15.75" customHeight="1">
      <c r="B735" s="327"/>
      <c r="C735" s="327"/>
      <c r="D735" s="327"/>
      <c r="E735" s="327"/>
      <c r="F735" s="327"/>
      <c r="G735" s="327"/>
      <c r="H735" s="327"/>
      <c r="I735" s="327"/>
      <c r="J735" s="327"/>
      <c r="K735" s="327"/>
      <c r="L735" s="327"/>
      <c r="M735" s="327"/>
      <c r="N735" s="327"/>
      <c r="O735" s="327"/>
      <c r="P735" s="327"/>
    </row>
    <row r="736" ht="15.75" customHeight="1">
      <c r="B736" s="327"/>
      <c r="C736" s="327"/>
      <c r="D736" s="327"/>
      <c r="E736" s="327"/>
      <c r="F736" s="327"/>
      <c r="G736" s="327"/>
      <c r="H736" s="327"/>
      <c r="I736" s="327"/>
      <c r="J736" s="327"/>
      <c r="K736" s="327"/>
      <c r="L736" s="327"/>
      <c r="M736" s="327"/>
      <c r="N736" s="327"/>
      <c r="O736" s="327"/>
      <c r="P736" s="327"/>
    </row>
    <row r="737" ht="15.75" customHeight="1">
      <c r="B737" s="327"/>
      <c r="C737" s="327"/>
      <c r="D737" s="327"/>
      <c r="E737" s="327"/>
      <c r="F737" s="327"/>
      <c r="G737" s="327"/>
      <c r="H737" s="327"/>
      <c r="I737" s="327"/>
      <c r="J737" s="327"/>
      <c r="K737" s="327"/>
      <c r="L737" s="327"/>
      <c r="M737" s="327"/>
      <c r="N737" s="327"/>
      <c r="O737" s="327"/>
      <c r="P737" s="327"/>
    </row>
    <row r="738" ht="15.75" customHeight="1">
      <c r="B738" s="327"/>
      <c r="C738" s="327"/>
      <c r="D738" s="327"/>
      <c r="E738" s="327"/>
      <c r="F738" s="327"/>
      <c r="G738" s="327"/>
      <c r="H738" s="327"/>
      <c r="I738" s="327"/>
      <c r="J738" s="327"/>
      <c r="K738" s="327"/>
      <c r="L738" s="327"/>
      <c r="M738" s="327"/>
      <c r="N738" s="327"/>
      <c r="O738" s="327"/>
      <c r="P738" s="327"/>
    </row>
    <row r="739" ht="15.75" customHeight="1">
      <c r="B739" s="327"/>
      <c r="C739" s="327"/>
      <c r="D739" s="327"/>
      <c r="E739" s="327"/>
      <c r="F739" s="327"/>
      <c r="G739" s="327"/>
      <c r="H739" s="327"/>
      <c r="I739" s="327"/>
      <c r="J739" s="327"/>
      <c r="K739" s="327"/>
      <c r="L739" s="327"/>
      <c r="M739" s="327"/>
      <c r="N739" s="327"/>
      <c r="O739" s="327"/>
      <c r="P739" s="327"/>
    </row>
    <row r="740" ht="15.75" customHeight="1">
      <c r="B740" s="327"/>
      <c r="C740" s="327"/>
      <c r="D740" s="327"/>
      <c r="E740" s="327"/>
      <c r="F740" s="327"/>
      <c r="G740" s="327"/>
      <c r="H740" s="327"/>
      <c r="I740" s="327"/>
      <c r="J740" s="327"/>
      <c r="K740" s="327"/>
      <c r="L740" s="327"/>
      <c r="M740" s="327"/>
      <c r="N740" s="327"/>
      <c r="O740" s="327"/>
      <c r="P740" s="327"/>
    </row>
    <row r="741" ht="15.75" customHeight="1">
      <c r="B741" s="327"/>
      <c r="C741" s="327"/>
      <c r="D741" s="327"/>
      <c r="E741" s="327"/>
      <c r="F741" s="327"/>
      <c r="G741" s="327"/>
      <c r="H741" s="327"/>
      <c r="I741" s="327"/>
      <c r="J741" s="327"/>
      <c r="K741" s="327"/>
      <c r="L741" s="327"/>
      <c r="M741" s="327"/>
      <c r="N741" s="327"/>
      <c r="O741" s="327"/>
      <c r="P741" s="327"/>
    </row>
    <row r="742" ht="15.75" customHeight="1">
      <c r="B742" s="327"/>
      <c r="C742" s="327"/>
      <c r="D742" s="327"/>
      <c r="E742" s="327"/>
      <c r="F742" s="327"/>
      <c r="G742" s="327"/>
      <c r="H742" s="327"/>
      <c r="I742" s="327"/>
      <c r="J742" s="327"/>
      <c r="K742" s="327"/>
      <c r="L742" s="327"/>
      <c r="M742" s="327"/>
      <c r="N742" s="327"/>
      <c r="O742" s="327"/>
      <c r="P742" s="327"/>
    </row>
    <row r="743" ht="15.75" customHeight="1">
      <c r="B743" s="327"/>
      <c r="C743" s="327"/>
      <c r="D743" s="327"/>
      <c r="E743" s="327"/>
      <c r="F743" s="327"/>
      <c r="G743" s="327"/>
      <c r="H743" s="327"/>
      <c r="I743" s="327"/>
      <c r="J743" s="327"/>
      <c r="K743" s="327"/>
      <c r="L743" s="327"/>
      <c r="M743" s="327"/>
      <c r="N743" s="327"/>
      <c r="O743" s="327"/>
      <c r="P743" s="327"/>
    </row>
    <row r="744" ht="15.75" customHeight="1">
      <c r="B744" s="327"/>
      <c r="C744" s="327"/>
      <c r="D744" s="327"/>
      <c r="E744" s="327"/>
      <c r="F744" s="327"/>
      <c r="G744" s="327"/>
      <c r="H744" s="327"/>
      <c r="I744" s="327"/>
      <c r="J744" s="327"/>
      <c r="K744" s="327"/>
      <c r="L744" s="327"/>
      <c r="M744" s="327"/>
      <c r="N744" s="327"/>
      <c r="O744" s="327"/>
      <c r="P744" s="327"/>
    </row>
    <row r="745" ht="15.75" customHeight="1">
      <c r="B745" s="327"/>
      <c r="C745" s="327"/>
      <c r="D745" s="327"/>
      <c r="E745" s="327"/>
      <c r="F745" s="327"/>
      <c r="G745" s="327"/>
      <c r="H745" s="327"/>
      <c r="I745" s="327"/>
      <c r="J745" s="327"/>
      <c r="K745" s="327"/>
      <c r="L745" s="327"/>
      <c r="M745" s="327"/>
      <c r="N745" s="327"/>
      <c r="O745" s="327"/>
      <c r="P745" s="327"/>
    </row>
    <row r="746" ht="15.75" customHeight="1">
      <c r="B746" s="327"/>
      <c r="C746" s="327"/>
      <c r="D746" s="327"/>
      <c r="E746" s="327"/>
      <c r="F746" s="327"/>
      <c r="G746" s="327"/>
      <c r="H746" s="327"/>
      <c r="I746" s="327"/>
      <c r="J746" s="327"/>
      <c r="K746" s="327"/>
      <c r="L746" s="327"/>
      <c r="M746" s="327"/>
      <c r="N746" s="327"/>
      <c r="O746" s="327"/>
      <c r="P746" s="327"/>
    </row>
    <row r="747" ht="15.75" customHeight="1">
      <c r="B747" s="327"/>
      <c r="C747" s="327"/>
      <c r="D747" s="327"/>
      <c r="E747" s="327"/>
      <c r="F747" s="327"/>
      <c r="G747" s="327"/>
      <c r="H747" s="327"/>
      <c r="I747" s="327"/>
      <c r="J747" s="327"/>
      <c r="K747" s="327"/>
      <c r="L747" s="327"/>
      <c r="M747" s="327"/>
      <c r="N747" s="327"/>
      <c r="O747" s="327"/>
      <c r="P747" s="327"/>
    </row>
    <row r="748" ht="15.75" customHeight="1">
      <c r="B748" s="327"/>
      <c r="C748" s="327"/>
      <c r="D748" s="327"/>
      <c r="E748" s="327"/>
      <c r="F748" s="327"/>
      <c r="G748" s="327"/>
      <c r="H748" s="327"/>
      <c r="I748" s="327"/>
      <c r="J748" s="327"/>
      <c r="K748" s="327"/>
      <c r="L748" s="327"/>
      <c r="M748" s="327"/>
      <c r="N748" s="327"/>
      <c r="O748" s="327"/>
      <c r="P748" s="327"/>
    </row>
    <row r="749" ht="15.75" customHeight="1">
      <c r="B749" s="327"/>
      <c r="C749" s="327"/>
      <c r="D749" s="327"/>
      <c r="E749" s="327"/>
      <c r="F749" s="327"/>
      <c r="G749" s="327"/>
      <c r="H749" s="327"/>
      <c r="I749" s="327"/>
      <c r="J749" s="327"/>
      <c r="K749" s="327"/>
      <c r="L749" s="327"/>
      <c r="M749" s="327"/>
      <c r="N749" s="327"/>
      <c r="O749" s="327"/>
      <c r="P749" s="327"/>
    </row>
    <row r="750" ht="15.75" customHeight="1">
      <c r="B750" s="327"/>
      <c r="C750" s="327"/>
      <c r="D750" s="327"/>
      <c r="E750" s="327"/>
      <c r="F750" s="327"/>
      <c r="G750" s="327"/>
      <c r="H750" s="327"/>
      <c r="I750" s="327"/>
      <c r="J750" s="327"/>
      <c r="K750" s="327"/>
      <c r="L750" s="327"/>
      <c r="M750" s="327"/>
      <c r="N750" s="327"/>
      <c r="O750" s="327"/>
      <c r="P750" s="327"/>
    </row>
    <row r="751" ht="15.75" customHeight="1">
      <c r="B751" s="327"/>
      <c r="C751" s="327"/>
      <c r="D751" s="327"/>
      <c r="E751" s="327"/>
      <c r="F751" s="327"/>
      <c r="G751" s="327"/>
      <c r="H751" s="327"/>
      <c r="I751" s="327"/>
      <c r="J751" s="327"/>
      <c r="K751" s="327"/>
      <c r="L751" s="327"/>
      <c r="M751" s="327"/>
      <c r="N751" s="327"/>
      <c r="O751" s="327"/>
      <c r="P751" s="327"/>
    </row>
    <row r="752" ht="15.75" customHeight="1">
      <c r="B752" s="327"/>
      <c r="C752" s="327"/>
      <c r="D752" s="327"/>
      <c r="E752" s="327"/>
      <c r="F752" s="327"/>
      <c r="G752" s="327"/>
      <c r="H752" s="327"/>
      <c r="I752" s="327"/>
      <c r="J752" s="327"/>
      <c r="K752" s="327"/>
      <c r="L752" s="327"/>
      <c r="M752" s="327"/>
      <c r="N752" s="327"/>
      <c r="O752" s="327"/>
      <c r="P752" s="327"/>
    </row>
    <row r="753" ht="15.75" customHeight="1">
      <c r="B753" s="327"/>
      <c r="C753" s="327"/>
      <c r="D753" s="327"/>
      <c r="E753" s="327"/>
      <c r="F753" s="327"/>
      <c r="G753" s="327"/>
      <c r="H753" s="327"/>
      <c r="I753" s="327"/>
      <c r="J753" s="327"/>
      <c r="K753" s="327"/>
      <c r="L753" s="327"/>
      <c r="M753" s="327"/>
      <c r="N753" s="327"/>
      <c r="O753" s="327"/>
      <c r="P753" s="327"/>
    </row>
    <row r="754" ht="15.75" customHeight="1">
      <c r="B754" s="327"/>
      <c r="C754" s="327"/>
      <c r="D754" s="327"/>
      <c r="E754" s="327"/>
      <c r="F754" s="327"/>
      <c r="G754" s="327"/>
      <c r="H754" s="327"/>
      <c r="I754" s="327"/>
      <c r="J754" s="327"/>
      <c r="K754" s="327"/>
      <c r="L754" s="327"/>
      <c r="M754" s="327"/>
      <c r="N754" s="327"/>
      <c r="O754" s="327"/>
      <c r="P754" s="327"/>
    </row>
    <row r="755" ht="15.75" customHeight="1">
      <c r="B755" s="327"/>
      <c r="C755" s="327"/>
      <c r="D755" s="327"/>
      <c r="E755" s="327"/>
      <c r="F755" s="327"/>
      <c r="G755" s="327"/>
      <c r="H755" s="327"/>
      <c r="I755" s="327"/>
      <c r="J755" s="327"/>
      <c r="K755" s="327"/>
      <c r="L755" s="327"/>
      <c r="M755" s="327"/>
      <c r="N755" s="327"/>
      <c r="O755" s="327"/>
      <c r="P755" s="327"/>
    </row>
    <row r="756" ht="15.75" customHeight="1">
      <c r="B756" s="327"/>
      <c r="C756" s="327"/>
      <c r="D756" s="327"/>
      <c r="E756" s="327"/>
      <c r="F756" s="327"/>
      <c r="G756" s="327"/>
      <c r="H756" s="327"/>
      <c r="I756" s="327"/>
      <c r="J756" s="327"/>
      <c r="K756" s="327"/>
      <c r="L756" s="327"/>
      <c r="M756" s="327"/>
      <c r="N756" s="327"/>
      <c r="O756" s="327"/>
      <c r="P756" s="327"/>
    </row>
    <row r="757" ht="15.75" customHeight="1">
      <c r="B757" s="327"/>
      <c r="C757" s="327"/>
      <c r="D757" s="327"/>
      <c r="E757" s="327"/>
      <c r="F757" s="327"/>
      <c r="G757" s="327"/>
      <c r="H757" s="327"/>
      <c r="I757" s="327"/>
      <c r="J757" s="327"/>
      <c r="K757" s="327"/>
      <c r="L757" s="327"/>
      <c r="M757" s="327"/>
      <c r="N757" s="327"/>
      <c r="O757" s="327"/>
      <c r="P757" s="327"/>
    </row>
    <row r="758" ht="15.75" customHeight="1">
      <c r="B758" s="327"/>
      <c r="C758" s="327"/>
      <c r="D758" s="327"/>
      <c r="E758" s="327"/>
      <c r="F758" s="327"/>
      <c r="G758" s="327"/>
      <c r="H758" s="327"/>
      <c r="I758" s="327"/>
      <c r="J758" s="327"/>
      <c r="K758" s="327"/>
      <c r="L758" s="327"/>
      <c r="M758" s="327"/>
      <c r="N758" s="327"/>
      <c r="O758" s="327"/>
      <c r="P758" s="327"/>
    </row>
    <row r="759" ht="15.75" customHeight="1">
      <c r="B759" s="327"/>
      <c r="C759" s="327"/>
      <c r="D759" s="327"/>
      <c r="E759" s="327"/>
      <c r="F759" s="327"/>
      <c r="G759" s="327"/>
      <c r="H759" s="327"/>
      <c r="I759" s="327"/>
      <c r="J759" s="327"/>
      <c r="K759" s="327"/>
      <c r="L759" s="327"/>
      <c r="M759" s="327"/>
      <c r="N759" s="327"/>
      <c r="O759" s="327"/>
      <c r="P759" s="327"/>
    </row>
    <row r="760" ht="15.75" customHeight="1">
      <c r="B760" s="327"/>
      <c r="C760" s="327"/>
      <c r="D760" s="327"/>
      <c r="E760" s="327"/>
      <c r="F760" s="327"/>
      <c r="G760" s="327"/>
      <c r="H760" s="327"/>
      <c r="I760" s="327"/>
      <c r="J760" s="327"/>
      <c r="K760" s="327"/>
      <c r="L760" s="327"/>
      <c r="M760" s="327"/>
      <c r="N760" s="327"/>
      <c r="O760" s="327"/>
      <c r="P760" s="327"/>
    </row>
    <row r="761" ht="15.75" customHeight="1">
      <c r="B761" s="327"/>
      <c r="C761" s="327"/>
      <c r="D761" s="327"/>
      <c r="E761" s="327"/>
      <c r="F761" s="327"/>
      <c r="G761" s="327"/>
      <c r="H761" s="327"/>
      <c r="I761" s="327"/>
      <c r="J761" s="327"/>
      <c r="K761" s="327"/>
      <c r="L761" s="327"/>
      <c r="M761" s="327"/>
      <c r="N761" s="327"/>
      <c r="O761" s="327"/>
      <c r="P761" s="327"/>
    </row>
    <row r="762" ht="15.75" customHeight="1">
      <c r="B762" s="327"/>
      <c r="C762" s="327"/>
      <c r="D762" s="327"/>
      <c r="E762" s="327"/>
      <c r="F762" s="327"/>
      <c r="G762" s="327"/>
      <c r="H762" s="327"/>
      <c r="I762" s="327"/>
      <c r="J762" s="327"/>
      <c r="K762" s="327"/>
      <c r="L762" s="327"/>
      <c r="M762" s="327"/>
      <c r="N762" s="327"/>
      <c r="O762" s="327"/>
      <c r="P762" s="327"/>
    </row>
    <row r="763" ht="15.75" customHeight="1">
      <c r="B763" s="327"/>
      <c r="C763" s="327"/>
      <c r="D763" s="327"/>
      <c r="E763" s="327"/>
      <c r="F763" s="327"/>
      <c r="G763" s="327"/>
      <c r="H763" s="327"/>
      <c r="I763" s="327"/>
      <c r="J763" s="327"/>
      <c r="K763" s="327"/>
      <c r="L763" s="327"/>
      <c r="M763" s="327"/>
      <c r="N763" s="327"/>
      <c r="O763" s="327"/>
      <c r="P763" s="327"/>
    </row>
    <row r="764" ht="15.75" customHeight="1">
      <c r="B764" s="327"/>
      <c r="C764" s="327"/>
      <c r="D764" s="327"/>
      <c r="E764" s="327"/>
      <c r="F764" s="327"/>
      <c r="G764" s="327"/>
      <c r="H764" s="327"/>
      <c r="I764" s="327"/>
      <c r="J764" s="327"/>
      <c r="K764" s="327"/>
      <c r="L764" s="327"/>
      <c r="M764" s="327"/>
      <c r="N764" s="327"/>
      <c r="O764" s="327"/>
      <c r="P764" s="327"/>
    </row>
    <row r="765" ht="15.75" customHeight="1">
      <c r="B765" s="327"/>
      <c r="C765" s="327"/>
      <c r="D765" s="327"/>
      <c r="E765" s="327"/>
      <c r="F765" s="327"/>
      <c r="G765" s="327"/>
      <c r="H765" s="327"/>
      <c r="I765" s="327"/>
      <c r="J765" s="327"/>
      <c r="K765" s="327"/>
      <c r="L765" s="327"/>
      <c r="M765" s="327"/>
      <c r="N765" s="327"/>
      <c r="O765" s="327"/>
      <c r="P765" s="327"/>
    </row>
    <row r="766" ht="15.75" customHeight="1">
      <c r="B766" s="327"/>
      <c r="C766" s="327"/>
      <c r="D766" s="327"/>
      <c r="E766" s="327"/>
      <c r="F766" s="327"/>
      <c r="G766" s="327"/>
      <c r="H766" s="327"/>
      <c r="I766" s="327"/>
      <c r="J766" s="327"/>
      <c r="K766" s="327"/>
      <c r="L766" s="327"/>
      <c r="M766" s="327"/>
      <c r="N766" s="327"/>
      <c r="O766" s="327"/>
      <c r="P766" s="327"/>
    </row>
    <row r="767" ht="15.75" customHeight="1">
      <c r="B767" s="327"/>
      <c r="C767" s="327"/>
      <c r="D767" s="327"/>
      <c r="E767" s="327"/>
      <c r="F767" s="327"/>
      <c r="G767" s="327"/>
      <c r="H767" s="327"/>
      <c r="I767" s="327"/>
      <c r="J767" s="327"/>
      <c r="K767" s="327"/>
      <c r="L767" s="327"/>
      <c r="M767" s="327"/>
      <c r="N767" s="327"/>
      <c r="O767" s="327"/>
      <c r="P767" s="327"/>
    </row>
    <row r="768" ht="15.75" customHeight="1">
      <c r="B768" s="327"/>
      <c r="C768" s="327"/>
      <c r="D768" s="327"/>
      <c r="E768" s="327"/>
      <c r="F768" s="327"/>
      <c r="G768" s="327"/>
      <c r="H768" s="327"/>
      <c r="I768" s="327"/>
      <c r="J768" s="327"/>
      <c r="K768" s="327"/>
      <c r="L768" s="327"/>
      <c r="M768" s="327"/>
      <c r="N768" s="327"/>
      <c r="O768" s="327"/>
      <c r="P768" s="327"/>
    </row>
    <row r="769" ht="15.75" customHeight="1">
      <c r="B769" s="327"/>
      <c r="C769" s="327"/>
      <c r="D769" s="327"/>
      <c r="E769" s="327"/>
      <c r="F769" s="327"/>
      <c r="G769" s="327"/>
      <c r="H769" s="327"/>
      <c r="I769" s="327"/>
      <c r="J769" s="327"/>
      <c r="K769" s="327"/>
      <c r="L769" s="327"/>
      <c r="M769" s="327"/>
      <c r="N769" s="327"/>
      <c r="O769" s="327"/>
      <c r="P769" s="327"/>
    </row>
    <row r="770" ht="15.75" customHeight="1">
      <c r="B770" s="327"/>
      <c r="C770" s="327"/>
      <c r="D770" s="327"/>
      <c r="E770" s="327"/>
      <c r="F770" s="327"/>
      <c r="G770" s="327"/>
      <c r="H770" s="327"/>
      <c r="I770" s="327"/>
      <c r="J770" s="327"/>
      <c r="K770" s="327"/>
      <c r="L770" s="327"/>
      <c r="M770" s="327"/>
      <c r="N770" s="327"/>
      <c r="O770" s="327"/>
      <c r="P770" s="327"/>
    </row>
    <row r="771" ht="15.75" customHeight="1">
      <c r="B771" s="327"/>
      <c r="C771" s="327"/>
      <c r="D771" s="327"/>
      <c r="E771" s="327"/>
      <c r="F771" s="327"/>
      <c r="G771" s="327"/>
      <c r="H771" s="327"/>
      <c r="I771" s="327"/>
      <c r="J771" s="327"/>
      <c r="K771" s="327"/>
      <c r="L771" s="327"/>
      <c r="M771" s="327"/>
      <c r="N771" s="327"/>
      <c r="O771" s="327"/>
      <c r="P771" s="327"/>
    </row>
    <row r="772" ht="15.75" customHeight="1">
      <c r="B772" s="327"/>
      <c r="C772" s="327"/>
      <c r="D772" s="327"/>
      <c r="E772" s="327"/>
      <c r="F772" s="327"/>
      <c r="G772" s="327"/>
      <c r="H772" s="327"/>
      <c r="I772" s="327"/>
      <c r="J772" s="327"/>
      <c r="K772" s="327"/>
      <c r="L772" s="327"/>
      <c r="M772" s="327"/>
      <c r="N772" s="327"/>
      <c r="O772" s="327"/>
      <c r="P772" s="327"/>
    </row>
    <row r="773" ht="15.75" customHeight="1">
      <c r="B773" s="327"/>
      <c r="C773" s="327"/>
      <c r="D773" s="327"/>
      <c r="E773" s="327"/>
      <c r="F773" s="327"/>
      <c r="G773" s="327"/>
      <c r="H773" s="327"/>
      <c r="I773" s="327"/>
      <c r="J773" s="327"/>
      <c r="K773" s="327"/>
      <c r="L773" s="327"/>
      <c r="M773" s="327"/>
      <c r="N773" s="327"/>
      <c r="O773" s="327"/>
      <c r="P773" s="327"/>
    </row>
    <row r="774" ht="15.75" customHeight="1">
      <c r="B774" s="327"/>
      <c r="C774" s="327"/>
      <c r="D774" s="327"/>
      <c r="E774" s="327"/>
      <c r="F774" s="327"/>
      <c r="G774" s="327"/>
      <c r="H774" s="327"/>
      <c r="I774" s="327"/>
      <c r="J774" s="327"/>
      <c r="K774" s="327"/>
      <c r="L774" s="327"/>
      <c r="M774" s="327"/>
      <c r="N774" s="327"/>
      <c r="O774" s="327"/>
      <c r="P774" s="327"/>
    </row>
    <row r="775" ht="15.75" customHeight="1">
      <c r="B775" s="327"/>
      <c r="C775" s="327"/>
      <c r="D775" s="327"/>
      <c r="E775" s="327"/>
      <c r="F775" s="327"/>
      <c r="G775" s="327"/>
      <c r="H775" s="327"/>
      <c r="I775" s="327"/>
      <c r="J775" s="327"/>
      <c r="K775" s="327"/>
      <c r="L775" s="327"/>
      <c r="M775" s="327"/>
      <c r="N775" s="327"/>
      <c r="O775" s="327"/>
      <c r="P775" s="327"/>
    </row>
    <row r="776" ht="15.75" customHeight="1">
      <c r="B776" s="327"/>
      <c r="C776" s="327"/>
      <c r="D776" s="327"/>
      <c r="E776" s="327"/>
      <c r="F776" s="327"/>
      <c r="G776" s="327"/>
      <c r="H776" s="327"/>
      <c r="I776" s="327"/>
      <c r="J776" s="327"/>
      <c r="K776" s="327"/>
      <c r="L776" s="327"/>
      <c r="M776" s="327"/>
      <c r="N776" s="327"/>
      <c r="O776" s="327"/>
      <c r="P776" s="327"/>
    </row>
    <row r="777" ht="15.75" customHeight="1">
      <c r="B777" s="327"/>
      <c r="C777" s="327"/>
      <c r="D777" s="327"/>
      <c r="E777" s="327"/>
      <c r="F777" s="327"/>
      <c r="G777" s="327"/>
      <c r="H777" s="327"/>
      <c r="I777" s="327"/>
      <c r="J777" s="327"/>
      <c r="K777" s="327"/>
      <c r="L777" s="327"/>
      <c r="M777" s="327"/>
      <c r="N777" s="327"/>
      <c r="O777" s="327"/>
      <c r="P777" s="327"/>
    </row>
    <row r="778" ht="15.75" customHeight="1">
      <c r="B778" s="327"/>
      <c r="C778" s="327"/>
      <c r="D778" s="327"/>
      <c r="E778" s="327"/>
      <c r="F778" s="327"/>
      <c r="G778" s="327"/>
      <c r="H778" s="327"/>
      <c r="I778" s="327"/>
      <c r="J778" s="327"/>
      <c r="K778" s="327"/>
      <c r="L778" s="327"/>
      <c r="M778" s="327"/>
      <c r="N778" s="327"/>
      <c r="O778" s="327"/>
      <c r="P778" s="327"/>
    </row>
    <row r="779" ht="15.75" customHeight="1">
      <c r="B779" s="327"/>
      <c r="C779" s="327"/>
      <c r="D779" s="327"/>
      <c r="E779" s="327"/>
      <c r="F779" s="327"/>
      <c r="G779" s="327"/>
      <c r="H779" s="327"/>
      <c r="I779" s="327"/>
      <c r="J779" s="327"/>
      <c r="K779" s="327"/>
      <c r="L779" s="327"/>
      <c r="M779" s="327"/>
      <c r="N779" s="327"/>
      <c r="O779" s="327"/>
      <c r="P779" s="327"/>
    </row>
    <row r="780" ht="15.75" customHeight="1">
      <c r="B780" s="327"/>
      <c r="C780" s="327"/>
      <c r="D780" s="327"/>
      <c r="E780" s="327"/>
      <c r="F780" s="327"/>
      <c r="G780" s="327"/>
      <c r="H780" s="327"/>
      <c r="I780" s="327"/>
      <c r="J780" s="327"/>
      <c r="K780" s="327"/>
      <c r="L780" s="327"/>
      <c r="M780" s="327"/>
      <c r="N780" s="327"/>
      <c r="O780" s="327"/>
      <c r="P780" s="327"/>
    </row>
    <row r="781" ht="15.75" customHeight="1">
      <c r="B781" s="327"/>
      <c r="C781" s="327"/>
      <c r="D781" s="327"/>
      <c r="E781" s="327"/>
      <c r="F781" s="327"/>
      <c r="G781" s="327"/>
      <c r="H781" s="327"/>
      <c r="I781" s="327"/>
      <c r="J781" s="327"/>
      <c r="K781" s="327"/>
      <c r="L781" s="327"/>
      <c r="M781" s="327"/>
      <c r="N781" s="327"/>
      <c r="O781" s="327"/>
      <c r="P781" s="327"/>
    </row>
    <row r="782" ht="15.75" customHeight="1">
      <c r="B782" s="327"/>
      <c r="C782" s="327"/>
      <c r="D782" s="327"/>
      <c r="E782" s="327"/>
      <c r="F782" s="327"/>
      <c r="G782" s="327"/>
      <c r="H782" s="327"/>
      <c r="I782" s="327"/>
      <c r="J782" s="327"/>
      <c r="K782" s="327"/>
      <c r="L782" s="327"/>
      <c r="M782" s="327"/>
      <c r="N782" s="327"/>
      <c r="O782" s="327"/>
      <c r="P782" s="327"/>
    </row>
    <row r="783" ht="15.75" customHeight="1">
      <c r="B783" s="327"/>
      <c r="C783" s="327"/>
      <c r="D783" s="327"/>
      <c r="E783" s="327"/>
      <c r="F783" s="327"/>
      <c r="G783" s="327"/>
      <c r="H783" s="327"/>
      <c r="I783" s="327"/>
      <c r="J783" s="327"/>
      <c r="K783" s="327"/>
      <c r="L783" s="327"/>
      <c r="M783" s="327"/>
      <c r="N783" s="327"/>
      <c r="O783" s="327"/>
      <c r="P783" s="327"/>
    </row>
    <row r="784" ht="15.75" customHeight="1">
      <c r="B784" s="327"/>
      <c r="C784" s="327"/>
      <c r="D784" s="327"/>
      <c r="E784" s="327"/>
      <c r="F784" s="327"/>
      <c r="G784" s="327"/>
      <c r="H784" s="327"/>
      <c r="I784" s="327"/>
      <c r="J784" s="327"/>
      <c r="K784" s="327"/>
      <c r="L784" s="327"/>
      <c r="M784" s="327"/>
      <c r="N784" s="327"/>
      <c r="O784" s="327"/>
      <c r="P784" s="327"/>
    </row>
    <row r="785" ht="15.75" customHeight="1">
      <c r="B785" s="327"/>
      <c r="C785" s="327"/>
      <c r="D785" s="327"/>
      <c r="E785" s="327"/>
      <c r="F785" s="327"/>
      <c r="G785" s="327"/>
      <c r="H785" s="327"/>
      <c r="I785" s="327"/>
      <c r="J785" s="327"/>
      <c r="K785" s="327"/>
      <c r="L785" s="327"/>
      <c r="M785" s="327"/>
      <c r="N785" s="327"/>
      <c r="O785" s="327"/>
      <c r="P785" s="327"/>
    </row>
    <row r="786" ht="15.75" customHeight="1">
      <c r="B786" s="327"/>
      <c r="C786" s="327"/>
      <c r="D786" s="327"/>
      <c r="E786" s="327"/>
      <c r="F786" s="327"/>
      <c r="G786" s="327"/>
      <c r="H786" s="327"/>
      <c r="I786" s="327"/>
      <c r="J786" s="327"/>
      <c r="K786" s="327"/>
      <c r="L786" s="327"/>
      <c r="M786" s="327"/>
      <c r="N786" s="327"/>
      <c r="O786" s="327"/>
      <c r="P786" s="327"/>
    </row>
    <row r="787" ht="15.75" customHeight="1">
      <c r="B787" s="327"/>
      <c r="C787" s="327"/>
      <c r="D787" s="327"/>
      <c r="E787" s="327"/>
      <c r="F787" s="327"/>
      <c r="G787" s="327"/>
      <c r="H787" s="327"/>
      <c r="I787" s="327"/>
      <c r="J787" s="327"/>
      <c r="K787" s="327"/>
      <c r="L787" s="327"/>
      <c r="M787" s="327"/>
      <c r="N787" s="327"/>
      <c r="O787" s="327"/>
      <c r="P787" s="327"/>
    </row>
    <row r="788" ht="15.75" customHeight="1">
      <c r="B788" s="327"/>
      <c r="C788" s="327"/>
      <c r="D788" s="327"/>
      <c r="E788" s="327"/>
      <c r="F788" s="327"/>
      <c r="G788" s="327"/>
      <c r="H788" s="327"/>
      <c r="I788" s="327"/>
      <c r="J788" s="327"/>
      <c r="K788" s="327"/>
      <c r="L788" s="327"/>
      <c r="M788" s="327"/>
      <c r="N788" s="327"/>
      <c r="O788" s="327"/>
      <c r="P788" s="327"/>
    </row>
    <row r="789" ht="15.75" customHeight="1">
      <c r="B789" s="327"/>
      <c r="C789" s="327"/>
      <c r="D789" s="327"/>
      <c r="E789" s="327"/>
      <c r="F789" s="327"/>
      <c r="G789" s="327"/>
      <c r="H789" s="327"/>
      <c r="I789" s="327"/>
      <c r="J789" s="327"/>
      <c r="K789" s="327"/>
      <c r="L789" s="327"/>
      <c r="M789" s="327"/>
      <c r="N789" s="327"/>
      <c r="O789" s="327"/>
      <c r="P789" s="327"/>
    </row>
    <row r="790" ht="15.75" customHeight="1">
      <c r="B790" s="327"/>
      <c r="C790" s="327"/>
      <c r="D790" s="327"/>
      <c r="E790" s="327"/>
      <c r="F790" s="327"/>
      <c r="G790" s="327"/>
      <c r="H790" s="327"/>
      <c r="I790" s="327"/>
      <c r="J790" s="327"/>
      <c r="K790" s="327"/>
      <c r="L790" s="327"/>
      <c r="M790" s="327"/>
      <c r="N790" s="327"/>
      <c r="O790" s="327"/>
      <c r="P790" s="327"/>
    </row>
    <row r="791" ht="15.75" customHeight="1">
      <c r="B791" s="327"/>
      <c r="C791" s="327"/>
      <c r="D791" s="327"/>
      <c r="E791" s="327"/>
      <c r="F791" s="327"/>
      <c r="G791" s="327"/>
      <c r="H791" s="327"/>
      <c r="I791" s="327"/>
      <c r="J791" s="327"/>
      <c r="K791" s="327"/>
      <c r="L791" s="327"/>
      <c r="M791" s="327"/>
      <c r="N791" s="327"/>
      <c r="O791" s="327"/>
      <c r="P791" s="327"/>
    </row>
    <row r="792" ht="15.75" customHeight="1">
      <c r="B792" s="327"/>
      <c r="C792" s="327"/>
      <c r="D792" s="327"/>
      <c r="E792" s="327"/>
      <c r="F792" s="327"/>
      <c r="G792" s="327"/>
      <c r="H792" s="327"/>
      <c r="I792" s="327"/>
      <c r="J792" s="327"/>
      <c r="K792" s="327"/>
      <c r="L792" s="327"/>
      <c r="M792" s="327"/>
      <c r="N792" s="327"/>
      <c r="O792" s="327"/>
      <c r="P792" s="327"/>
    </row>
    <row r="793" ht="15.75" customHeight="1">
      <c r="B793" s="327"/>
      <c r="C793" s="327"/>
      <c r="D793" s="327"/>
      <c r="E793" s="327"/>
      <c r="F793" s="327"/>
      <c r="G793" s="327"/>
      <c r="H793" s="327"/>
      <c r="I793" s="327"/>
      <c r="J793" s="327"/>
      <c r="K793" s="327"/>
      <c r="L793" s="327"/>
      <c r="M793" s="327"/>
      <c r="N793" s="327"/>
      <c r="O793" s="327"/>
      <c r="P793" s="327"/>
    </row>
    <row r="794" ht="15.75" customHeight="1">
      <c r="B794" s="327"/>
      <c r="C794" s="327"/>
      <c r="D794" s="327"/>
      <c r="E794" s="327"/>
      <c r="F794" s="327"/>
      <c r="G794" s="327"/>
      <c r="H794" s="327"/>
      <c r="I794" s="327"/>
      <c r="J794" s="327"/>
      <c r="K794" s="327"/>
      <c r="L794" s="327"/>
      <c r="M794" s="327"/>
      <c r="N794" s="327"/>
      <c r="O794" s="327"/>
      <c r="P794" s="327"/>
    </row>
    <row r="795" ht="15.75" customHeight="1">
      <c r="B795" s="327"/>
      <c r="C795" s="327"/>
      <c r="D795" s="327"/>
      <c r="E795" s="327"/>
      <c r="F795" s="327"/>
      <c r="G795" s="327"/>
      <c r="H795" s="327"/>
      <c r="I795" s="327"/>
      <c r="J795" s="327"/>
      <c r="K795" s="327"/>
      <c r="L795" s="327"/>
      <c r="M795" s="327"/>
      <c r="N795" s="327"/>
      <c r="O795" s="327"/>
      <c r="P795" s="327"/>
    </row>
    <row r="796" ht="15.75" customHeight="1">
      <c r="B796" s="327"/>
      <c r="C796" s="327"/>
      <c r="D796" s="327"/>
      <c r="E796" s="327"/>
      <c r="F796" s="327"/>
      <c r="G796" s="327"/>
      <c r="H796" s="327"/>
      <c r="I796" s="327"/>
      <c r="J796" s="327"/>
      <c r="K796" s="327"/>
      <c r="L796" s="327"/>
      <c r="M796" s="327"/>
      <c r="N796" s="327"/>
      <c r="O796" s="327"/>
      <c r="P796" s="327"/>
    </row>
    <row r="797" ht="15.75" customHeight="1">
      <c r="B797" s="327"/>
      <c r="C797" s="327"/>
      <c r="D797" s="327"/>
      <c r="E797" s="327"/>
      <c r="F797" s="327"/>
      <c r="G797" s="327"/>
      <c r="H797" s="327"/>
      <c r="I797" s="327"/>
      <c r="J797" s="327"/>
      <c r="K797" s="327"/>
      <c r="L797" s="327"/>
      <c r="M797" s="327"/>
      <c r="N797" s="327"/>
      <c r="O797" s="327"/>
      <c r="P797" s="327"/>
    </row>
    <row r="798" ht="15.75" customHeight="1">
      <c r="B798" s="327"/>
      <c r="C798" s="327"/>
      <c r="D798" s="327"/>
      <c r="E798" s="327"/>
      <c r="F798" s="327"/>
      <c r="G798" s="327"/>
      <c r="H798" s="327"/>
      <c r="I798" s="327"/>
      <c r="J798" s="327"/>
      <c r="K798" s="327"/>
      <c r="L798" s="327"/>
      <c r="M798" s="327"/>
      <c r="N798" s="327"/>
      <c r="O798" s="327"/>
      <c r="P798" s="327"/>
    </row>
    <row r="799" ht="15.75" customHeight="1">
      <c r="B799" s="327"/>
      <c r="C799" s="327"/>
      <c r="D799" s="327"/>
      <c r="E799" s="327"/>
      <c r="F799" s="327"/>
      <c r="G799" s="327"/>
      <c r="H799" s="327"/>
      <c r="I799" s="327"/>
      <c r="J799" s="327"/>
      <c r="K799" s="327"/>
      <c r="L799" s="327"/>
      <c r="M799" s="327"/>
      <c r="N799" s="327"/>
      <c r="O799" s="327"/>
      <c r="P799" s="327"/>
    </row>
    <row r="800" ht="15.75" customHeight="1">
      <c r="B800" s="327"/>
      <c r="C800" s="327"/>
      <c r="D800" s="327"/>
      <c r="E800" s="327"/>
      <c r="F800" s="327"/>
      <c r="G800" s="327"/>
      <c r="H800" s="327"/>
      <c r="I800" s="327"/>
      <c r="J800" s="327"/>
      <c r="K800" s="327"/>
      <c r="L800" s="327"/>
      <c r="M800" s="327"/>
      <c r="N800" s="327"/>
      <c r="O800" s="327"/>
      <c r="P800" s="327"/>
    </row>
    <row r="801" ht="15.75" customHeight="1">
      <c r="B801" s="327"/>
      <c r="C801" s="327"/>
      <c r="D801" s="327"/>
      <c r="E801" s="327"/>
      <c r="F801" s="327"/>
      <c r="G801" s="327"/>
      <c r="H801" s="327"/>
      <c r="I801" s="327"/>
      <c r="J801" s="327"/>
      <c r="K801" s="327"/>
      <c r="L801" s="327"/>
      <c r="M801" s="327"/>
      <c r="N801" s="327"/>
      <c r="O801" s="327"/>
      <c r="P801" s="327"/>
    </row>
    <row r="802" ht="15.75" customHeight="1">
      <c r="B802" s="327"/>
      <c r="C802" s="327"/>
      <c r="D802" s="327"/>
      <c r="E802" s="327"/>
      <c r="F802" s="327"/>
      <c r="G802" s="327"/>
      <c r="H802" s="327"/>
      <c r="I802" s="327"/>
      <c r="J802" s="327"/>
      <c r="K802" s="327"/>
      <c r="L802" s="327"/>
      <c r="M802" s="327"/>
      <c r="N802" s="327"/>
      <c r="O802" s="327"/>
      <c r="P802" s="327"/>
    </row>
    <row r="803" ht="15.75" customHeight="1">
      <c r="B803" s="327"/>
      <c r="C803" s="327"/>
      <c r="D803" s="327"/>
      <c r="E803" s="327"/>
      <c r="F803" s="327"/>
      <c r="G803" s="327"/>
      <c r="H803" s="327"/>
      <c r="I803" s="327"/>
      <c r="J803" s="327"/>
      <c r="K803" s="327"/>
      <c r="L803" s="327"/>
      <c r="M803" s="327"/>
      <c r="N803" s="327"/>
      <c r="O803" s="327"/>
      <c r="P803" s="327"/>
    </row>
    <row r="804" ht="15.75" customHeight="1">
      <c r="B804" s="327"/>
      <c r="C804" s="327"/>
      <c r="D804" s="327"/>
      <c r="E804" s="327"/>
      <c r="F804" s="327"/>
      <c r="G804" s="327"/>
      <c r="H804" s="327"/>
      <c r="I804" s="327"/>
      <c r="J804" s="327"/>
      <c r="K804" s="327"/>
      <c r="L804" s="327"/>
      <c r="M804" s="327"/>
      <c r="N804" s="327"/>
      <c r="O804" s="327"/>
      <c r="P804" s="327"/>
    </row>
    <row r="805" ht="15.75" customHeight="1">
      <c r="B805" s="327"/>
      <c r="C805" s="327"/>
      <c r="D805" s="327"/>
      <c r="E805" s="327"/>
      <c r="F805" s="327"/>
      <c r="G805" s="327"/>
      <c r="H805" s="327"/>
      <c r="I805" s="327"/>
      <c r="J805" s="327"/>
      <c r="K805" s="327"/>
      <c r="L805" s="327"/>
      <c r="M805" s="327"/>
      <c r="N805" s="327"/>
      <c r="O805" s="327"/>
      <c r="P805" s="327"/>
    </row>
    <row r="806" ht="15.75" customHeight="1">
      <c r="B806" s="327"/>
      <c r="C806" s="327"/>
      <c r="D806" s="327"/>
      <c r="E806" s="327"/>
      <c r="F806" s="327"/>
      <c r="G806" s="327"/>
      <c r="H806" s="327"/>
      <c r="I806" s="327"/>
      <c r="J806" s="327"/>
      <c r="K806" s="327"/>
      <c r="L806" s="327"/>
      <c r="M806" s="327"/>
      <c r="N806" s="327"/>
      <c r="O806" s="327"/>
      <c r="P806" s="327"/>
    </row>
    <row r="807" ht="15.75" customHeight="1">
      <c r="B807" s="327"/>
      <c r="C807" s="327"/>
      <c r="D807" s="327"/>
      <c r="E807" s="327"/>
      <c r="F807" s="327"/>
      <c r="G807" s="327"/>
      <c r="H807" s="327"/>
      <c r="I807" s="327"/>
      <c r="J807" s="327"/>
      <c r="K807" s="327"/>
      <c r="L807" s="327"/>
      <c r="M807" s="327"/>
      <c r="N807" s="327"/>
      <c r="O807" s="327"/>
      <c r="P807" s="327"/>
    </row>
    <row r="808" ht="15.75" customHeight="1">
      <c r="B808" s="327"/>
      <c r="C808" s="327"/>
      <c r="D808" s="327"/>
      <c r="E808" s="327"/>
      <c r="F808" s="327"/>
      <c r="G808" s="327"/>
      <c r="H808" s="327"/>
      <c r="I808" s="327"/>
      <c r="J808" s="327"/>
      <c r="K808" s="327"/>
      <c r="L808" s="327"/>
      <c r="M808" s="327"/>
      <c r="N808" s="327"/>
      <c r="O808" s="327"/>
      <c r="P808" s="327"/>
    </row>
    <row r="809" ht="15.75" customHeight="1">
      <c r="B809" s="327"/>
      <c r="C809" s="327"/>
      <c r="D809" s="327"/>
      <c r="E809" s="327"/>
      <c r="F809" s="327"/>
      <c r="G809" s="327"/>
      <c r="H809" s="327"/>
      <c r="I809" s="327"/>
      <c r="J809" s="327"/>
      <c r="K809" s="327"/>
      <c r="L809" s="327"/>
      <c r="M809" s="327"/>
      <c r="N809" s="327"/>
      <c r="O809" s="327"/>
      <c r="P809" s="327"/>
    </row>
    <row r="810" ht="15.75" customHeight="1">
      <c r="B810" s="327"/>
      <c r="C810" s="327"/>
      <c r="D810" s="327"/>
      <c r="E810" s="327"/>
      <c r="F810" s="327"/>
      <c r="G810" s="327"/>
      <c r="H810" s="327"/>
      <c r="I810" s="327"/>
      <c r="J810" s="327"/>
      <c r="K810" s="327"/>
      <c r="L810" s="327"/>
      <c r="M810" s="327"/>
      <c r="N810" s="327"/>
      <c r="O810" s="327"/>
      <c r="P810" s="327"/>
    </row>
    <row r="811" ht="15.75" customHeight="1">
      <c r="B811" s="327"/>
      <c r="C811" s="327"/>
      <c r="D811" s="327"/>
      <c r="E811" s="327"/>
      <c r="F811" s="327"/>
      <c r="G811" s="327"/>
      <c r="H811" s="327"/>
      <c r="I811" s="327"/>
      <c r="J811" s="327"/>
      <c r="K811" s="327"/>
      <c r="L811" s="327"/>
      <c r="M811" s="327"/>
      <c r="N811" s="327"/>
      <c r="O811" s="327"/>
      <c r="P811" s="327"/>
    </row>
    <row r="812" ht="15.75" customHeight="1">
      <c r="B812" s="327"/>
      <c r="C812" s="327"/>
      <c r="D812" s="327"/>
      <c r="E812" s="327"/>
      <c r="F812" s="327"/>
      <c r="G812" s="327"/>
      <c r="H812" s="327"/>
      <c r="I812" s="327"/>
      <c r="J812" s="327"/>
      <c r="K812" s="327"/>
      <c r="L812" s="327"/>
      <c r="M812" s="327"/>
      <c r="N812" s="327"/>
      <c r="O812" s="327"/>
      <c r="P812" s="327"/>
    </row>
    <row r="813" ht="15.75" customHeight="1">
      <c r="B813" s="327"/>
      <c r="C813" s="327"/>
      <c r="D813" s="327"/>
      <c r="E813" s="327"/>
      <c r="F813" s="327"/>
      <c r="G813" s="327"/>
      <c r="H813" s="327"/>
      <c r="I813" s="327"/>
      <c r="J813" s="327"/>
      <c r="K813" s="327"/>
      <c r="L813" s="327"/>
      <c r="M813" s="327"/>
      <c r="N813" s="327"/>
      <c r="O813" s="327"/>
      <c r="P813" s="327"/>
    </row>
    <row r="814" ht="15.75" customHeight="1">
      <c r="B814" s="327"/>
      <c r="C814" s="327"/>
      <c r="D814" s="327"/>
      <c r="E814" s="327"/>
      <c r="F814" s="327"/>
      <c r="G814" s="327"/>
      <c r="H814" s="327"/>
      <c r="I814" s="327"/>
      <c r="J814" s="327"/>
      <c r="K814" s="327"/>
      <c r="L814" s="327"/>
      <c r="M814" s="327"/>
      <c r="N814" s="327"/>
      <c r="O814" s="327"/>
      <c r="P814" s="327"/>
    </row>
    <row r="815" ht="15.75" customHeight="1">
      <c r="B815" s="327"/>
      <c r="C815" s="327"/>
      <c r="D815" s="327"/>
      <c r="E815" s="327"/>
      <c r="F815" s="327"/>
      <c r="G815" s="327"/>
      <c r="H815" s="327"/>
      <c r="I815" s="327"/>
      <c r="J815" s="327"/>
      <c r="K815" s="327"/>
      <c r="L815" s="327"/>
      <c r="M815" s="327"/>
      <c r="N815" s="327"/>
      <c r="O815" s="327"/>
      <c r="P815" s="327"/>
    </row>
    <row r="816" ht="15.75" customHeight="1">
      <c r="B816" s="327"/>
      <c r="C816" s="327"/>
      <c r="D816" s="327"/>
      <c r="E816" s="327"/>
      <c r="F816" s="327"/>
      <c r="G816" s="327"/>
      <c r="H816" s="327"/>
      <c r="I816" s="327"/>
      <c r="J816" s="327"/>
      <c r="K816" s="327"/>
      <c r="L816" s="327"/>
      <c r="M816" s="327"/>
      <c r="N816" s="327"/>
      <c r="O816" s="327"/>
      <c r="P816" s="327"/>
    </row>
    <row r="817" ht="15.75" customHeight="1">
      <c r="B817" s="327"/>
      <c r="C817" s="327"/>
      <c r="D817" s="327"/>
      <c r="E817" s="327"/>
      <c r="F817" s="327"/>
      <c r="G817" s="327"/>
      <c r="H817" s="327"/>
      <c r="I817" s="327"/>
      <c r="J817" s="327"/>
      <c r="K817" s="327"/>
      <c r="L817" s="327"/>
      <c r="M817" s="327"/>
      <c r="N817" s="327"/>
      <c r="O817" s="327"/>
      <c r="P817" s="327"/>
    </row>
    <row r="818" ht="15.75" customHeight="1">
      <c r="B818" s="327"/>
      <c r="C818" s="327"/>
      <c r="D818" s="327"/>
      <c r="E818" s="327"/>
      <c r="F818" s="327"/>
      <c r="G818" s="327"/>
      <c r="H818" s="327"/>
      <c r="I818" s="327"/>
      <c r="J818" s="327"/>
      <c r="K818" s="327"/>
      <c r="L818" s="327"/>
      <c r="M818" s="327"/>
      <c r="N818" s="327"/>
      <c r="O818" s="327"/>
      <c r="P818" s="327"/>
    </row>
    <row r="819" ht="15.75" customHeight="1">
      <c r="B819" s="327"/>
      <c r="C819" s="327"/>
      <c r="D819" s="327"/>
      <c r="E819" s="327"/>
      <c r="F819" s="327"/>
      <c r="G819" s="327"/>
      <c r="H819" s="327"/>
      <c r="I819" s="327"/>
      <c r="J819" s="327"/>
      <c r="K819" s="327"/>
      <c r="L819" s="327"/>
      <c r="M819" s="327"/>
      <c r="N819" s="327"/>
      <c r="O819" s="327"/>
      <c r="P819" s="327"/>
    </row>
    <row r="820" ht="15.75" customHeight="1">
      <c r="B820" s="327"/>
      <c r="C820" s="327"/>
      <c r="D820" s="327"/>
      <c r="E820" s="327"/>
      <c r="F820" s="327"/>
      <c r="G820" s="327"/>
      <c r="H820" s="327"/>
      <c r="I820" s="327"/>
      <c r="J820" s="327"/>
      <c r="K820" s="327"/>
      <c r="L820" s="327"/>
      <c r="M820" s="327"/>
      <c r="N820" s="327"/>
      <c r="O820" s="327"/>
      <c r="P820" s="327"/>
    </row>
    <row r="821" ht="15.75" customHeight="1">
      <c r="B821" s="327"/>
      <c r="C821" s="327"/>
      <c r="D821" s="327"/>
      <c r="E821" s="327"/>
      <c r="F821" s="327"/>
      <c r="G821" s="327"/>
      <c r="H821" s="327"/>
      <c r="I821" s="327"/>
      <c r="J821" s="327"/>
      <c r="K821" s="327"/>
      <c r="L821" s="327"/>
      <c r="M821" s="327"/>
      <c r="N821" s="327"/>
      <c r="O821" s="327"/>
      <c r="P821" s="327"/>
    </row>
    <row r="822" ht="15.75" customHeight="1">
      <c r="B822" s="327"/>
      <c r="C822" s="327"/>
      <c r="D822" s="327"/>
      <c r="E822" s="327"/>
      <c r="F822" s="327"/>
      <c r="G822" s="327"/>
      <c r="H822" s="327"/>
      <c r="I822" s="327"/>
      <c r="J822" s="327"/>
      <c r="K822" s="327"/>
      <c r="L822" s="327"/>
      <c r="M822" s="327"/>
      <c r="N822" s="327"/>
      <c r="O822" s="327"/>
      <c r="P822" s="327"/>
    </row>
    <row r="823" ht="15.75" customHeight="1">
      <c r="B823" s="327"/>
      <c r="C823" s="327"/>
      <c r="D823" s="327"/>
      <c r="E823" s="327"/>
      <c r="F823" s="327"/>
      <c r="G823" s="327"/>
      <c r="H823" s="327"/>
      <c r="I823" s="327"/>
      <c r="J823" s="327"/>
      <c r="K823" s="327"/>
      <c r="L823" s="327"/>
      <c r="M823" s="327"/>
      <c r="N823" s="327"/>
      <c r="O823" s="327"/>
      <c r="P823" s="327"/>
    </row>
    <row r="824" ht="15.75" customHeight="1">
      <c r="B824" s="327"/>
      <c r="C824" s="327"/>
      <c r="D824" s="327"/>
      <c r="E824" s="327"/>
      <c r="F824" s="327"/>
      <c r="G824" s="327"/>
      <c r="H824" s="327"/>
      <c r="I824" s="327"/>
      <c r="J824" s="327"/>
      <c r="K824" s="327"/>
      <c r="L824" s="327"/>
      <c r="M824" s="327"/>
      <c r="N824" s="327"/>
      <c r="O824" s="327"/>
      <c r="P824" s="327"/>
    </row>
    <row r="825" ht="15.75" customHeight="1">
      <c r="B825" s="327"/>
      <c r="C825" s="327"/>
      <c r="D825" s="327"/>
      <c r="E825" s="327"/>
      <c r="F825" s="327"/>
      <c r="G825" s="327"/>
      <c r="H825" s="327"/>
      <c r="I825" s="327"/>
      <c r="J825" s="327"/>
      <c r="K825" s="327"/>
      <c r="L825" s="327"/>
      <c r="M825" s="327"/>
      <c r="N825" s="327"/>
      <c r="O825" s="327"/>
      <c r="P825" s="327"/>
    </row>
    <row r="826" ht="15.75" customHeight="1">
      <c r="B826" s="327"/>
      <c r="C826" s="327"/>
      <c r="D826" s="327"/>
      <c r="E826" s="327"/>
      <c r="F826" s="327"/>
      <c r="G826" s="327"/>
      <c r="H826" s="327"/>
      <c r="I826" s="327"/>
      <c r="J826" s="327"/>
      <c r="K826" s="327"/>
      <c r="L826" s="327"/>
      <c r="M826" s="327"/>
      <c r="N826" s="327"/>
      <c r="O826" s="327"/>
      <c r="P826" s="327"/>
    </row>
    <row r="827" ht="15.75" customHeight="1">
      <c r="B827" s="327"/>
      <c r="C827" s="327"/>
      <c r="D827" s="327"/>
      <c r="E827" s="327"/>
      <c r="F827" s="327"/>
      <c r="G827" s="327"/>
      <c r="H827" s="327"/>
      <c r="I827" s="327"/>
      <c r="J827" s="327"/>
      <c r="K827" s="327"/>
      <c r="L827" s="327"/>
      <c r="M827" s="327"/>
      <c r="N827" s="327"/>
      <c r="O827" s="327"/>
      <c r="P827" s="327"/>
    </row>
    <row r="828" ht="15.75" customHeight="1">
      <c r="B828" s="327"/>
      <c r="C828" s="327"/>
      <c r="D828" s="327"/>
      <c r="E828" s="327"/>
      <c r="F828" s="327"/>
      <c r="G828" s="327"/>
      <c r="H828" s="327"/>
      <c r="I828" s="327"/>
      <c r="J828" s="327"/>
      <c r="K828" s="327"/>
      <c r="L828" s="327"/>
      <c r="M828" s="327"/>
      <c r="N828" s="327"/>
      <c r="O828" s="327"/>
      <c r="P828" s="327"/>
    </row>
    <row r="829" ht="15.75" customHeight="1">
      <c r="B829" s="327"/>
      <c r="C829" s="327"/>
      <c r="D829" s="327"/>
      <c r="E829" s="327"/>
      <c r="F829" s="327"/>
      <c r="G829" s="327"/>
      <c r="H829" s="327"/>
      <c r="I829" s="327"/>
      <c r="J829" s="327"/>
      <c r="K829" s="327"/>
      <c r="L829" s="327"/>
      <c r="M829" s="327"/>
      <c r="N829" s="327"/>
      <c r="O829" s="327"/>
      <c r="P829" s="327"/>
    </row>
    <row r="830" ht="15.75" customHeight="1">
      <c r="B830" s="327"/>
      <c r="C830" s="327"/>
      <c r="D830" s="327"/>
      <c r="E830" s="327"/>
      <c r="F830" s="327"/>
      <c r="G830" s="327"/>
      <c r="H830" s="327"/>
      <c r="I830" s="327"/>
      <c r="J830" s="327"/>
      <c r="K830" s="327"/>
      <c r="L830" s="327"/>
      <c r="M830" s="327"/>
      <c r="N830" s="327"/>
      <c r="O830" s="327"/>
      <c r="P830" s="327"/>
    </row>
    <row r="831" ht="15.75" customHeight="1">
      <c r="B831" s="327"/>
      <c r="C831" s="327"/>
      <c r="D831" s="327"/>
      <c r="E831" s="327"/>
      <c r="F831" s="327"/>
      <c r="G831" s="327"/>
      <c r="H831" s="327"/>
      <c r="I831" s="327"/>
      <c r="J831" s="327"/>
      <c r="K831" s="327"/>
      <c r="L831" s="327"/>
      <c r="M831" s="327"/>
      <c r="N831" s="327"/>
      <c r="O831" s="327"/>
      <c r="P831" s="327"/>
    </row>
    <row r="832" ht="15.75" customHeight="1">
      <c r="B832" s="327"/>
      <c r="C832" s="327"/>
      <c r="D832" s="327"/>
      <c r="E832" s="327"/>
      <c r="F832" s="327"/>
      <c r="G832" s="327"/>
      <c r="H832" s="327"/>
      <c r="I832" s="327"/>
      <c r="J832" s="327"/>
      <c r="K832" s="327"/>
      <c r="L832" s="327"/>
      <c r="M832" s="327"/>
      <c r="N832" s="327"/>
      <c r="O832" s="327"/>
      <c r="P832" s="327"/>
    </row>
    <row r="833" ht="15.75" customHeight="1">
      <c r="B833" s="327"/>
      <c r="C833" s="327"/>
      <c r="D833" s="327"/>
      <c r="E833" s="327"/>
      <c r="F833" s="327"/>
      <c r="G833" s="327"/>
      <c r="H833" s="327"/>
      <c r="I833" s="327"/>
      <c r="J833" s="327"/>
      <c r="K833" s="327"/>
      <c r="L833" s="327"/>
      <c r="M833" s="327"/>
      <c r="N833" s="327"/>
      <c r="O833" s="327"/>
      <c r="P833" s="327"/>
    </row>
    <row r="834" ht="15.75" customHeight="1">
      <c r="B834" s="327"/>
      <c r="C834" s="327"/>
      <c r="D834" s="327"/>
      <c r="E834" s="327"/>
      <c r="F834" s="327"/>
      <c r="G834" s="327"/>
      <c r="H834" s="327"/>
      <c r="I834" s="327"/>
      <c r="J834" s="327"/>
      <c r="K834" s="327"/>
      <c r="L834" s="327"/>
      <c r="M834" s="327"/>
      <c r="N834" s="327"/>
      <c r="O834" s="327"/>
      <c r="P834" s="327"/>
    </row>
    <row r="835" ht="15.75" customHeight="1">
      <c r="B835" s="327"/>
      <c r="C835" s="327"/>
      <c r="D835" s="327"/>
      <c r="E835" s="327"/>
      <c r="F835" s="327"/>
      <c r="G835" s="327"/>
      <c r="H835" s="327"/>
      <c r="I835" s="327"/>
      <c r="J835" s="327"/>
      <c r="K835" s="327"/>
      <c r="L835" s="327"/>
      <c r="M835" s="327"/>
      <c r="N835" s="327"/>
      <c r="O835" s="327"/>
      <c r="P835" s="327"/>
    </row>
    <row r="836" ht="15.75" customHeight="1">
      <c r="B836" s="327"/>
      <c r="C836" s="327"/>
      <c r="D836" s="327"/>
      <c r="E836" s="327"/>
      <c r="F836" s="327"/>
      <c r="G836" s="327"/>
      <c r="H836" s="327"/>
      <c r="I836" s="327"/>
      <c r="J836" s="327"/>
      <c r="K836" s="327"/>
      <c r="L836" s="327"/>
      <c r="M836" s="327"/>
      <c r="N836" s="327"/>
      <c r="O836" s="327"/>
      <c r="P836" s="327"/>
    </row>
    <row r="837" ht="15.75" customHeight="1">
      <c r="B837" s="327"/>
      <c r="C837" s="327"/>
      <c r="D837" s="327"/>
      <c r="E837" s="327"/>
      <c r="F837" s="327"/>
      <c r="G837" s="327"/>
      <c r="H837" s="327"/>
      <c r="I837" s="327"/>
      <c r="J837" s="327"/>
      <c r="K837" s="327"/>
      <c r="L837" s="327"/>
      <c r="M837" s="327"/>
      <c r="N837" s="327"/>
      <c r="O837" s="327"/>
      <c r="P837" s="327"/>
    </row>
    <row r="838" ht="15.75" customHeight="1">
      <c r="B838" s="327"/>
      <c r="C838" s="327"/>
      <c r="D838" s="327"/>
      <c r="E838" s="327"/>
      <c r="F838" s="327"/>
      <c r="G838" s="327"/>
      <c r="H838" s="327"/>
      <c r="I838" s="327"/>
      <c r="J838" s="327"/>
      <c r="K838" s="327"/>
      <c r="L838" s="327"/>
      <c r="M838" s="327"/>
      <c r="N838" s="327"/>
      <c r="O838" s="327"/>
      <c r="P838" s="327"/>
    </row>
    <row r="839" ht="15.75" customHeight="1">
      <c r="B839" s="327"/>
      <c r="C839" s="327"/>
      <c r="D839" s="327"/>
      <c r="E839" s="327"/>
      <c r="F839" s="327"/>
      <c r="G839" s="327"/>
      <c r="H839" s="327"/>
      <c r="I839" s="327"/>
      <c r="J839" s="327"/>
      <c r="K839" s="327"/>
      <c r="L839" s="327"/>
      <c r="M839" s="327"/>
      <c r="N839" s="327"/>
      <c r="O839" s="327"/>
      <c r="P839" s="327"/>
    </row>
    <row r="840" ht="15.75" customHeight="1">
      <c r="B840" s="327"/>
      <c r="C840" s="327"/>
      <c r="D840" s="327"/>
      <c r="E840" s="327"/>
      <c r="F840" s="327"/>
      <c r="G840" s="327"/>
      <c r="H840" s="327"/>
      <c r="I840" s="327"/>
      <c r="J840" s="327"/>
      <c r="K840" s="327"/>
      <c r="L840" s="327"/>
      <c r="M840" s="327"/>
      <c r="N840" s="327"/>
      <c r="O840" s="327"/>
      <c r="P840" s="327"/>
    </row>
    <row r="841" ht="15.75" customHeight="1">
      <c r="B841" s="327"/>
      <c r="C841" s="327"/>
      <c r="D841" s="327"/>
      <c r="E841" s="327"/>
      <c r="F841" s="327"/>
      <c r="G841" s="327"/>
      <c r="H841" s="327"/>
      <c r="I841" s="327"/>
      <c r="J841" s="327"/>
      <c r="K841" s="327"/>
      <c r="L841" s="327"/>
      <c r="M841" s="327"/>
      <c r="N841" s="327"/>
      <c r="O841" s="327"/>
      <c r="P841" s="327"/>
    </row>
    <row r="842" ht="15.75" customHeight="1">
      <c r="B842" s="327"/>
      <c r="C842" s="327"/>
      <c r="D842" s="327"/>
      <c r="E842" s="327"/>
      <c r="F842" s="327"/>
      <c r="G842" s="327"/>
      <c r="H842" s="327"/>
      <c r="I842" s="327"/>
      <c r="J842" s="327"/>
      <c r="K842" s="327"/>
      <c r="L842" s="327"/>
      <c r="M842" s="327"/>
      <c r="N842" s="327"/>
      <c r="O842" s="327"/>
      <c r="P842" s="327"/>
    </row>
    <row r="843" ht="15.75" customHeight="1">
      <c r="B843" s="327"/>
      <c r="C843" s="327"/>
      <c r="D843" s="327"/>
      <c r="E843" s="327"/>
      <c r="F843" s="327"/>
      <c r="G843" s="327"/>
      <c r="H843" s="327"/>
      <c r="I843" s="327"/>
      <c r="J843" s="327"/>
      <c r="K843" s="327"/>
      <c r="L843" s="327"/>
      <c r="M843" s="327"/>
      <c r="N843" s="327"/>
      <c r="O843" s="327"/>
      <c r="P843" s="327"/>
    </row>
    <row r="844" ht="15.75" customHeight="1">
      <c r="B844" s="327"/>
      <c r="C844" s="327"/>
      <c r="D844" s="327"/>
      <c r="E844" s="327"/>
      <c r="F844" s="327"/>
      <c r="G844" s="327"/>
      <c r="H844" s="327"/>
      <c r="I844" s="327"/>
      <c r="J844" s="327"/>
      <c r="K844" s="327"/>
      <c r="L844" s="327"/>
      <c r="M844" s="327"/>
      <c r="N844" s="327"/>
      <c r="O844" s="327"/>
      <c r="P844" s="327"/>
    </row>
    <row r="845" ht="15.75" customHeight="1">
      <c r="B845" s="327"/>
      <c r="C845" s="327"/>
      <c r="D845" s="327"/>
      <c r="E845" s="327"/>
      <c r="F845" s="327"/>
      <c r="G845" s="327"/>
      <c r="H845" s="327"/>
      <c r="I845" s="327"/>
      <c r="J845" s="327"/>
      <c r="K845" s="327"/>
      <c r="L845" s="327"/>
      <c r="M845" s="327"/>
      <c r="N845" s="327"/>
      <c r="O845" s="327"/>
      <c r="P845" s="327"/>
    </row>
    <row r="846" ht="15.75" customHeight="1">
      <c r="B846" s="327"/>
      <c r="C846" s="327"/>
      <c r="D846" s="327"/>
      <c r="E846" s="327"/>
      <c r="F846" s="327"/>
      <c r="G846" s="327"/>
      <c r="H846" s="327"/>
      <c r="I846" s="327"/>
      <c r="J846" s="327"/>
      <c r="K846" s="327"/>
      <c r="L846" s="327"/>
      <c r="M846" s="327"/>
      <c r="N846" s="327"/>
      <c r="O846" s="327"/>
      <c r="P846" s="327"/>
    </row>
    <row r="847" ht="15.75" customHeight="1">
      <c r="B847" s="327"/>
      <c r="C847" s="327"/>
      <c r="D847" s="327"/>
      <c r="E847" s="327"/>
      <c r="F847" s="327"/>
      <c r="G847" s="327"/>
      <c r="H847" s="327"/>
      <c r="I847" s="327"/>
      <c r="J847" s="327"/>
      <c r="K847" s="327"/>
      <c r="L847" s="327"/>
      <c r="M847" s="327"/>
      <c r="N847" s="327"/>
      <c r="O847" s="327"/>
      <c r="P847" s="327"/>
    </row>
    <row r="848" ht="15.75" customHeight="1">
      <c r="B848" s="327"/>
      <c r="C848" s="327"/>
      <c r="D848" s="327"/>
      <c r="E848" s="327"/>
      <c r="F848" s="327"/>
      <c r="G848" s="327"/>
      <c r="H848" s="327"/>
      <c r="I848" s="327"/>
      <c r="J848" s="327"/>
      <c r="K848" s="327"/>
      <c r="L848" s="327"/>
      <c r="M848" s="327"/>
      <c r="N848" s="327"/>
      <c r="O848" s="327"/>
      <c r="P848" s="327"/>
    </row>
    <row r="849" ht="15.75" customHeight="1">
      <c r="B849" s="327"/>
      <c r="C849" s="327"/>
      <c r="D849" s="327"/>
      <c r="E849" s="327"/>
      <c r="F849" s="327"/>
      <c r="G849" s="327"/>
      <c r="H849" s="327"/>
      <c r="I849" s="327"/>
      <c r="J849" s="327"/>
      <c r="K849" s="327"/>
      <c r="L849" s="327"/>
      <c r="M849" s="327"/>
      <c r="N849" s="327"/>
      <c r="O849" s="327"/>
      <c r="P849" s="327"/>
    </row>
    <row r="850" ht="15.75" customHeight="1">
      <c r="B850" s="327"/>
      <c r="C850" s="327"/>
      <c r="D850" s="327"/>
      <c r="E850" s="327"/>
      <c r="F850" s="327"/>
      <c r="G850" s="327"/>
      <c r="H850" s="327"/>
      <c r="I850" s="327"/>
      <c r="J850" s="327"/>
      <c r="K850" s="327"/>
      <c r="L850" s="327"/>
      <c r="M850" s="327"/>
      <c r="N850" s="327"/>
      <c r="O850" s="327"/>
      <c r="P850" s="327"/>
    </row>
    <row r="851" ht="15.75" customHeight="1">
      <c r="B851" s="327"/>
      <c r="C851" s="327"/>
      <c r="D851" s="327"/>
      <c r="E851" s="327"/>
      <c r="F851" s="327"/>
      <c r="G851" s="327"/>
      <c r="H851" s="327"/>
      <c r="I851" s="327"/>
      <c r="J851" s="327"/>
      <c r="K851" s="327"/>
      <c r="L851" s="327"/>
      <c r="M851" s="327"/>
      <c r="N851" s="327"/>
      <c r="O851" s="327"/>
      <c r="P851" s="327"/>
    </row>
    <row r="852" ht="15.75" customHeight="1">
      <c r="B852" s="327"/>
      <c r="C852" s="327"/>
      <c r="D852" s="327"/>
      <c r="E852" s="327"/>
      <c r="F852" s="327"/>
      <c r="G852" s="327"/>
      <c r="H852" s="327"/>
      <c r="I852" s="327"/>
      <c r="J852" s="327"/>
      <c r="K852" s="327"/>
      <c r="L852" s="327"/>
      <c r="M852" s="327"/>
      <c r="N852" s="327"/>
      <c r="O852" s="327"/>
      <c r="P852" s="327"/>
    </row>
    <row r="853" ht="15.75" customHeight="1">
      <c r="B853" s="327"/>
      <c r="C853" s="327"/>
      <c r="D853" s="327"/>
      <c r="E853" s="327"/>
      <c r="F853" s="327"/>
      <c r="G853" s="327"/>
      <c r="H853" s="327"/>
      <c r="I853" s="327"/>
      <c r="J853" s="327"/>
      <c r="K853" s="327"/>
      <c r="L853" s="327"/>
      <c r="M853" s="327"/>
      <c r="N853" s="327"/>
      <c r="O853" s="327"/>
      <c r="P853" s="327"/>
    </row>
    <row r="854" ht="15.75" customHeight="1">
      <c r="B854" s="327"/>
      <c r="C854" s="327"/>
      <c r="D854" s="327"/>
      <c r="E854" s="327"/>
      <c r="F854" s="327"/>
      <c r="G854" s="327"/>
      <c r="H854" s="327"/>
      <c r="I854" s="327"/>
      <c r="J854" s="327"/>
      <c r="K854" s="327"/>
      <c r="L854" s="327"/>
      <c r="M854" s="327"/>
      <c r="N854" s="327"/>
      <c r="O854" s="327"/>
      <c r="P854" s="327"/>
    </row>
    <row r="855" ht="15.75" customHeight="1">
      <c r="B855" s="327"/>
      <c r="C855" s="327"/>
      <c r="D855" s="327"/>
      <c r="E855" s="327"/>
      <c r="F855" s="327"/>
      <c r="G855" s="327"/>
      <c r="H855" s="327"/>
      <c r="I855" s="327"/>
      <c r="J855" s="327"/>
      <c r="K855" s="327"/>
      <c r="L855" s="327"/>
      <c r="M855" s="327"/>
      <c r="N855" s="327"/>
      <c r="O855" s="327"/>
      <c r="P855" s="327"/>
    </row>
    <row r="856" ht="15.75" customHeight="1">
      <c r="B856" s="327"/>
      <c r="C856" s="327"/>
      <c r="D856" s="327"/>
      <c r="E856" s="327"/>
      <c r="F856" s="327"/>
      <c r="G856" s="327"/>
      <c r="H856" s="327"/>
      <c r="I856" s="327"/>
      <c r="J856" s="327"/>
      <c r="K856" s="327"/>
      <c r="L856" s="327"/>
      <c r="M856" s="327"/>
      <c r="N856" s="327"/>
      <c r="O856" s="327"/>
      <c r="P856" s="327"/>
    </row>
    <row r="857" ht="15.75" customHeight="1">
      <c r="B857" s="327"/>
      <c r="C857" s="327"/>
      <c r="D857" s="327"/>
      <c r="E857" s="327"/>
      <c r="F857" s="327"/>
      <c r="G857" s="327"/>
      <c r="H857" s="327"/>
      <c r="I857" s="327"/>
      <c r="J857" s="327"/>
      <c r="K857" s="327"/>
      <c r="L857" s="327"/>
      <c r="M857" s="327"/>
      <c r="N857" s="327"/>
      <c r="O857" s="327"/>
      <c r="P857" s="327"/>
    </row>
    <row r="858" ht="15.75" customHeight="1">
      <c r="B858" s="327"/>
      <c r="C858" s="327"/>
      <c r="D858" s="327"/>
      <c r="E858" s="327"/>
      <c r="F858" s="327"/>
      <c r="G858" s="327"/>
      <c r="H858" s="327"/>
      <c r="I858" s="327"/>
      <c r="J858" s="327"/>
      <c r="K858" s="327"/>
      <c r="L858" s="327"/>
      <c r="M858" s="327"/>
      <c r="N858" s="327"/>
      <c r="O858" s="327"/>
      <c r="P858" s="327"/>
    </row>
    <row r="859" ht="15.75" customHeight="1">
      <c r="B859" s="327"/>
      <c r="C859" s="327"/>
      <c r="D859" s="327"/>
      <c r="E859" s="327"/>
      <c r="F859" s="327"/>
      <c r="G859" s="327"/>
      <c r="H859" s="327"/>
      <c r="I859" s="327"/>
      <c r="J859" s="327"/>
      <c r="K859" s="327"/>
      <c r="L859" s="327"/>
      <c r="M859" s="327"/>
      <c r="N859" s="327"/>
      <c r="O859" s="327"/>
      <c r="P859" s="327"/>
    </row>
    <row r="860" ht="15.75" customHeight="1">
      <c r="B860" s="327"/>
      <c r="C860" s="327"/>
      <c r="D860" s="327"/>
      <c r="E860" s="327"/>
      <c r="F860" s="327"/>
      <c r="G860" s="327"/>
      <c r="H860" s="327"/>
      <c r="I860" s="327"/>
      <c r="J860" s="327"/>
      <c r="K860" s="327"/>
      <c r="L860" s="327"/>
      <c r="M860" s="327"/>
      <c r="N860" s="327"/>
      <c r="O860" s="327"/>
      <c r="P860" s="327"/>
    </row>
    <row r="861" ht="15.75" customHeight="1">
      <c r="B861" s="327"/>
      <c r="C861" s="327"/>
      <c r="D861" s="327"/>
      <c r="E861" s="327"/>
      <c r="F861" s="327"/>
      <c r="G861" s="327"/>
      <c r="H861" s="327"/>
      <c r="I861" s="327"/>
      <c r="J861" s="327"/>
      <c r="K861" s="327"/>
      <c r="L861" s="327"/>
      <c r="M861" s="327"/>
      <c r="N861" s="327"/>
      <c r="O861" s="327"/>
      <c r="P861" s="327"/>
    </row>
    <row r="862" ht="15.75" customHeight="1">
      <c r="B862" s="327"/>
      <c r="C862" s="327"/>
      <c r="D862" s="327"/>
      <c r="E862" s="327"/>
      <c r="F862" s="327"/>
      <c r="G862" s="327"/>
      <c r="H862" s="327"/>
      <c r="I862" s="327"/>
      <c r="J862" s="327"/>
      <c r="K862" s="327"/>
      <c r="L862" s="327"/>
      <c r="M862" s="327"/>
      <c r="N862" s="327"/>
      <c r="O862" s="327"/>
      <c r="P862" s="327"/>
    </row>
    <row r="863" ht="15.75" customHeight="1">
      <c r="B863" s="327"/>
      <c r="C863" s="327"/>
      <c r="D863" s="327"/>
      <c r="E863" s="327"/>
      <c r="F863" s="327"/>
      <c r="G863" s="327"/>
      <c r="H863" s="327"/>
      <c r="I863" s="327"/>
      <c r="J863" s="327"/>
      <c r="K863" s="327"/>
      <c r="L863" s="327"/>
      <c r="M863" s="327"/>
      <c r="N863" s="327"/>
      <c r="O863" s="327"/>
      <c r="P863" s="327"/>
    </row>
    <row r="864" ht="15.75" customHeight="1">
      <c r="B864" s="327"/>
      <c r="C864" s="327"/>
      <c r="D864" s="327"/>
      <c r="E864" s="327"/>
      <c r="F864" s="327"/>
      <c r="G864" s="327"/>
      <c r="H864" s="327"/>
      <c r="I864" s="327"/>
      <c r="J864" s="327"/>
      <c r="K864" s="327"/>
      <c r="L864" s="327"/>
      <c r="M864" s="327"/>
      <c r="N864" s="327"/>
      <c r="O864" s="327"/>
      <c r="P864" s="327"/>
    </row>
    <row r="865" ht="15.75" customHeight="1">
      <c r="B865" s="327"/>
      <c r="C865" s="327"/>
      <c r="D865" s="327"/>
      <c r="E865" s="327"/>
      <c r="F865" s="327"/>
      <c r="G865" s="327"/>
      <c r="H865" s="327"/>
      <c r="I865" s="327"/>
      <c r="J865" s="327"/>
      <c r="K865" s="327"/>
      <c r="L865" s="327"/>
      <c r="M865" s="327"/>
      <c r="N865" s="327"/>
      <c r="O865" s="327"/>
      <c r="P865" s="327"/>
    </row>
    <row r="866" ht="15.75" customHeight="1">
      <c r="B866" s="327"/>
      <c r="C866" s="327"/>
      <c r="D866" s="327"/>
      <c r="E866" s="327"/>
      <c r="F866" s="327"/>
      <c r="G866" s="327"/>
      <c r="H866" s="327"/>
      <c r="I866" s="327"/>
      <c r="J866" s="327"/>
      <c r="K866" s="327"/>
      <c r="L866" s="327"/>
      <c r="M866" s="327"/>
      <c r="N866" s="327"/>
      <c r="O866" s="327"/>
      <c r="P866" s="327"/>
    </row>
    <row r="867" ht="15.75" customHeight="1">
      <c r="B867" s="327"/>
      <c r="C867" s="327"/>
      <c r="D867" s="327"/>
      <c r="E867" s="327"/>
      <c r="F867" s="327"/>
      <c r="G867" s="327"/>
      <c r="H867" s="327"/>
      <c r="I867" s="327"/>
      <c r="J867" s="327"/>
      <c r="K867" s="327"/>
      <c r="L867" s="327"/>
      <c r="M867" s="327"/>
      <c r="N867" s="327"/>
      <c r="O867" s="327"/>
      <c r="P867" s="327"/>
    </row>
    <row r="868" ht="15.75" customHeight="1">
      <c r="B868" s="327"/>
      <c r="C868" s="327"/>
      <c r="D868" s="327"/>
      <c r="E868" s="327"/>
      <c r="F868" s="327"/>
      <c r="G868" s="327"/>
      <c r="H868" s="327"/>
      <c r="I868" s="327"/>
      <c r="J868" s="327"/>
      <c r="K868" s="327"/>
      <c r="L868" s="327"/>
      <c r="M868" s="327"/>
      <c r="N868" s="327"/>
      <c r="O868" s="327"/>
      <c r="P868" s="327"/>
    </row>
    <row r="869" ht="15.75" customHeight="1">
      <c r="B869" s="327"/>
      <c r="C869" s="327"/>
      <c r="D869" s="327"/>
      <c r="E869" s="327"/>
      <c r="F869" s="327"/>
      <c r="G869" s="327"/>
      <c r="H869" s="327"/>
      <c r="I869" s="327"/>
      <c r="J869" s="327"/>
      <c r="K869" s="327"/>
      <c r="L869" s="327"/>
      <c r="M869" s="327"/>
      <c r="N869" s="327"/>
      <c r="O869" s="327"/>
      <c r="P869" s="327"/>
    </row>
    <row r="870" ht="15.75" customHeight="1">
      <c r="B870" s="327"/>
      <c r="C870" s="327"/>
      <c r="D870" s="327"/>
      <c r="E870" s="327"/>
      <c r="F870" s="327"/>
      <c r="G870" s="327"/>
      <c r="H870" s="327"/>
      <c r="I870" s="327"/>
      <c r="J870" s="327"/>
      <c r="K870" s="327"/>
      <c r="L870" s="327"/>
      <c r="M870" s="327"/>
      <c r="N870" s="327"/>
      <c r="O870" s="327"/>
      <c r="P870" s="327"/>
    </row>
    <row r="871" ht="15.75" customHeight="1">
      <c r="B871" s="327"/>
      <c r="C871" s="327"/>
      <c r="D871" s="327"/>
      <c r="E871" s="327"/>
      <c r="F871" s="327"/>
      <c r="G871" s="327"/>
      <c r="H871" s="327"/>
      <c r="I871" s="327"/>
      <c r="J871" s="327"/>
      <c r="K871" s="327"/>
      <c r="L871" s="327"/>
      <c r="M871" s="327"/>
      <c r="N871" s="327"/>
      <c r="O871" s="327"/>
      <c r="P871" s="327"/>
    </row>
    <row r="872" ht="15.75" customHeight="1">
      <c r="B872" s="327"/>
      <c r="C872" s="327"/>
      <c r="D872" s="327"/>
      <c r="E872" s="327"/>
      <c r="F872" s="327"/>
      <c r="G872" s="327"/>
      <c r="H872" s="327"/>
      <c r="I872" s="327"/>
      <c r="J872" s="327"/>
      <c r="K872" s="327"/>
      <c r="L872" s="327"/>
      <c r="M872" s="327"/>
      <c r="N872" s="327"/>
      <c r="O872" s="327"/>
      <c r="P872" s="327"/>
    </row>
    <row r="873" ht="15.75" customHeight="1">
      <c r="B873" s="327"/>
      <c r="C873" s="327"/>
      <c r="D873" s="327"/>
      <c r="E873" s="327"/>
      <c r="F873" s="327"/>
      <c r="G873" s="327"/>
      <c r="H873" s="327"/>
      <c r="I873" s="327"/>
      <c r="J873" s="327"/>
      <c r="K873" s="327"/>
      <c r="L873" s="327"/>
      <c r="M873" s="327"/>
      <c r="N873" s="327"/>
      <c r="O873" s="327"/>
      <c r="P873" s="327"/>
    </row>
    <row r="874" ht="15.75" customHeight="1">
      <c r="B874" s="327"/>
      <c r="C874" s="327"/>
      <c r="D874" s="327"/>
      <c r="E874" s="327"/>
      <c r="F874" s="327"/>
      <c r="G874" s="327"/>
      <c r="H874" s="327"/>
      <c r="I874" s="327"/>
      <c r="J874" s="327"/>
      <c r="K874" s="327"/>
      <c r="L874" s="327"/>
      <c r="M874" s="327"/>
      <c r="N874" s="327"/>
      <c r="O874" s="327"/>
      <c r="P874" s="327"/>
    </row>
    <row r="875" ht="15.75" customHeight="1">
      <c r="B875" s="327"/>
      <c r="C875" s="327"/>
      <c r="D875" s="327"/>
      <c r="E875" s="327"/>
      <c r="F875" s="327"/>
      <c r="G875" s="327"/>
      <c r="H875" s="327"/>
      <c r="I875" s="327"/>
      <c r="J875" s="327"/>
      <c r="K875" s="327"/>
      <c r="L875" s="327"/>
      <c r="M875" s="327"/>
      <c r="N875" s="327"/>
      <c r="O875" s="327"/>
      <c r="P875" s="327"/>
    </row>
    <row r="876" ht="15.75" customHeight="1">
      <c r="B876" s="327"/>
      <c r="C876" s="327"/>
      <c r="D876" s="327"/>
      <c r="E876" s="327"/>
      <c r="F876" s="327"/>
      <c r="G876" s="327"/>
      <c r="H876" s="327"/>
      <c r="I876" s="327"/>
      <c r="J876" s="327"/>
      <c r="K876" s="327"/>
      <c r="L876" s="327"/>
      <c r="M876" s="327"/>
      <c r="N876" s="327"/>
      <c r="O876" s="327"/>
      <c r="P876" s="327"/>
    </row>
    <row r="877" ht="15.75" customHeight="1">
      <c r="B877" s="327"/>
      <c r="C877" s="327"/>
      <c r="D877" s="327"/>
      <c r="E877" s="327"/>
      <c r="F877" s="327"/>
      <c r="G877" s="327"/>
      <c r="H877" s="327"/>
      <c r="I877" s="327"/>
      <c r="J877" s="327"/>
      <c r="K877" s="327"/>
      <c r="L877" s="327"/>
      <c r="M877" s="327"/>
      <c r="N877" s="327"/>
      <c r="O877" s="327"/>
      <c r="P877" s="327"/>
    </row>
    <row r="878" ht="15.75" customHeight="1">
      <c r="B878" s="327"/>
      <c r="C878" s="327"/>
      <c r="D878" s="327"/>
      <c r="E878" s="327"/>
      <c r="F878" s="327"/>
      <c r="G878" s="327"/>
      <c r="H878" s="327"/>
      <c r="I878" s="327"/>
      <c r="J878" s="327"/>
      <c r="K878" s="327"/>
      <c r="L878" s="327"/>
      <c r="M878" s="327"/>
      <c r="N878" s="327"/>
      <c r="O878" s="327"/>
      <c r="P878" s="327"/>
    </row>
    <row r="879" ht="15.75" customHeight="1">
      <c r="B879" s="327"/>
      <c r="C879" s="327"/>
      <c r="D879" s="327"/>
      <c r="E879" s="327"/>
      <c r="F879" s="327"/>
      <c r="G879" s="327"/>
      <c r="H879" s="327"/>
      <c r="I879" s="327"/>
      <c r="J879" s="327"/>
      <c r="K879" s="327"/>
      <c r="L879" s="327"/>
      <c r="M879" s="327"/>
      <c r="N879" s="327"/>
      <c r="O879" s="327"/>
      <c r="P879" s="327"/>
    </row>
    <row r="880" ht="15.75" customHeight="1">
      <c r="B880" s="327"/>
      <c r="C880" s="327"/>
      <c r="D880" s="327"/>
      <c r="E880" s="327"/>
      <c r="F880" s="327"/>
      <c r="G880" s="327"/>
      <c r="H880" s="327"/>
      <c r="I880" s="327"/>
      <c r="J880" s="327"/>
      <c r="K880" s="327"/>
      <c r="L880" s="327"/>
      <c r="M880" s="327"/>
      <c r="N880" s="327"/>
      <c r="O880" s="327"/>
      <c r="P880" s="327"/>
    </row>
    <row r="881" ht="15.75" customHeight="1">
      <c r="B881" s="327"/>
      <c r="C881" s="327"/>
      <c r="D881" s="327"/>
      <c r="E881" s="327"/>
      <c r="F881" s="327"/>
      <c r="G881" s="327"/>
      <c r="H881" s="327"/>
      <c r="I881" s="327"/>
      <c r="J881" s="327"/>
      <c r="K881" s="327"/>
      <c r="L881" s="327"/>
      <c r="M881" s="327"/>
      <c r="N881" s="327"/>
      <c r="O881" s="327"/>
      <c r="P881" s="327"/>
    </row>
    <row r="882" ht="15.75" customHeight="1">
      <c r="B882" s="327"/>
      <c r="C882" s="327"/>
      <c r="D882" s="327"/>
      <c r="E882" s="327"/>
      <c r="F882" s="327"/>
      <c r="G882" s="327"/>
      <c r="H882" s="327"/>
      <c r="I882" s="327"/>
      <c r="J882" s="327"/>
      <c r="K882" s="327"/>
      <c r="L882" s="327"/>
      <c r="M882" s="327"/>
      <c r="N882" s="327"/>
      <c r="O882" s="327"/>
      <c r="P882" s="327"/>
    </row>
    <row r="883" ht="15.75" customHeight="1">
      <c r="B883" s="327"/>
      <c r="C883" s="327"/>
      <c r="D883" s="327"/>
      <c r="E883" s="327"/>
      <c r="F883" s="327"/>
      <c r="G883" s="327"/>
      <c r="H883" s="327"/>
      <c r="I883" s="327"/>
      <c r="J883" s="327"/>
      <c r="K883" s="327"/>
      <c r="L883" s="327"/>
      <c r="M883" s="327"/>
      <c r="N883" s="327"/>
      <c r="O883" s="327"/>
      <c r="P883" s="327"/>
    </row>
    <row r="884" ht="15.75" customHeight="1">
      <c r="B884" s="327"/>
      <c r="C884" s="327"/>
      <c r="D884" s="327"/>
      <c r="E884" s="327"/>
      <c r="F884" s="327"/>
      <c r="G884" s="327"/>
      <c r="H884" s="327"/>
      <c r="I884" s="327"/>
      <c r="J884" s="327"/>
      <c r="K884" s="327"/>
      <c r="L884" s="327"/>
      <c r="M884" s="327"/>
      <c r="N884" s="327"/>
      <c r="O884" s="327"/>
      <c r="P884" s="327"/>
    </row>
    <row r="885" ht="15.75" customHeight="1">
      <c r="B885" s="327"/>
      <c r="C885" s="327"/>
      <c r="D885" s="327"/>
      <c r="E885" s="327"/>
      <c r="F885" s="327"/>
      <c r="G885" s="327"/>
      <c r="H885" s="327"/>
      <c r="I885" s="327"/>
      <c r="J885" s="327"/>
      <c r="K885" s="327"/>
      <c r="L885" s="327"/>
      <c r="M885" s="327"/>
      <c r="N885" s="327"/>
      <c r="O885" s="327"/>
      <c r="P885" s="327"/>
    </row>
    <row r="886" ht="15.75" customHeight="1">
      <c r="B886" s="327"/>
      <c r="C886" s="327"/>
      <c r="D886" s="327"/>
      <c r="E886" s="327"/>
      <c r="F886" s="327"/>
      <c r="G886" s="327"/>
      <c r="H886" s="327"/>
      <c r="I886" s="327"/>
      <c r="J886" s="327"/>
      <c r="K886" s="327"/>
      <c r="L886" s="327"/>
      <c r="M886" s="327"/>
      <c r="N886" s="327"/>
      <c r="O886" s="327"/>
      <c r="P886" s="327"/>
    </row>
    <row r="887" ht="15.75" customHeight="1">
      <c r="B887" s="327"/>
      <c r="C887" s="327"/>
      <c r="D887" s="327"/>
      <c r="E887" s="327"/>
      <c r="F887" s="327"/>
      <c r="G887" s="327"/>
      <c r="H887" s="327"/>
      <c r="I887" s="327"/>
      <c r="J887" s="327"/>
      <c r="K887" s="327"/>
      <c r="L887" s="327"/>
      <c r="M887" s="327"/>
      <c r="N887" s="327"/>
      <c r="O887" s="327"/>
      <c r="P887" s="327"/>
    </row>
    <row r="888" ht="15.75" customHeight="1">
      <c r="B888" s="327"/>
      <c r="C888" s="327"/>
      <c r="D888" s="327"/>
      <c r="E888" s="327"/>
      <c r="F888" s="327"/>
      <c r="G888" s="327"/>
      <c r="H888" s="327"/>
      <c r="I888" s="327"/>
      <c r="J888" s="327"/>
      <c r="K888" s="327"/>
      <c r="L888" s="327"/>
      <c r="M888" s="327"/>
      <c r="N888" s="327"/>
      <c r="O888" s="327"/>
      <c r="P888" s="327"/>
    </row>
    <row r="889" ht="15.75" customHeight="1">
      <c r="B889" s="327"/>
      <c r="C889" s="327"/>
      <c r="D889" s="327"/>
      <c r="E889" s="327"/>
      <c r="F889" s="327"/>
      <c r="G889" s="327"/>
      <c r="H889" s="327"/>
      <c r="I889" s="327"/>
      <c r="J889" s="327"/>
      <c r="K889" s="327"/>
      <c r="L889" s="327"/>
      <c r="M889" s="327"/>
      <c r="N889" s="327"/>
      <c r="O889" s="327"/>
      <c r="P889" s="327"/>
    </row>
    <row r="890" ht="15.75" customHeight="1">
      <c r="B890" s="327"/>
      <c r="C890" s="327"/>
      <c r="D890" s="327"/>
      <c r="E890" s="327"/>
      <c r="F890" s="327"/>
      <c r="G890" s="327"/>
      <c r="H890" s="327"/>
      <c r="I890" s="327"/>
      <c r="J890" s="327"/>
      <c r="K890" s="327"/>
      <c r="L890" s="327"/>
      <c r="M890" s="327"/>
      <c r="N890" s="327"/>
      <c r="O890" s="327"/>
      <c r="P890" s="327"/>
    </row>
    <row r="891" ht="15.75" customHeight="1">
      <c r="B891" s="327"/>
      <c r="C891" s="327"/>
      <c r="D891" s="327"/>
      <c r="E891" s="327"/>
      <c r="F891" s="327"/>
      <c r="G891" s="327"/>
      <c r="H891" s="327"/>
      <c r="I891" s="327"/>
      <c r="J891" s="327"/>
      <c r="K891" s="327"/>
      <c r="L891" s="327"/>
      <c r="M891" s="327"/>
      <c r="N891" s="327"/>
      <c r="O891" s="327"/>
      <c r="P891" s="327"/>
    </row>
    <row r="892" ht="15.75" customHeight="1">
      <c r="B892" s="327"/>
      <c r="C892" s="327"/>
      <c r="D892" s="327"/>
      <c r="E892" s="327"/>
      <c r="F892" s="327"/>
      <c r="G892" s="327"/>
      <c r="H892" s="327"/>
      <c r="I892" s="327"/>
      <c r="J892" s="327"/>
      <c r="K892" s="327"/>
      <c r="L892" s="327"/>
      <c r="M892" s="327"/>
      <c r="N892" s="327"/>
      <c r="O892" s="327"/>
      <c r="P892" s="327"/>
    </row>
    <row r="893" ht="15.75" customHeight="1">
      <c r="B893" s="327"/>
      <c r="C893" s="327"/>
      <c r="D893" s="327"/>
      <c r="E893" s="327"/>
      <c r="F893" s="327"/>
      <c r="G893" s="327"/>
      <c r="H893" s="327"/>
      <c r="I893" s="327"/>
      <c r="J893" s="327"/>
      <c r="K893" s="327"/>
      <c r="L893" s="327"/>
      <c r="M893" s="327"/>
      <c r="N893" s="327"/>
      <c r="O893" s="327"/>
      <c r="P893" s="327"/>
    </row>
    <row r="894" ht="15.75" customHeight="1">
      <c r="B894" s="327"/>
      <c r="C894" s="327"/>
      <c r="D894" s="327"/>
      <c r="E894" s="327"/>
      <c r="F894" s="327"/>
      <c r="G894" s="327"/>
      <c r="H894" s="327"/>
      <c r="I894" s="327"/>
      <c r="J894" s="327"/>
      <c r="K894" s="327"/>
      <c r="L894" s="327"/>
      <c r="M894" s="327"/>
      <c r="N894" s="327"/>
      <c r="O894" s="327"/>
      <c r="P894" s="327"/>
    </row>
    <row r="895" ht="15.75" customHeight="1">
      <c r="B895" s="327"/>
      <c r="C895" s="327"/>
      <c r="D895" s="327"/>
      <c r="E895" s="327"/>
      <c r="F895" s="327"/>
      <c r="G895" s="327"/>
      <c r="H895" s="327"/>
      <c r="I895" s="327"/>
      <c r="J895" s="327"/>
      <c r="K895" s="327"/>
      <c r="L895" s="327"/>
      <c r="M895" s="327"/>
      <c r="N895" s="327"/>
      <c r="O895" s="327"/>
      <c r="P895" s="327"/>
    </row>
    <row r="896" ht="15.75" customHeight="1">
      <c r="B896" s="327"/>
      <c r="C896" s="327"/>
      <c r="D896" s="327"/>
      <c r="E896" s="327"/>
      <c r="F896" s="327"/>
      <c r="G896" s="327"/>
      <c r="H896" s="327"/>
      <c r="I896" s="327"/>
      <c r="J896" s="327"/>
      <c r="K896" s="327"/>
      <c r="L896" s="327"/>
      <c r="M896" s="327"/>
      <c r="N896" s="327"/>
      <c r="O896" s="327"/>
      <c r="P896" s="327"/>
    </row>
    <row r="897" ht="15.75" customHeight="1">
      <c r="B897" s="327"/>
      <c r="C897" s="327"/>
      <c r="D897" s="327"/>
      <c r="E897" s="327"/>
      <c r="F897" s="327"/>
      <c r="G897" s="327"/>
      <c r="H897" s="327"/>
      <c r="I897" s="327"/>
      <c r="J897" s="327"/>
      <c r="K897" s="327"/>
      <c r="L897" s="327"/>
      <c r="M897" s="327"/>
      <c r="N897" s="327"/>
      <c r="O897" s="327"/>
      <c r="P897" s="327"/>
    </row>
    <row r="898" ht="15.75" customHeight="1">
      <c r="B898" s="327"/>
      <c r="C898" s="327"/>
      <c r="D898" s="327"/>
      <c r="E898" s="327"/>
      <c r="F898" s="327"/>
      <c r="G898" s="327"/>
      <c r="H898" s="327"/>
      <c r="I898" s="327"/>
      <c r="J898" s="327"/>
      <c r="K898" s="327"/>
      <c r="L898" s="327"/>
      <c r="M898" s="327"/>
      <c r="N898" s="327"/>
      <c r="O898" s="327"/>
      <c r="P898" s="327"/>
    </row>
    <row r="899" ht="15.75" customHeight="1">
      <c r="B899" s="327"/>
      <c r="C899" s="327"/>
      <c r="D899" s="327"/>
      <c r="E899" s="327"/>
      <c r="F899" s="327"/>
      <c r="G899" s="327"/>
      <c r="H899" s="327"/>
      <c r="I899" s="327"/>
      <c r="J899" s="327"/>
      <c r="K899" s="327"/>
      <c r="L899" s="327"/>
      <c r="M899" s="327"/>
      <c r="N899" s="327"/>
      <c r="O899" s="327"/>
      <c r="P899" s="327"/>
    </row>
    <row r="900" ht="15.75" customHeight="1">
      <c r="B900" s="327"/>
      <c r="C900" s="327"/>
      <c r="D900" s="327"/>
      <c r="E900" s="327"/>
      <c r="F900" s="327"/>
      <c r="G900" s="327"/>
      <c r="H900" s="327"/>
      <c r="I900" s="327"/>
      <c r="J900" s="327"/>
      <c r="K900" s="327"/>
      <c r="L900" s="327"/>
      <c r="M900" s="327"/>
      <c r="N900" s="327"/>
      <c r="O900" s="327"/>
      <c r="P900" s="327"/>
    </row>
    <row r="901" ht="15.75" customHeight="1">
      <c r="B901" s="327"/>
      <c r="C901" s="327"/>
      <c r="D901" s="327"/>
      <c r="E901" s="327"/>
      <c r="F901" s="327"/>
      <c r="G901" s="327"/>
      <c r="H901" s="327"/>
      <c r="I901" s="327"/>
      <c r="J901" s="327"/>
      <c r="K901" s="327"/>
      <c r="L901" s="327"/>
      <c r="M901" s="327"/>
      <c r="N901" s="327"/>
      <c r="O901" s="327"/>
      <c r="P901" s="327"/>
    </row>
    <row r="902" ht="15.75" customHeight="1">
      <c r="B902" s="327"/>
      <c r="C902" s="327"/>
      <c r="D902" s="327"/>
      <c r="E902" s="327"/>
      <c r="F902" s="327"/>
      <c r="G902" s="327"/>
      <c r="H902" s="327"/>
      <c r="I902" s="327"/>
      <c r="J902" s="327"/>
      <c r="K902" s="327"/>
      <c r="L902" s="327"/>
      <c r="M902" s="327"/>
      <c r="N902" s="327"/>
      <c r="O902" s="327"/>
      <c r="P902" s="327"/>
    </row>
    <row r="903" ht="15.75" customHeight="1">
      <c r="B903" s="327"/>
      <c r="C903" s="327"/>
      <c r="D903" s="327"/>
      <c r="E903" s="327"/>
      <c r="F903" s="327"/>
      <c r="G903" s="327"/>
      <c r="H903" s="327"/>
      <c r="I903" s="327"/>
      <c r="J903" s="327"/>
      <c r="K903" s="327"/>
      <c r="L903" s="327"/>
      <c r="M903" s="327"/>
      <c r="N903" s="327"/>
      <c r="O903" s="327"/>
      <c r="P903" s="327"/>
    </row>
    <row r="904" ht="15.75" customHeight="1">
      <c r="B904" s="327"/>
      <c r="C904" s="327"/>
      <c r="D904" s="327"/>
      <c r="E904" s="327"/>
      <c r="F904" s="327"/>
      <c r="G904" s="327"/>
      <c r="H904" s="327"/>
      <c r="I904" s="327"/>
      <c r="J904" s="327"/>
      <c r="K904" s="327"/>
      <c r="L904" s="327"/>
      <c r="M904" s="327"/>
      <c r="N904" s="327"/>
      <c r="O904" s="327"/>
      <c r="P904" s="327"/>
    </row>
    <row r="905" ht="15.75" customHeight="1">
      <c r="B905" s="327"/>
      <c r="C905" s="327"/>
      <c r="D905" s="327"/>
      <c r="E905" s="327"/>
      <c r="F905" s="327"/>
      <c r="G905" s="327"/>
      <c r="H905" s="327"/>
      <c r="I905" s="327"/>
      <c r="J905" s="327"/>
      <c r="K905" s="327"/>
      <c r="L905" s="327"/>
      <c r="M905" s="327"/>
      <c r="N905" s="327"/>
      <c r="O905" s="327"/>
      <c r="P905" s="327"/>
    </row>
    <row r="906" ht="15.75" customHeight="1">
      <c r="B906" s="327"/>
      <c r="C906" s="327"/>
      <c r="D906" s="327"/>
      <c r="E906" s="327"/>
      <c r="F906" s="327"/>
      <c r="G906" s="327"/>
      <c r="H906" s="327"/>
      <c r="I906" s="327"/>
      <c r="J906" s="327"/>
      <c r="K906" s="327"/>
      <c r="L906" s="327"/>
      <c r="M906" s="327"/>
      <c r="N906" s="327"/>
      <c r="O906" s="327"/>
      <c r="P906" s="327"/>
    </row>
    <row r="907" ht="15.75" customHeight="1">
      <c r="B907" s="327"/>
      <c r="C907" s="327"/>
      <c r="D907" s="327"/>
      <c r="E907" s="327"/>
      <c r="F907" s="327"/>
      <c r="G907" s="327"/>
      <c r="H907" s="327"/>
      <c r="I907" s="327"/>
      <c r="J907" s="327"/>
      <c r="K907" s="327"/>
      <c r="L907" s="327"/>
      <c r="M907" s="327"/>
      <c r="N907" s="327"/>
      <c r="O907" s="327"/>
      <c r="P907" s="327"/>
    </row>
    <row r="908" ht="15.75" customHeight="1">
      <c r="B908" s="327"/>
      <c r="C908" s="327"/>
      <c r="D908" s="327"/>
      <c r="E908" s="327"/>
      <c r="F908" s="327"/>
      <c r="G908" s="327"/>
      <c r="H908" s="327"/>
      <c r="I908" s="327"/>
      <c r="J908" s="327"/>
      <c r="K908" s="327"/>
      <c r="L908" s="327"/>
      <c r="M908" s="327"/>
      <c r="N908" s="327"/>
      <c r="O908" s="327"/>
      <c r="P908" s="327"/>
    </row>
    <row r="909" ht="15.75" customHeight="1">
      <c r="B909" s="327"/>
      <c r="C909" s="327"/>
      <c r="D909" s="327"/>
      <c r="E909" s="327"/>
      <c r="F909" s="327"/>
      <c r="G909" s="327"/>
      <c r="H909" s="327"/>
      <c r="I909" s="327"/>
      <c r="J909" s="327"/>
      <c r="K909" s="327"/>
      <c r="L909" s="327"/>
      <c r="M909" s="327"/>
      <c r="N909" s="327"/>
      <c r="O909" s="327"/>
      <c r="P909" s="327"/>
    </row>
    <row r="910" ht="15.75" customHeight="1">
      <c r="B910" s="327"/>
      <c r="C910" s="327"/>
      <c r="D910" s="327"/>
      <c r="E910" s="327"/>
      <c r="F910" s="327"/>
      <c r="G910" s="327"/>
      <c r="H910" s="327"/>
      <c r="I910" s="327"/>
      <c r="J910" s="327"/>
      <c r="K910" s="327"/>
      <c r="L910" s="327"/>
      <c r="M910" s="327"/>
      <c r="N910" s="327"/>
      <c r="O910" s="327"/>
      <c r="P910" s="327"/>
    </row>
    <row r="911" ht="15.75" customHeight="1">
      <c r="B911" s="327"/>
      <c r="C911" s="327"/>
      <c r="D911" s="327"/>
      <c r="E911" s="327"/>
      <c r="F911" s="327"/>
      <c r="G911" s="327"/>
      <c r="H911" s="327"/>
      <c r="I911" s="327"/>
      <c r="J911" s="327"/>
      <c r="K911" s="327"/>
      <c r="L911" s="327"/>
      <c r="M911" s="327"/>
      <c r="N911" s="327"/>
      <c r="O911" s="327"/>
      <c r="P911" s="327"/>
    </row>
    <row r="912" ht="15.75" customHeight="1">
      <c r="B912" s="327"/>
      <c r="C912" s="327"/>
      <c r="D912" s="327"/>
      <c r="E912" s="327"/>
      <c r="F912" s="327"/>
      <c r="G912" s="327"/>
      <c r="H912" s="327"/>
      <c r="I912" s="327"/>
      <c r="J912" s="327"/>
      <c r="K912" s="327"/>
      <c r="L912" s="327"/>
      <c r="M912" s="327"/>
      <c r="N912" s="327"/>
      <c r="O912" s="327"/>
      <c r="P912" s="327"/>
    </row>
    <row r="913" ht="15.75" customHeight="1">
      <c r="B913" s="327"/>
      <c r="C913" s="327"/>
      <c r="D913" s="327"/>
      <c r="E913" s="327"/>
      <c r="F913" s="327"/>
      <c r="G913" s="327"/>
      <c r="H913" s="327"/>
      <c r="I913" s="327"/>
      <c r="J913" s="327"/>
      <c r="K913" s="327"/>
      <c r="L913" s="327"/>
      <c r="M913" s="327"/>
      <c r="N913" s="327"/>
      <c r="O913" s="327"/>
      <c r="P913" s="327"/>
    </row>
    <row r="914" ht="15.75" customHeight="1">
      <c r="B914" s="327"/>
      <c r="C914" s="327"/>
      <c r="D914" s="327"/>
      <c r="E914" s="327"/>
      <c r="F914" s="327"/>
      <c r="G914" s="327"/>
      <c r="H914" s="327"/>
      <c r="I914" s="327"/>
      <c r="J914" s="327"/>
      <c r="K914" s="327"/>
      <c r="L914" s="327"/>
      <c r="M914" s="327"/>
      <c r="N914" s="327"/>
      <c r="O914" s="327"/>
      <c r="P914" s="327"/>
    </row>
    <row r="915" ht="15.75" customHeight="1">
      <c r="B915" s="327"/>
      <c r="C915" s="327"/>
      <c r="D915" s="327"/>
      <c r="E915" s="327"/>
      <c r="F915" s="327"/>
      <c r="G915" s="327"/>
      <c r="H915" s="327"/>
      <c r="I915" s="327"/>
      <c r="J915" s="327"/>
      <c r="K915" s="327"/>
      <c r="L915" s="327"/>
      <c r="M915" s="327"/>
      <c r="N915" s="327"/>
      <c r="O915" s="327"/>
      <c r="P915" s="327"/>
    </row>
    <row r="916" ht="15.75" customHeight="1">
      <c r="B916" s="327"/>
      <c r="C916" s="327"/>
      <c r="D916" s="327"/>
      <c r="E916" s="327"/>
      <c r="F916" s="327"/>
      <c r="G916" s="327"/>
      <c r="H916" s="327"/>
      <c r="I916" s="327"/>
      <c r="J916" s="327"/>
      <c r="K916" s="327"/>
      <c r="L916" s="327"/>
      <c r="M916" s="327"/>
      <c r="N916" s="327"/>
      <c r="O916" s="327"/>
      <c r="P916" s="327"/>
    </row>
    <row r="917" ht="15.75" customHeight="1">
      <c r="B917" s="327"/>
      <c r="C917" s="327"/>
      <c r="D917" s="327"/>
      <c r="E917" s="327"/>
      <c r="F917" s="327"/>
      <c r="G917" s="327"/>
      <c r="H917" s="327"/>
      <c r="I917" s="327"/>
      <c r="J917" s="327"/>
      <c r="K917" s="327"/>
      <c r="L917" s="327"/>
      <c r="M917" s="327"/>
      <c r="N917" s="327"/>
      <c r="O917" s="327"/>
      <c r="P917" s="327"/>
    </row>
    <row r="918" ht="15.75" customHeight="1">
      <c r="B918" s="327"/>
      <c r="C918" s="327"/>
      <c r="D918" s="327"/>
      <c r="E918" s="327"/>
      <c r="F918" s="327"/>
      <c r="G918" s="327"/>
      <c r="H918" s="327"/>
      <c r="I918" s="327"/>
      <c r="J918" s="327"/>
      <c r="K918" s="327"/>
      <c r="L918" s="327"/>
      <c r="M918" s="327"/>
      <c r="N918" s="327"/>
      <c r="O918" s="327"/>
      <c r="P918" s="327"/>
    </row>
    <row r="919" ht="15.75" customHeight="1">
      <c r="B919" s="327"/>
      <c r="C919" s="327"/>
      <c r="D919" s="327"/>
      <c r="E919" s="327"/>
      <c r="F919" s="327"/>
      <c r="G919" s="327"/>
      <c r="H919" s="327"/>
      <c r="I919" s="327"/>
      <c r="J919" s="327"/>
      <c r="K919" s="327"/>
      <c r="L919" s="327"/>
      <c r="M919" s="327"/>
      <c r="N919" s="327"/>
      <c r="O919" s="327"/>
      <c r="P919" s="327"/>
    </row>
    <row r="920" ht="15.75" customHeight="1">
      <c r="B920" s="327"/>
      <c r="C920" s="327"/>
      <c r="D920" s="327"/>
      <c r="E920" s="327"/>
      <c r="F920" s="327"/>
      <c r="G920" s="327"/>
      <c r="H920" s="327"/>
      <c r="I920" s="327"/>
      <c r="J920" s="327"/>
      <c r="K920" s="327"/>
      <c r="L920" s="327"/>
      <c r="M920" s="327"/>
      <c r="N920" s="327"/>
      <c r="O920" s="327"/>
      <c r="P920" s="327"/>
    </row>
    <row r="921" ht="15.75" customHeight="1">
      <c r="B921" s="327"/>
      <c r="C921" s="327"/>
      <c r="D921" s="327"/>
      <c r="E921" s="327"/>
      <c r="F921" s="327"/>
      <c r="G921" s="327"/>
      <c r="H921" s="327"/>
      <c r="I921" s="327"/>
      <c r="J921" s="327"/>
      <c r="K921" s="327"/>
      <c r="L921" s="327"/>
      <c r="M921" s="327"/>
      <c r="N921" s="327"/>
      <c r="O921" s="327"/>
      <c r="P921" s="327"/>
    </row>
    <row r="922" ht="15.75" customHeight="1">
      <c r="B922" s="327"/>
      <c r="C922" s="327"/>
      <c r="D922" s="327"/>
      <c r="E922" s="327"/>
      <c r="F922" s="327"/>
      <c r="G922" s="327"/>
      <c r="H922" s="327"/>
      <c r="I922" s="327"/>
      <c r="J922" s="327"/>
      <c r="K922" s="327"/>
      <c r="L922" s="327"/>
      <c r="M922" s="327"/>
      <c r="N922" s="327"/>
      <c r="O922" s="327"/>
      <c r="P922" s="327"/>
    </row>
    <row r="923" ht="15.75" customHeight="1">
      <c r="B923" s="327"/>
      <c r="C923" s="327"/>
      <c r="D923" s="327"/>
      <c r="E923" s="327"/>
      <c r="F923" s="327"/>
      <c r="G923" s="327"/>
      <c r="H923" s="327"/>
      <c r="I923" s="327"/>
      <c r="J923" s="327"/>
      <c r="K923" s="327"/>
      <c r="L923" s="327"/>
      <c r="M923" s="327"/>
      <c r="N923" s="327"/>
      <c r="O923" s="327"/>
      <c r="P923" s="327"/>
    </row>
    <row r="924" ht="15.75" customHeight="1">
      <c r="B924" s="327"/>
      <c r="C924" s="327"/>
      <c r="D924" s="327"/>
      <c r="E924" s="327"/>
      <c r="F924" s="327"/>
      <c r="G924" s="327"/>
      <c r="H924" s="327"/>
      <c r="I924" s="327"/>
      <c r="J924" s="327"/>
      <c r="K924" s="327"/>
      <c r="L924" s="327"/>
      <c r="M924" s="327"/>
      <c r="N924" s="327"/>
      <c r="O924" s="327"/>
      <c r="P924" s="327"/>
    </row>
    <row r="925" ht="15.75" customHeight="1">
      <c r="B925" s="327"/>
      <c r="C925" s="327"/>
      <c r="D925" s="327"/>
      <c r="E925" s="327"/>
      <c r="F925" s="327"/>
      <c r="G925" s="327"/>
      <c r="H925" s="327"/>
      <c r="I925" s="327"/>
      <c r="J925" s="327"/>
      <c r="K925" s="327"/>
      <c r="L925" s="327"/>
      <c r="M925" s="327"/>
      <c r="N925" s="327"/>
      <c r="O925" s="327"/>
      <c r="P925" s="327"/>
    </row>
    <row r="926" ht="15.75" customHeight="1">
      <c r="B926" s="327"/>
      <c r="C926" s="327"/>
      <c r="D926" s="327"/>
      <c r="E926" s="327"/>
      <c r="F926" s="327"/>
      <c r="G926" s="327"/>
      <c r="H926" s="327"/>
      <c r="I926" s="327"/>
      <c r="J926" s="327"/>
      <c r="K926" s="327"/>
      <c r="L926" s="327"/>
      <c r="M926" s="327"/>
      <c r="N926" s="327"/>
      <c r="O926" s="327"/>
      <c r="P926" s="327"/>
    </row>
    <row r="927" ht="15.75" customHeight="1">
      <c r="B927" s="327"/>
      <c r="C927" s="327"/>
      <c r="D927" s="327"/>
      <c r="E927" s="327"/>
      <c r="F927" s="327"/>
      <c r="G927" s="327"/>
      <c r="H927" s="327"/>
      <c r="I927" s="327"/>
      <c r="J927" s="327"/>
      <c r="K927" s="327"/>
      <c r="L927" s="327"/>
      <c r="M927" s="327"/>
      <c r="N927" s="327"/>
      <c r="O927" s="327"/>
      <c r="P927" s="327"/>
    </row>
    <row r="928" ht="15.75" customHeight="1">
      <c r="B928" s="327"/>
      <c r="C928" s="327"/>
      <c r="D928" s="327"/>
      <c r="E928" s="327"/>
      <c r="F928" s="327"/>
      <c r="G928" s="327"/>
      <c r="H928" s="327"/>
      <c r="I928" s="327"/>
      <c r="J928" s="327"/>
      <c r="K928" s="327"/>
      <c r="L928" s="327"/>
      <c r="M928" s="327"/>
      <c r="N928" s="327"/>
      <c r="O928" s="327"/>
      <c r="P928" s="327"/>
    </row>
    <row r="929" ht="15.75" customHeight="1">
      <c r="B929" s="327"/>
      <c r="C929" s="327"/>
      <c r="D929" s="327"/>
      <c r="E929" s="327"/>
      <c r="F929" s="327"/>
      <c r="G929" s="327"/>
      <c r="H929" s="327"/>
      <c r="I929" s="327"/>
      <c r="J929" s="327"/>
      <c r="K929" s="327"/>
      <c r="L929" s="327"/>
      <c r="M929" s="327"/>
      <c r="N929" s="327"/>
      <c r="O929" s="327"/>
      <c r="P929" s="327"/>
    </row>
    <row r="930" ht="15.75" customHeight="1">
      <c r="B930" s="327"/>
      <c r="C930" s="327"/>
      <c r="D930" s="327"/>
      <c r="E930" s="327"/>
      <c r="F930" s="327"/>
      <c r="G930" s="327"/>
      <c r="H930" s="327"/>
      <c r="I930" s="327"/>
      <c r="J930" s="327"/>
      <c r="K930" s="327"/>
      <c r="L930" s="327"/>
      <c r="M930" s="327"/>
      <c r="N930" s="327"/>
      <c r="O930" s="327"/>
      <c r="P930" s="327"/>
    </row>
    <row r="931" ht="15.75" customHeight="1">
      <c r="B931" s="327"/>
      <c r="C931" s="327"/>
      <c r="D931" s="327"/>
      <c r="E931" s="327"/>
      <c r="F931" s="327"/>
      <c r="G931" s="327"/>
      <c r="H931" s="327"/>
      <c r="I931" s="327"/>
      <c r="J931" s="327"/>
      <c r="K931" s="327"/>
      <c r="L931" s="327"/>
      <c r="M931" s="327"/>
      <c r="N931" s="327"/>
      <c r="O931" s="327"/>
      <c r="P931" s="327"/>
    </row>
    <row r="932" ht="15.75" customHeight="1">
      <c r="B932" s="327"/>
      <c r="C932" s="327"/>
      <c r="D932" s="327"/>
      <c r="E932" s="327"/>
      <c r="F932" s="327"/>
      <c r="G932" s="327"/>
      <c r="H932" s="327"/>
      <c r="I932" s="327"/>
      <c r="J932" s="327"/>
      <c r="K932" s="327"/>
      <c r="L932" s="327"/>
      <c r="M932" s="327"/>
      <c r="N932" s="327"/>
      <c r="O932" s="327"/>
      <c r="P932" s="327"/>
    </row>
    <row r="933" ht="15.75" customHeight="1">
      <c r="B933" s="327"/>
      <c r="C933" s="327"/>
      <c r="D933" s="327"/>
      <c r="E933" s="327"/>
      <c r="F933" s="327"/>
      <c r="G933" s="327"/>
      <c r="H933" s="327"/>
      <c r="I933" s="327"/>
      <c r="J933" s="327"/>
      <c r="K933" s="327"/>
      <c r="L933" s="327"/>
      <c r="M933" s="327"/>
      <c r="N933" s="327"/>
      <c r="O933" s="327"/>
      <c r="P933" s="327"/>
    </row>
    <row r="934" ht="15.75" customHeight="1">
      <c r="B934" s="327"/>
      <c r="C934" s="327"/>
      <c r="D934" s="327"/>
      <c r="E934" s="327"/>
      <c r="F934" s="327"/>
      <c r="G934" s="327"/>
      <c r="H934" s="327"/>
      <c r="I934" s="327"/>
      <c r="J934" s="327"/>
      <c r="K934" s="327"/>
      <c r="L934" s="327"/>
      <c r="M934" s="327"/>
      <c r="N934" s="327"/>
      <c r="O934" s="327"/>
      <c r="P934" s="327"/>
    </row>
    <row r="935" ht="15.75" customHeight="1">
      <c r="B935" s="327"/>
      <c r="C935" s="327"/>
      <c r="D935" s="327"/>
      <c r="E935" s="327"/>
      <c r="F935" s="327"/>
      <c r="G935" s="327"/>
      <c r="H935" s="327"/>
      <c r="I935" s="327"/>
      <c r="J935" s="327"/>
      <c r="K935" s="327"/>
      <c r="L935" s="327"/>
      <c r="M935" s="327"/>
      <c r="N935" s="327"/>
      <c r="O935" s="327"/>
      <c r="P935" s="327"/>
    </row>
    <row r="936" ht="15.75" customHeight="1">
      <c r="B936" s="327"/>
      <c r="C936" s="327"/>
      <c r="D936" s="327"/>
      <c r="E936" s="327"/>
      <c r="F936" s="327"/>
      <c r="G936" s="327"/>
      <c r="H936" s="327"/>
      <c r="I936" s="327"/>
      <c r="J936" s="327"/>
      <c r="K936" s="327"/>
      <c r="L936" s="327"/>
      <c r="M936" s="327"/>
      <c r="N936" s="327"/>
      <c r="O936" s="327"/>
      <c r="P936" s="327"/>
    </row>
    <row r="937" ht="15.75" customHeight="1">
      <c r="B937" s="327"/>
      <c r="C937" s="327"/>
      <c r="D937" s="327"/>
      <c r="E937" s="327"/>
      <c r="F937" s="327"/>
      <c r="G937" s="327"/>
      <c r="H937" s="327"/>
      <c r="I937" s="327"/>
      <c r="J937" s="327"/>
      <c r="K937" s="327"/>
      <c r="L937" s="327"/>
      <c r="M937" s="327"/>
      <c r="N937" s="327"/>
      <c r="O937" s="327"/>
      <c r="P937" s="327"/>
    </row>
    <row r="938" ht="15.75" customHeight="1">
      <c r="B938" s="327"/>
      <c r="C938" s="327"/>
      <c r="D938" s="327"/>
      <c r="E938" s="327"/>
      <c r="F938" s="327"/>
      <c r="G938" s="327"/>
      <c r="H938" s="327"/>
      <c r="I938" s="327"/>
      <c r="J938" s="327"/>
      <c r="K938" s="327"/>
      <c r="L938" s="327"/>
      <c r="M938" s="327"/>
      <c r="N938" s="327"/>
      <c r="O938" s="327"/>
      <c r="P938" s="327"/>
    </row>
    <row r="939" ht="15.75" customHeight="1">
      <c r="B939" s="327"/>
      <c r="C939" s="327"/>
      <c r="D939" s="327"/>
      <c r="E939" s="327"/>
      <c r="F939" s="327"/>
      <c r="G939" s="327"/>
      <c r="H939" s="327"/>
      <c r="I939" s="327"/>
      <c r="J939" s="327"/>
      <c r="K939" s="327"/>
      <c r="L939" s="327"/>
      <c r="M939" s="327"/>
      <c r="N939" s="327"/>
      <c r="O939" s="327"/>
      <c r="P939" s="327"/>
    </row>
    <row r="940" ht="15.75" customHeight="1">
      <c r="B940" s="327"/>
      <c r="C940" s="327"/>
      <c r="D940" s="327"/>
      <c r="E940" s="327"/>
      <c r="F940" s="327"/>
      <c r="G940" s="327"/>
      <c r="H940" s="327"/>
      <c r="I940" s="327"/>
      <c r="J940" s="327"/>
      <c r="K940" s="327"/>
      <c r="L940" s="327"/>
      <c r="M940" s="327"/>
      <c r="N940" s="327"/>
      <c r="O940" s="327"/>
      <c r="P940" s="327"/>
    </row>
    <row r="941" ht="15.75" customHeight="1">
      <c r="B941" s="327"/>
      <c r="C941" s="327"/>
      <c r="D941" s="327"/>
      <c r="E941" s="327"/>
      <c r="F941" s="327"/>
      <c r="G941" s="327"/>
      <c r="H941" s="327"/>
      <c r="I941" s="327"/>
      <c r="J941" s="327"/>
      <c r="K941" s="327"/>
      <c r="L941" s="327"/>
      <c r="M941" s="327"/>
      <c r="N941" s="327"/>
      <c r="O941" s="327"/>
      <c r="P941" s="327"/>
    </row>
    <row r="942" ht="15.75" customHeight="1">
      <c r="B942" s="327"/>
      <c r="C942" s="327"/>
      <c r="D942" s="327"/>
      <c r="E942" s="327"/>
      <c r="F942" s="327"/>
      <c r="G942" s="327"/>
      <c r="H942" s="327"/>
      <c r="I942" s="327"/>
      <c r="J942" s="327"/>
      <c r="K942" s="327"/>
      <c r="L942" s="327"/>
      <c r="M942" s="327"/>
      <c r="N942" s="327"/>
      <c r="O942" s="327"/>
      <c r="P942" s="327"/>
    </row>
    <row r="943" ht="15.75" customHeight="1">
      <c r="B943" s="327"/>
      <c r="C943" s="327"/>
      <c r="D943" s="327"/>
      <c r="E943" s="327"/>
      <c r="F943" s="327"/>
      <c r="G943" s="327"/>
      <c r="H943" s="327"/>
      <c r="I943" s="327"/>
      <c r="J943" s="327"/>
      <c r="K943" s="327"/>
      <c r="L943" s="327"/>
      <c r="M943" s="327"/>
      <c r="N943" s="327"/>
      <c r="O943" s="327"/>
      <c r="P943" s="327"/>
    </row>
    <row r="944" ht="15.75" customHeight="1">
      <c r="B944" s="327"/>
      <c r="C944" s="327"/>
      <c r="D944" s="327"/>
      <c r="E944" s="327"/>
      <c r="F944" s="327"/>
      <c r="G944" s="327"/>
      <c r="H944" s="327"/>
      <c r="I944" s="327"/>
      <c r="J944" s="327"/>
      <c r="K944" s="327"/>
      <c r="L944" s="327"/>
      <c r="M944" s="327"/>
      <c r="N944" s="327"/>
      <c r="O944" s="327"/>
      <c r="P944" s="327"/>
    </row>
    <row r="945" ht="15.75" customHeight="1">
      <c r="B945" s="327"/>
      <c r="C945" s="327"/>
      <c r="D945" s="327"/>
      <c r="E945" s="327"/>
      <c r="F945" s="327"/>
      <c r="G945" s="327"/>
      <c r="H945" s="327"/>
      <c r="I945" s="327"/>
      <c r="J945" s="327"/>
      <c r="K945" s="327"/>
      <c r="L945" s="327"/>
      <c r="M945" s="327"/>
      <c r="N945" s="327"/>
      <c r="O945" s="327"/>
      <c r="P945" s="327"/>
    </row>
    <row r="946" ht="15.75" customHeight="1">
      <c r="B946" s="327"/>
      <c r="C946" s="327"/>
      <c r="D946" s="327"/>
      <c r="E946" s="327"/>
      <c r="F946" s="327"/>
      <c r="G946" s="327"/>
      <c r="H946" s="327"/>
      <c r="I946" s="327"/>
      <c r="J946" s="327"/>
      <c r="K946" s="327"/>
      <c r="L946" s="327"/>
      <c r="M946" s="327"/>
      <c r="N946" s="327"/>
      <c r="O946" s="327"/>
      <c r="P946" s="327"/>
    </row>
    <row r="947" ht="15.75" customHeight="1">
      <c r="B947" s="327"/>
      <c r="C947" s="327"/>
      <c r="D947" s="327"/>
      <c r="E947" s="327"/>
      <c r="F947" s="327"/>
      <c r="G947" s="327"/>
      <c r="H947" s="327"/>
      <c r="I947" s="327"/>
      <c r="J947" s="327"/>
      <c r="K947" s="327"/>
      <c r="L947" s="327"/>
      <c r="M947" s="327"/>
      <c r="N947" s="327"/>
      <c r="O947" s="327"/>
      <c r="P947" s="327"/>
    </row>
    <row r="948" ht="15.75" customHeight="1">
      <c r="B948" s="327"/>
      <c r="C948" s="327"/>
      <c r="D948" s="327"/>
      <c r="E948" s="327"/>
      <c r="F948" s="327"/>
      <c r="G948" s="327"/>
      <c r="H948" s="327"/>
      <c r="I948" s="327"/>
      <c r="J948" s="327"/>
      <c r="K948" s="327"/>
      <c r="L948" s="327"/>
      <c r="M948" s="327"/>
      <c r="N948" s="327"/>
      <c r="O948" s="327"/>
      <c r="P948" s="327"/>
    </row>
    <row r="949" ht="15.75" customHeight="1">
      <c r="B949" s="327"/>
      <c r="C949" s="327"/>
      <c r="D949" s="327"/>
      <c r="E949" s="327"/>
      <c r="F949" s="327"/>
      <c r="G949" s="327"/>
      <c r="H949" s="327"/>
      <c r="I949" s="327"/>
      <c r="J949" s="327"/>
      <c r="K949" s="327"/>
      <c r="L949" s="327"/>
      <c r="M949" s="327"/>
      <c r="N949" s="327"/>
      <c r="O949" s="327"/>
      <c r="P949" s="327"/>
    </row>
    <row r="950" ht="15.75" customHeight="1">
      <c r="B950" s="327"/>
      <c r="C950" s="327"/>
      <c r="D950" s="327"/>
      <c r="E950" s="327"/>
      <c r="F950" s="327"/>
      <c r="G950" s="327"/>
      <c r="H950" s="327"/>
      <c r="I950" s="327"/>
      <c r="J950" s="327"/>
      <c r="K950" s="327"/>
      <c r="L950" s="327"/>
      <c r="M950" s="327"/>
      <c r="N950" s="327"/>
      <c r="O950" s="327"/>
      <c r="P950" s="327"/>
    </row>
    <row r="951" ht="15.75" customHeight="1">
      <c r="B951" s="327"/>
      <c r="C951" s="327"/>
      <c r="D951" s="327"/>
      <c r="E951" s="327"/>
      <c r="F951" s="327"/>
      <c r="G951" s="327"/>
      <c r="H951" s="327"/>
      <c r="I951" s="327"/>
      <c r="J951" s="327"/>
      <c r="K951" s="327"/>
      <c r="L951" s="327"/>
      <c r="M951" s="327"/>
      <c r="N951" s="327"/>
      <c r="O951" s="327"/>
      <c r="P951" s="327"/>
    </row>
    <row r="952" ht="15.75" customHeight="1">
      <c r="B952" s="327"/>
      <c r="C952" s="327"/>
      <c r="D952" s="327"/>
      <c r="E952" s="327"/>
      <c r="F952" s="327"/>
      <c r="G952" s="327"/>
      <c r="H952" s="327"/>
      <c r="I952" s="327"/>
      <c r="J952" s="327"/>
      <c r="K952" s="327"/>
      <c r="L952" s="327"/>
      <c r="M952" s="327"/>
      <c r="N952" s="327"/>
      <c r="O952" s="327"/>
      <c r="P952" s="327"/>
    </row>
    <row r="953" ht="15.75" customHeight="1">
      <c r="B953" s="327"/>
      <c r="C953" s="327"/>
      <c r="D953" s="327"/>
      <c r="E953" s="327"/>
      <c r="F953" s="327"/>
      <c r="G953" s="327"/>
      <c r="H953" s="327"/>
      <c r="I953" s="327"/>
      <c r="J953" s="327"/>
      <c r="K953" s="327"/>
      <c r="L953" s="327"/>
      <c r="M953" s="327"/>
      <c r="N953" s="327"/>
      <c r="O953" s="327"/>
      <c r="P953" s="327"/>
    </row>
    <row r="954" ht="15.75" customHeight="1">
      <c r="B954" s="327"/>
      <c r="C954" s="327"/>
      <c r="D954" s="327"/>
      <c r="E954" s="327"/>
      <c r="F954" s="327"/>
      <c r="G954" s="327"/>
      <c r="H954" s="327"/>
      <c r="I954" s="327"/>
      <c r="J954" s="327"/>
      <c r="K954" s="327"/>
      <c r="L954" s="327"/>
      <c r="M954" s="327"/>
      <c r="N954" s="327"/>
      <c r="O954" s="327"/>
      <c r="P954" s="327"/>
    </row>
    <row r="955" ht="15.75" customHeight="1">
      <c r="B955" s="327"/>
      <c r="C955" s="327"/>
      <c r="D955" s="327"/>
      <c r="E955" s="327"/>
      <c r="F955" s="327"/>
      <c r="G955" s="327"/>
      <c r="H955" s="327"/>
      <c r="I955" s="327"/>
      <c r="J955" s="327"/>
      <c r="K955" s="327"/>
      <c r="L955" s="327"/>
      <c r="M955" s="327"/>
      <c r="N955" s="327"/>
      <c r="O955" s="327"/>
      <c r="P955" s="327"/>
    </row>
    <row r="956" ht="15.75" customHeight="1">
      <c r="B956" s="327"/>
      <c r="C956" s="327"/>
      <c r="D956" s="327"/>
      <c r="E956" s="327"/>
      <c r="F956" s="327"/>
      <c r="G956" s="327"/>
      <c r="H956" s="327"/>
      <c r="I956" s="327"/>
      <c r="J956" s="327"/>
      <c r="K956" s="327"/>
      <c r="L956" s="327"/>
      <c r="M956" s="327"/>
      <c r="N956" s="327"/>
      <c r="O956" s="327"/>
      <c r="P956" s="327"/>
    </row>
    <row r="957" ht="15.75" customHeight="1">
      <c r="B957" s="327"/>
      <c r="C957" s="327"/>
      <c r="D957" s="327"/>
      <c r="E957" s="327"/>
      <c r="F957" s="327"/>
      <c r="G957" s="327"/>
      <c r="H957" s="327"/>
      <c r="I957" s="327"/>
      <c r="J957" s="327"/>
      <c r="K957" s="327"/>
      <c r="L957" s="327"/>
      <c r="M957" s="327"/>
      <c r="N957" s="327"/>
      <c r="O957" s="327"/>
      <c r="P957" s="327"/>
    </row>
    <row r="958" ht="15.75" customHeight="1">
      <c r="B958" s="327"/>
      <c r="C958" s="327"/>
      <c r="D958" s="327"/>
      <c r="E958" s="327"/>
      <c r="F958" s="327"/>
      <c r="G958" s="327"/>
      <c r="H958" s="327"/>
      <c r="I958" s="327"/>
      <c r="J958" s="327"/>
      <c r="K958" s="327"/>
      <c r="L958" s="327"/>
      <c r="M958" s="327"/>
      <c r="N958" s="327"/>
      <c r="O958" s="327"/>
      <c r="P958" s="327"/>
    </row>
    <row r="959" ht="15.75" customHeight="1">
      <c r="B959" s="327"/>
      <c r="C959" s="327"/>
      <c r="D959" s="327"/>
      <c r="E959" s="327"/>
      <c r="F959" s="327"/>
      <c r="G959" s="327"/>
      <c r="H959" s="327"/>
      <c r="I959" s="327"/>
      <c r="J959" s="327"/>
      <c r="K959" s="327"/>
      <c r="L959" s="327"/>
      <c r="M959" s="327"/>
      <c r="N959" s="327"/>
      <c r="O959" s="327"/>
      <c r="P959" s="327"/>
    </row>
    <row r="960" ht="15.75" customHeight="1">
      <c r="B960" s="327"/>
      <c r="C960" s="327"/>
      <c r="D960" s="327"/>
      <c r="E960" s="327"/>
      <c r="F960" s="327"/>
      <c r="G960" s="327"/>
      <c r="H960" s="327"/>
      <c r="I960" s="327"/>
      <c r="J960" s="327"/>
      <c r="K960" s="327"/>
      <c r="L960" s="327"/>
      <c r="M960" s="327"/>
      <c r="N960" s="327"/>
      <c r="O960" s="327"/>
      <c r="P960" s="327"/>
    </row>
    <row r="961" ht="15.75" customHeight="1">
      <c r="B961" s="327"/>
      <c r="C961" s="327"/>
      <c r="D961" s="327"/>
      <c r="E961" s="327"/>
      <c r="F961" s="327"/>
      <c r="G961" s="327"/>
      <c r="H961" s="327"/>
      <c r="I961" s="327"/>
      <c r="J961" s="327"/>
      <c r="K961" s="327"/>
      <c r="L961" s="327"/>
      <c r="M961" s="327"/>
      <c r="N961" s="327"/>
      <c r="O961" s="327"/>
      <c r="P961" s="327"/>
    </row>
    <row r="962" ht="15.75" customHeight="1">
      <c r="B962" s="327"/>
      <c r="C962" s="327"/>
      <c r="D962" s="327"/>
      <c r="E962" s="327"/>
      <c r="F962" s="327"/>
      <c r="G962" s="327"/>
      <c r="H962" s="327"/>
      <c r="I962" s="327"/>
      <c r="J962" s="327"/>
      <c r="K962" s="327"/>
      <c r="L962" s="327"/>
      <c r="M962" s="327"/>
      <c r="N962" s="327"/>
      <c r="O962" s="327"/>
      <c r="P962" s="327"/>
    </row>
    <row r="963" ht="15.75" customHeight="1">
      <c r="B963" s="327"/>
      <c r="C963" s="327"/>
      <c r="D963" s="327"/>
      <c r="E963" s="327"/>
      <c r="F963" s="327"/>
      <c r="G963" s="327"/>
      <c r="H963" s="327"/>
      <c r="I963" s="327"/>
      <c r="J963" s="327"/>
      <c r="K963" s="327"/>
      <c r="L963" s="327"/>
      <c r="M963" s="327"/>
      <c r="N963" s="327"/>
      <c r="O963" s="327"/>
      <c r="P963" s="327"/>
    </row>
    <row r="964" ht="15.75" customHeight="1">
      <c r="B964" s="327"/>
      <c r="C964" s="327"/>
      <c r="D964" s="327"/>
      <c r="E964" s="327"/>
      <c r="F964" s="327"/>
      <c r="G964" s="327"/>
      <c r="H964" s="327"/>
      <c r="I964" s="327"/>
      <c r="J964" s="327"/>
      <c r="K964" s="327"/>
      <c r="L964" s="327"/>
      <c r="M964" s="327"/>
      <c r="N964" s="327"/>
      <c r="O964" s="327"/>
      <c r="P964" s="327"/>
    </row>
    <row r="965" ht="15.75" customHeight="1">
      <c r="B965" s="327"/>
      <c r="C965" s="327"/>
      <c r="D965" s="327"/>
      <c r="E965" s="327"/>
      <c r="F965" s="327"/>
      <c r="G965" s="327"/>
      <c r="H965" s="327"/>
      <c r="I965" s="327"/>
      <c r="J965" s="327"/>
      <c r="K965" s="327"/>
      <c r="L965" s="327"/>
      <c r="M965" s="327"/>
      <c r="N965" s="327"/>
      <c r="O965" s="327"/>
      <c r="P965" s="327"/>
    </row>
    <row r="966" ht="15.75" customHeight="1">
      <c r="B966" s="327"/>
      <c r="C966" s="327"/>
      <c r="D966" s="327"/>
      <c r="E966" s="327"/>
      <c r="F966" s="327"/>
      <c r="G966" s="327"/>
      <c r="H966" s="327"/>
      <c r="I966" s="327"/>
      <c r="J966" s="327"/>
      <c r="K966" s="327"/>
      <c r="L966" s="327"/>
      <c r="M966" s="327"/>
      <c r="N966" s="327"/>
      <c r="O966" s="327"/>
      <c r="P966" s="327"/>
    </row>
    <row r="967" ht="15.75" customHeight="1">
      <c r="B967" s="327"/>
      <c r="C967" s="327"/>
      <c r="D967" s="327"/>
      <c r="E967" s="327"/>
      <c r="F967" s="327"/>
      <c r="G967" s="327"/>
      <c r="H967" s="327"/>
      <c r="I967" s="327"/>
      <c r="J967" s="327"/>
      <c r="K967" s="327"/>
      <c r="L967" s="327"/>
      <c r="M967" s="327"/>
      <c r="N967" s="327"/>
      <c r="O967" s="327"/>
      <c r="P967" s="327"/>
    </row>
    <row r="968" ht="15.75" customHeight="1">
      <c r="B968" s="327"/>
      <c r="C968" s="327"/>
      <c r="D968" s="327"/>
      <c r="E968" s="327"/>
      <c r="F968" s="327"/>
      <c r="G968" s="327"/>
      <c r="H968" s="327"/>
      <c r="I968" s="327"/>
      <c r="J968" s="327"/>
      <c r="K968" s="327"/>
      <c r="L968" s="327"/>
      <c r="M968" s="327"/>
      <c r="N968" s="327"/>
      <c r="O968" s="327"/>
      <c r="P968" s="327"/>
    </row>
    <row r="969" ht="15.75" customHeight="1">
      <c r="B969" s="327"/>
      <c r="C969" s="327"/>
      <c r="D969" s="327"/>
      <c r="E969" s="327"/>
      <c r="F969" s="327"/>
      <c r="G969" s="327"/>
      <c r="H969" s="327"/>
      <c r="I969" s="327"/>
      <c r="J969" s="327"/>
      <c r="K969" s="327"/>
      <c r="L969" s="327"/>
      <c r="M969" s="327"/>
      <c r="N969" s="327"/>
      <c r="O969" s="327"/>
      <c r="P969" s="327"/>
    </row>
    <row r="970" ht="15.75" customHeight="1">
      <c r="B970" s="327"/>
      <c r="C970" s="327"/>
      <c r="D970" s="327"/>
      <c r="E970" s="327"/>
      <c r="F970" s="327"/>
      <c r="G970" s="327"/>
      <c r="H970" s="327"/>
      <c r="I970" s="327"/>
      <c r="J970" s="327"/>
      <c r="K970" s="327"/>
      <c r="L970" s="327"/>
      <c r="M970" s="327"/>
      <c r="N970" s="327"/>
      <c r="O970" s="327"/>
      <c r="P970" s="327"/>
    </row>
    <row r="971" ht="15.75" customHeight="1">
      <c r="B971" s="327"/>
      <c r="C971" s="327"/>
      <c r="D971" s="327"/>
      <c r="E971" s="327"/>
      <c r="F971" s="327"/>
      <c r="G971" s="327"/>
      <c r="H971" s="327"/>
      <c r="I971" s="327"/>
      <c r="J971" s="327"/>
      <c r="K971" s="327"/>
      <c r="L971" s="327"/>
      <c r="M971" s="327"/>
      <c r="N971" s="327"/>
      <c r="O971" s="327"/>
      <c r="P971" s="327"/>
    </row>
    <row r="972" ht="15.75" customHeight="1">
      <c r="B972" s="327"/>
      <c r="C972" s="327"/>
      <c r="D972" s="327"/>
      <c r="E972" s="327"/>
      <c r="F972" s="327"/>
      <c r="G972" s="327"/>
      <c r="H972" s="327"/>
      <c r="I972" s="327"/>
      <c r="J972" s="327"/>
      <c r="K972" s="327"/>
      <c r="L972" s="327"/>
      <c r="M972" s="327"/>
      <c r="N972" s="327"/>
      <c r="O972" s="327"/>
      <c r="P972" s="327"/>
    </row>
    <row r="973" ht="15.75" customHeight="1">
      <c r="B973" s="327"/>
      <c r="C973" s="327"/>
      <c r="D973" s="327"/>
      <c r="E973" s="327"/>
      <c r="F973" s="327"/>
      <c r="G973" s="327"/>
      <c r="H973" s="327"/>
      <c r="I973" s="327"/>
      <c r="J973" s="327"/>
      <c r="K973" s="327"/>
      <c r="L973" s="327"/>
      <c r="M973" s="327"/>
      <c r="N973" s="327"/>
      <c r="O973" s="327"/>
      <c r="P973" s="327"/>
    </row>
    <row r="974" ht="15.75" customHeight="1">
      <c r="B974" s="327"/>
      <c r="C974" s="327"/>
      <c r="D974" s="327"/>
      <c r="E974" s="327"/>
      <c r="F974" s="327"/>
      <c r="G974" s="327"/>
      <c r="H974" s="327"/>
      <c r="I974" s="327"/>
      <c r="J974" s="327"/>
      <c r="K974" s="327"/>
      <c r="L974" s="327"/>
      <c r="M974" s="327"/>
      <c r="N974" s="327"/>
      <c r="O974" s="327"/>
      <c r="P974" s="327"/>
    </row>
    <row r="975" ht="15.75" customHeight="1">
      <c r="B975" s="327"/>
      <c r="C975" s="327"/>
      <c r="D975" s="327"/>
      <c r="E975" s="327"/>
      <c r="F975" s="327"/>
      <c r="G975" s="327"/>
      <c r="H975" s="327"/>
      <c r="I975" s="327"/>
      <c r="J975" s="327"/>
      <c r="K975" s="327"/>
      <c r="L975" s="327"/>
      <c r="M975" s="327"/>
      <c r="N975" s="327"/>
      <c r="O975" s="327"/>
      <c r="P975" s="327"/>
    </row>
    <row r="976" ht="15.75" customHeight="1">
      <c r="B976" s="327"/>
      <c r="C976" s="327"/>
      <c r="D976" s="327"/>
      <c r="E976" s="327"/>
      <c r="F976" s="327"/>
      <c r="G976" s="327"/>
      <c r="H976" s="327"/>
      <c r="I976" s="327"/>
      <c r="J976" s="327"/>
      <c r="K976" s="327"/>
      <c r="L976" s="327"/>
      <c r="M976" s="327"/>
      <c r="N976" s="327"/>
      <c r="O976" s="327"/>
      <c r="P976" s="327"/>
    </row>
    <row r="977" ht="15.75" customHeight="1">
      <c r="B977" s="327"/>
      <c r="C977" s="327"/>
      <c r="D977" s="327"/>
      <c r="E977" s="327"/>
      <c r="F977" s="327"/>
      <c r="G977" s="327"/>
      <c r="H977" s="327"/>
      <c r="I977" s="327"/>
      <c r="J977" s="327"/>
      <c r="K977" s="327"/>
      <c r="L977" s="327"/>
      <c r="M977" s="327"/>
      <c r="N977" s="327"/>
      <c r="O977" s="327"/>
      <c r="P977" s="327"/>
    </row>
    <row r="978" ht="15.75" customHeight="1">
      <c r="B978" s="327"/>
      <c r="C978" s="327"/>
      <c r="D978" s="327"/>
      <c r="E978" s="327"/>
      <c r="F978" s="327"/>
      <c r="G978" s="327"/>
      <c r="H978" s="327"/>
      <c r="I978" s="327"/>
      <c r="J978" s="327"/>
      <c r="K978" s="327"/>
      <c r="L978" s="327"/>
      <c r="M978" s="327"/>
      <c r="N978" s="327"/>
      <c r="O978" s="327"/>
      <c r="P978" s="327"/>
    </row>
    <row r="979" ht="15.75" customHeight="1">
      <c r="B979" s="327"/>
      <c r="C979" s="327"/>
      <c r="D979" s="327"/>
      <c r="E979" s="327"/>
      <c r="F979" s="327"/>
      <c r="G979" s="327"/>
      <c r="H979" s="327"/>
      <c r="I979" s="327"/>
      <c r="J979" s="327"/>
      <c r="K979" s="327"/>
      <c r="L979" s="327"/>
      <c r="M979" s="327"/>
      <c r="N979" s="327"/>
      <c r="O979" s="327"/>
      <c r="P979" s="327"/>
    </row>
    <row r="980" ht="15.75" customHeight="1">
      <c r="B980" s="327"/>
      <c r="C980" s="327"/>
      <c r="D980" s="327"/>
      <c r="E980" s="327"/>
      <c r="F980" s="327"/>
      <c r="G980" s="327"/>
      <c r="H980" s="327"/>
      <c r="I980" s="327"/>
      <c r="J980" s="327"/>
      <c r="K980" s="327"/>
      <c r="L980" s="327"/>
      <c r="M980" s="327"/>
      <c r="N980" s="327"/>
      <c r="O980" s="327"/>
      <c r="P980" s="327"/>
    </row>
    <row r="981" ht="15.75" customHeight="1">
      <c r="B981" s="327"/>
      <c r="C981" s="327"/>
      <c r="D981" s="327"/>
      <c r="E981" s="327"/>
      <c r="F981" s="327"/>
      <c r="G981" s="327"/>
      <c r="H981" s="327"/>
      <c r="I981" s="327"/>
      <c r="J981" s="327"/>
      <c r="K981" s="327"/>
      <c r="L981" s="327"/>
      <c r="M981" s="327"/>
      <c r="N981" s="327"/>
      <c r="O981" s="327"/>
      <c r="P981" s="327"/>
    </row>
    <row r="982" ht="15.75" customHeight="1">
      <c r="B982" s="327"/>
      <c r="C982" s="327"/>
      <c r="D982" s="327"/>
      <c r="E982" s="327"/>
      <c r="F982" s="327"/>
      <c r="G982" s="327"/>
      <c r="H982" s="327"/>
      <c r="I982" s="327"/>
      <c r="J982" s="327"/>
      <c r="K982" s="327"/>
      <c r="L982" s="327"/>
      <c r="M982" s="327"/>
      <c r="N982" s="327"/>
      <c r="O982" s="327"/>
      <c r="P982" s="327"/>
    </row>
    <row r="983" ht="15.75" customHeight="1">
      <c r="B983" s="327"/>
      <c r="C983" s="327"/>
      <c r="D983" s="327"/>
      <c r="E983" s="327"/>
      <c r="F983" s="327"/>
      <c r="G983" s="327"/>
      <c r="H983" s="327"/>
      <c r="I983" s="327"/>
      <c r="J983" s="327"/>
      <c r="K983" s="327"/>
      <c r="L983" s="327"/>
      <c r="M983" s="327"/>
      <c r="N983" s="327"/>
      <c r="O983" s="327"/>
      <c r="P983" s="327"/>
    </row>
    <row r="984" ht="15.75" customHeight="1">
      <c r="B984" s="327"/>
      <c r="C984" s="327"/>
      <c r="D984" s="327"/>
      <c r="E984" s="327"/>
      <c r="F984" s="327"/>
      <c r="G984" s="327"/>
      <c r="H984" s="327"/>
      <c r="I984" s="327"/>
      <c r="J984" s="327"/>
      <c r="K984" s="327"/>
      <c r="L984" s="327"/>
      <c r="M984" s="327"/>
      <c r="N984" s="327"/>
      <c r="O984" s="327"/>
      <c r="P984" s="327"/>
    </row>
    <row r="985" ht="15.75" customHeight="1">
      <c r="B985" s="327"/>
      <c r="C985" s="327"/>
      <c r="D985" s="327"/>
      <c r="E985" s="327"/>
      <c r="F985" s="327"/>
      <c r="G985" s="327"/>
      <c r="H985" s="327"/>
      <c r="I985" s="327"/>
      <c r="J985" s="327"/>
      <c r="K985" s="327"/>
      <c r="L985" s="327"/>
      <c r="M985" s="327"/>
      <c r="N985" s="327"/>
      <c r="O985" s="327"/>
      <c r="P985" s="327"/>
    </row>
    <row r="986" ht="15.75" customHeight="1">
      <c r="B986" s="327"/>
      <c r="C986" s="327"/>
      <c r="D986" s="327"/>
      <c r="E986" s="327"/>
      <c r="F986" s="327"/>
      <c r="G986" s="327"/>
      <c r="H986" s="327"/>
      <c r="I986" s="327"/>
      <c r="J986" s="327"/>
      <c r="K986" s="327"/>
      <c r="L986" s="327"/>
      <c r="M986" s="327"/>
      <c r="N986" s="327"/>
      <c r="O986" s="327"/>
      <c r="P986" s="327"/>
    </row>
    <row r="987" ht="15.75" customHeight="1">
      <c r="B987" s="327"/>
      <c r="C987" s="327"/>
      <c r="D987" s="327"/>
      <c r="E987" s="327"/>
      <c r="F987" s="327"/>
      <c r="G987" s="327"/>
      <c r="H987" s="327"/>
      <c r="I987" s="327"/>
      <c r="J987" s="327"/>
      <c r="K987" s="327"/>
      <c r="L987" s="327"/>
      <c r="M987" s="327"/>
      <c r="N987" s="327"/>
      <c r="O987" s="327"/>
      <c r="P987" s="327"/>
    </row>
    <row r="988" ht="15.75" customHeight="1">
      <c r="B988" s="327"/>
      <c r="C988" s="327"/>
      <c r="D988" s="327"/>
      <c r="E988" s="327"/>
      <c r="F988" s="327"/>
      <c r="G988" s="327"/>
      <c r="H988" s="327"/>
      <c r="I988" s="327"/>
      <c r="J988" s="327"/>
      <c r="K988" s="327"/>
      <c r="L988" s="327"/>
      <c r="M988" s="327"/>
      <c r="N988" s="327"/>
      <c r="O988" s="327"/>
      <c r="P988" s="327"/>
    </row>
    <row r="989" ht="15.75" customHeight="1">
      <c r="B989" s="327"/>
      <c r="C989" s="327"/>
      <c r="D989" s="327"/>
      <c r="E989" s="327"/>
      <c r="F989" s="327"/>
      <c r="G989" s="327"/>
      <c r="H989" s="327"/>
      <c r="I989" s="327"/>
      <c r="J989" s="327"/>
      <c r="K989" s="327"/>
      <c r="L989" s="327"/>
      <c r="M989" s="327"/>
      <c r="N989" s="327"/>
      <c r="O989" s="327"/>
      <c r="P989" s="327"/>
    </row>
    <row r="990" ht="15.75" customHeight="1">
      <c r="B990" s="327"/>
      <c r="C990" s="327"/>
      <c r="D990" s="327"/>
      <c r="E990" s="327"/>
      <c r="F990" s="327"/>
      <c r="G990" s="327"/>
      <c r="H990" s="327"/>
      <c r="I990" s="327"/>
      <c r="J990" s="327"/>
      <c r="K990" s="327"/>
      <c r="L990" s="327"/>
      <c r="M990" s="327"/>
      <c r="N990" s="327"/>
      <c r="O990" s="327"/>
      <c r="P990" s="327"/>
    </row>
    <row r="991" ht="15.75" customHeight="1">
      <c r="B991" s="327"/>
      <c r="C991" s="327"/>
      <c r="D991" s="327"/>
      <c r="E991" s="327"/>
      <c r="F991" s="327"/>
      <c r="G991" s="327"/>
      <c r="H991" s="327"/>
      <c r="I991" s="327"/>
      <c r="J991" s="327"/>
      <c r="K991" s="327"/>
      <c r="L991" s="327"/>
      <c r="M991" s="327"/>
      <c r="N991" s="327"/>
      <c r="O991" s="327"/>
      <c r="P991" s="327"/>
    </row>
    <row r="992" ht="15.75" customHeight="1">
      <c r="B992" s="327"/>
      <c r="C992" s="327"/>
      <c r="D992" s="327"/>
      <c r="E992" s="327"/>
      <c r="F992" s="327"/>
      <c r="G992" s="327"/>
      <c r="H992" s="327"/>
      <c r="I992" s="327"/>
      <c r="J992" s="327"/>
      <c r="K992" s="327"/>
      <c r="L992" s="327"/>
      <c r="M992" s="327"/>
      <c r="N992" s="327"/>
      <c r="O992" s="327"/>
      <c r="P992" s="327"/>
    </row>
    <row r="993" ht="15.75" customHeight="1">
      <c r="B993" s="327"/>
      <c r="C993" s="327"/>
      <c r="D993" s="327"/>
      <c r="E993" s="327"/>
      <c r="F993" s="327"/>
      <c r="G993" s="327"/>
      <c r="H993" s="327"/>
      <c r="I993" s="327"/>
      <c r="J993" s="327"/>
      <c r="K993" s="327"/>
      <c r="L993" s="327"/>
      <c r="M993" s="327"/>
      <c r="N993" s="327"/>
      <c r="O993" s="327"/>
      <c r="P993" s="327"/>
    </row>
    <row r="994" ht="15.75" customHeight="1">
      <c r="B994" s="327"/>
      <c r="C994" s="327"/>
      <c r="D994" s="327"/>
      <c r="E994" s="327"/>
      <c r="F994" s="327"/>
      <c r="G994" s="327"/>
      <c r="H994" s="327"/>
      <c r="I994" s="327"/>
      <c r="J994" s="327"/>
      <c r="K994" s="327"/>
      <c r="L994" s="327"/>
      <c r="M994" s="327"/>
      <c r="N994" s="327"/>
      <c r="O994" s="327"/>
      <c r="P994" s="327"/>
    </row>
    <row r="995" ht="15.75" customHeight="1">
      <c r="B995" s="327"/>
      <c r="C995" s="327"/>
      <c r="D995" s="327"/>
      <c r="E995" s="327"/>
      <c r="F995" s="327"/>
      <c r="G995" s="327"/>
      <c r="H995" s="327"/>
      <c r="I995" s="327"/>
      <c r="J995" s="327"/>
      <c r="K995" s="327"/>
      <c r="L995" s="327"/>
      <c r="M995" s="327"/>
      <c r="N995" s="327"/>
      <c r="O995" s="327"/>
      <c r="P995" s="327"/>
    </row>
    <row r="996" ht="15.75" customHeight="1">
      <c r="B996" s="327"/>
      <c r="C996" s="327"/>
      <c r="D996" s="327"/>
      <c r="E996" s="327"/>
      <c r="F996" s="327"/>
      <c r="G996" s="327"/>
      <c r="H996" s="327"/>
      <c r="I996" s="327"/>
      <c r="J996" s="327"/>
      <c r="K996" s="327"/>
      <c r="L996" s="327"/>
      <c r="M996" s="327"/>
      <c r="N996" s="327"/>
      <c r="O996" s="327"/>
      <c r="P996" s="327"/>
    </row>
    <row r="997" ht="15.75" customHeight="1">
      <c r="B997" s="327"/>
      <c r="C997" s="327"/>
      <c r="D997" s="327"/>
      <c r="E997" s="327"/>
      <c r="F997" s="327"/>
      <c r="G997" s="327"/>
      <c r="H997" s="327"/>
      <c r="I997" s="327"/>
      <c r="J997" s="327"/>
      <c r="K997" s="327"/>
      <c r="L997" s="327"/>
      <c r="M997" s="327"/>
      <c r="N997" s="327"/>
      <c r="O997" s="327"/>
      <c r="P997" s="327"/>
    </row>
    <row r="998" ht="15.75" customHeight="1">
      <c r="B998" s="327"/>
      <c r="C998" s="327"/>
      <c r="D998" s="327"/>
      <c r="E998" s="327"/>
      <c r="F998" s="327"/>
      <c r="G998" s="327"/>
      <c r="H998" s="327"/>
      <c r="I998" s="327"/>
      <c r="J998" s="327"/>
      <c r="K998" s="327"/>
      <c r="L998" s="327"/>
      <c r="M998" s="327"/>
      <c r="N998" s="327"/>
      <c r="O998" s="327"/>
      <c r="P998" s="327"/>
    </row>
    <row r="999" ht="15.75" customHeight="1">
      <c r="B999" s="327"/>
      <c r="C999" s="327"/>
      <c r="D999" s="327"/>
      <c r="E999" s="327"/>
      <c r="F999" s="327"/>
      <c r="G999" s="327"/>
      <c r="H999" s="327"/>
      <c r="I999" s="327"/>
      <c r="J999" s="327"/>
      <c r="K999" s="327"/>
      <c r="L999" s="327"/>
      <c r="M999" s="327"/>
      <c r="N999" s="327"/>
      <c r="O999" s="327"/>
      <c r="P999" s="327"/>
    </row>
    <row r="1000" ht="15.75" customHeight="1">
      <c r="B1000" s="327"/>
      <c r="C1000" s="327"/>
      <c r="D1000" s="327"/>
      <c r="E1000" s="327"/>
      <c r="F1000" s="327"/>
      <c r="G1000" s="327"/>
      <c r="H1000" s="327"/>
      <c r="I1000" s="327"/>
      <c r="J1000" s="327"/>
      <c r="K1000" s="327"/>
      <c r="L1000" s="327"/>
      <c r="M1000" s="327"/>
      <c r="N1000" s="327"/>
      <c r="O1000" s="327"/>
      <c r="P1000" s="327"/>
    </row>
  </sheetData>
  <mergeCells count="1">
    <mergeCell ref="A5:O5"/>
  </mergeCells>
  <hyperlinks>
    <hyperlink r:id="rId1" location="/plant/8028" ref="B7"/>
    <hyperlink r:id="rId2" location="/plant/8030" ref="C7"/>
    <hyperlink r:id="rId3" location="/plant/57703" ref="D7"/>
    <hyperlink r:id="rId4" location="/plant/4158/?freq=M&amp;pin=" ref="E7"/>
    <hyperlink r:id="rId5" location="/plant/56609" ref="F7"/>
    <hyperlink r:id="rId6" location="/plant/8026" ref="G7"/>
    <hyperlink r:id="rId7" location="/plant/8066" ref="H7"/>
    <hyperlink r:id="rId8" location="/plant/6204" ref="I7"/>
    <hyperlink r:id="rId9" location="/plant/4162" ref="J7"/>
    <hyperlink r:id="rId10" location="/plant/55477" ref="K7"/>
    <hyperlink r:id="rId11" location="/plant/7504" ref="L7"/>
    <hyperlink r:id="rId12" location="/plant/56319" ref="M7"/>
    <hyperlink r:id="rId13" location="/plant/56596" ref="N7"/>
    <hyperlink r:id="rId14" location="/plant/6101" ref="O7"/>
  </hyperlinks>
  <printOptions/>
  <pageMargins bottom="0.75" footer="0.0" header="0.0" left="0.7" right="0.7" top="0.75"/>
  <pageSetup orientation="portrait"/>
  <drawing r:id="rId1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AAC"/>
    <pageSetUpPr/>
  </sheetPr>
  <sheetViews>
    <sheetView workbookViewId="0"/>
  </sheetViews>
  <sheetFormatPr customHeight="1" defaultColWidth="14.43" defaultRowHeight="15.0"/>
  <cols>
    <col customWidth="1" min="1" max="1" width="14.71"/>
    <col customWidth="1" min="2" max="3" width="13.29"/>
    <col customWidth="1" min="4" max="4" width="2.43"/>
    <col customWidth="1" min="5" max="5" width="14.71"/>
    <col customWidth="1" min="6" max="7" width="13.29"/>
    <col customWidth="1" min="8" max="8" width="2.43"/>
    <col customWidth="1" min="9" max="9" width="15.71"/>
    <col customWidth="1" min="10" max="10" width="13.29"/>
    <col customWidth="1" min="11" max="11" width="14.57"/>
    <col customWidth="1" min="12" max="12" width="2.43"/>
    <col customWidth="1" min="13" max="13" width="14.71"/>
    <col customWidth="1" min="14" max="15" width="13.29"/>
    <col customWidth="1" min="16" max="16" width="2.43"/>
    <col customWidth="1" min="17" max="17" width="14.71"/>
    <col customWidth="1" min="18" max="19" width="13.29"/>
    <col customWidth="1" min="20" max="20" width="2.43"/>
    <col customWidth="1" min="21" max="21" width="14.71"/>
    <col customWidth="1" min="22" max="23" width="13.29"/>
    <col customWidth="1" min="24" max="24" width="2.43"/>
    <col customWidth="1" min="25" max="25" width="14.71"/>
    <col customWidth="1" min="26" max="27" width="13.29"/>
    <col customWidth="1" min="28" max="28" width="2.43"/>
    <col customWidth="1" min="29" max="29" width="14.86"/>
    <col customWidth="1" min="30" max="31" width="13.29"/>
    <col customWidth="1" min="32" max="32" width="2.43"/>
    <col customWidth="1" min="33" max="33" width="14.86"/>
    <col customWidth="1" min="34" max="35" width="13.29"/>
    <col customWidth="1" min="36" max="36" width="2.43"/>
    <col customWidth="1" min="37" max="37" width="14.86"/>
    <col customWidth="1" min="38" max="39" width="13.29"/>
  </cols>
  <sheetData>
    <row r="1">
      <c r="A1" s="331" t="s">
        <v>424</v>
      </c>
      <c r="K1" s="331" t="s">
        <v>425</v>
      </c>
    </row>
    <row r="2">
      <c r="A2" s="331"/>
      <c r="K2" t="s">
        <v>426</v>
      </c>
    </row>
    <row r="3">
      <c r="B3" s="401" t="s">
        <v>427</v>
      </c>
      <c r="C3" t="s">
        <v>428</v>
      </c>
      <c r="K3" t="s">
        <v>429</v>
      </c>
    </row>
    <row r="4">
      <c r="B4" s="401" t="s">
        <v>430</v>
      </c>
      <c r="C4" t="s">
        <v>431</v>
      </c>
      <c r="K4" t="s">
        <v>432</v>
      </c>
    </row>
    <row r="5">
      <c r="B5" s="401" t="s">
        <v>433</v>
      </c>
      <c r="C5" s="402" t="s">
        <v>434</v>
      </c>
      <c r="K5" t="s">
        <v>436</v>
      </c>
    </row>
    <row r="6">
      <c r="B6" s="401" t="s">
        <v>437</v>
      </c>
      <c r="C6" s="403">
        <v>43508.0</v>
      </c>
      <c r="K6" t="s">
        <v>438</v>
      </c>
    </row>
    <row r="7">
      <c r="B7" s="401" t="s">
        <v>439</v>
      </c>
      <c r="C7" s="403">
        <v>43508.0</v>
      </c>
      <c r="K7" t="s">
        <v>440</v>
      </c>
    </row>
    <row r="8">
      <c r="B8" s="404" t="s">
        <v>441</v>
      </c>
      <c r="C8" s="405"/>
    </row>
    <row r="9">
      <c r="A9" s="331"/>
    </row>
    <row r="10" ht="63.75" customHeight="1">
      <c r="A10" s="406" t="s">
        <v>442</v>
      </c>
      <c r="B10" s="31"/>
      <c r="C10" s="32"/>
      <c r="D10" s="407"/>
      <c r="E10" s="406" t="s">
        <v>443</v>
      </c>
      <c r="F10" s="31"/>
      <c r="G10" s="32"/>
      <c r="H10" s="407"/>
      <c r="I10" s="406" t="s">
        <v>444</v>
      </c>
      <c r="J10" s="31"/>
      <c r="K10" s="32"/>
      <c r="L10" s="407"/>
      <c r="M10" s="406" t="s">
        <v>445</v>
      </c>
      <c r="N10" s="31"/>
      <c r="O10" s="32"/>
      <c r="P10" s="407"/>
      <c r="Q10" s="406" t="s">
        <v>446</v>
      </c>
      <c r="R10" s="31"/>
      <c r="S10" s="32"/>
      <c r="T10" s="407"/>
      <c r="U10" s="406" t="s">
        <v>447</v>
      </c>
      <c r="V10" s="31"/>
      <c r="W10" s="32"/>
      <c r="X10" s="407"/>
      <c r="Y10" s="406" t="s">
        <v>448</v>
      </c>
      <c r="Z10" s="31"/>
      <c r="AA10" s="32"/>
      <c r="AB10" s="407"/>
      <c r="AC10" s="406" t="s">
        <v>449</v>
      </c>
      <c r="AD10" s="31"/>
      <c r="AE10" s="32"/>
      <c r="AF10" s="407"/>
      <c r="AG10" s="406" t="s">
        <v>450</v>
      </c>
      <c r="AH10" s="31"/>
      <c r="AI10" s="32"/>
      <c r="AJ10" s="407"/>
      <c r="AK10" s="406" t="s">
        <v>451</v>
      </c>
      <c r="AL10" s="31"/>
      <c r="AM10" s="32"/>
    </row>
    <row r="11">
      <c r="A11" s="408" t="s">
        <v>452</v>
      </c>
      <c r="B11" s="409" t="s">
        <v>453</v>
      </c>
      <c r="C11" s="410" t="s">
        <v>454</v>
      </c>
      <c r="E11" s="408" t="s">
        <v>452</v>
      </c>
      <c r="F11" s="409" t="s">
        <v>453</v>
      </c>
      <c r="G11" s="410" t="s">
        <v>454</v>
      </c>
      <c r="I11" s="408" t="s">
        <v>452</v>
      </c>
      <c r="J11" s="409" t="s">
        <v>453</v>
      </c>
      <c r="K11" s="410" t="s">
        <v>454</v>
      </c>
      <c r="M11" s="408" t="s">
        <v>452</v>
      </c>
      <c r="N11" s="409" t="s">
        <v>453</v>
      </c>
      <c r="O11" s="410" t="s">
        <v>454</v>
      </c>
      <c r="Q11" s="408" t="s">
        <v>452</v>
      </c>
      <c r="R11" s="409" t="s">
        <v>453</v>
      </c>
      <c r="S11" s="410" t="s">
        <v>454</v>
      </c>
      <c r="U11" s="408" t="s">
        <v>452</v>
      </c>
      <c r="V11" s="409" t="s">
        <v>453</v>
      </c>
      <c r="W11" s="410" t="s">
        <v>454</v>
      </c>
      <c r="Y11" s="408" t="s">
        <v>452</v>
      </c>
      <c r="Z11" s="409" t="s">
        <v>453</v>
      </c>
      <c r="AA11" s="410" t="s">
        <v>454</v>
      </c>
      <c r="AC11" s="411" t="s">
        <v>452</v>
      </c>
      <c r="AD11" s="412" t="s">
        <v>453</v>
      </c>
      <c r="AE11" s="413" t="s">
        <v>454</v>
      </c>
      <c r="AG11" s="411" t="s">
        <v>452</v>
      </c>
      <c r="AH11" s="412" t="s">
        <v>453</v>
      </c>
      <c r="AI11" s="413" t="s">
        <v>454</v>
      </c>
      <c r="AK11" s="411" t="s">
        <v>452</v>
      </c>
      <c r="AL11" s="412" t="s">
        <v>453</v>
      </c>
      <c r="AM11" s="413" t="s">
        <v>454</v>
      </c>
    </row>
    <row r="12">
      <c r="A12" s="414">
        <v>2000.0</v>
      </c>
      <c r="B12" s="415">
        <v>1.6787237E7</v>
      </c>
      <c r="C12" s="416">
        <v>2.2380652E7</v>
      </c>
      <c r="E12" s="414">
        <v>2000.0</v>
      </c>
      <c r="F12" s="415">
        <v>387862.0</v>
      </c>
      <c r="G12" s="416">
        <v>292321.0</v>
      </c>
      <c r="I12" s="414">
        <v>2000.0</v>
      </c>
      <c r="J12" s="415">
        <v>1.0322939E7</v>
      </c>
      <c r="K12" s="416">
        <v>6.49852791E8</v>
      </c>
      <c r="M12" s="414">
        <v>2000.0</v>
      </c>
      <c r="N12" s="415">
        <v>35854.0</v>
      </c>
      <c r="O12" s="416">
        <v>60152.0</v>
      </c>
      <c r="Q12" s="414">
        <v>2000.0</v>
      </c>
      <c r="R12" s="415">
        <v>0.0</v>
      </c>
      <c r="S12" s="416">
        <v>0.0</v>
      </c>
      <c r="U12" s="414">
        <v>2000.0</v>
      </c>
      <c r="V12" s="415">
        <v>157315.0</v>
      </c>
      <c r="W12" s="416">
        <v>91239.0</v>
      </c>
      <c r="Y12" s="414">
        <v>2000.0</v>
      </c>
      <c r="Z12" s="415">
        <v>4525505.0</v>
      </c>
      <c r="AA12" s="416">
        <v>4.29301142E8</v>
      </c>
      <c r="AC12" s="414">
        <v>2000.0</v>
      </c>
      <c r="AD12" s="415">
        <v>2.4360918E7</v>
      </c>
      <c r="AE12" s="416">
        <v>2.08934914E8</v>
      </c>
      <c r="AG12" s="414">
        <v>2000.0</v>
      </c>
      <c r="AH12" s="415">
        <v>0.0</v>
      </c>
      <c r="AI12" s="416">
        <v>0.0</v>
      </c>
      <c r="AK12" s="414">
        <v>2000.0</v>
      </c>
      <c r="AL12" s="415">
        <v>4181797.0</v>
      </c>
      <c r="AM12" s="416">
        <v>1.94001816E8</v>
      </c>
    </row>
    <row r="13">
      <c r="A13" s="382">
        <v>2001.0</v>
      </c>
      <c r="B13" s="417">
        <v>1.604664E7</v>
      </c>
      <c r="C13" s="418">
        <v>2.3039074E7</v>
      </c>
      <c r="E13" s="382">
        <v>2001.0</v>
      </c>
      <c r="F13" s="417">
        <v>343246.0</v>
      </c>
      <c r="G13" s="418">
        <v>227660.0</v>
      </c>
      <c r="I13" s="382">
        <v>2001.0</v>
      </c>
      <c r="J13" s="417">
        <v>1.0723632E7</v>
      </c>
      <c r="K13" s="418">
        <v>6.70639527E8</v>
      </c>
      <c r="M13" s="382">
        <v>2001.0</v>
      </c>
      <c r="N13" s="417">
        <v>62411.0</v>
      </c>
      <c r="O13" s="418">
        <v>94827.0</v>
      </c>
      <c r="Q13" s="382">
        <v>2001.0</v>
      </c>
      <c r="R13" s="417">
        <v>0.0</v>
      </c>
      <c r="S13" s="418">
        <v>0.0</v>
      </c>
      <c r="U13" s="382">
        <v>2001.0</v>
      </c>
      <c r="V13" s="417">
        <v>149381.0</v>
      </c>
      <c r="W13" s="418">
        <v>87766.0</v>
      </c>
      <c r="Y13" s="382">
        <v>2001.0</v>
      </c>
      <c r="Z13" s="417">
        <v>3843408.0</v>
      </c>
      <c r="AA13" s="418">
        <v>4.22451096E8</v>
      </c>
      <c r="AC13" s="382">
        <v>2001.0</v>
      </c>
      <c r="AD13" s="417">
        <v>2.1957218E7</v>
      </c>
      <c r="AE13" s="418">
        <v>3.15621983E8</v>
      </c>
      <c r="AG13" s="382">
        <v>2001.0</v>
      </c>
      <c r="AH13" s="417">
        <v>0.0</v>
      </c>
      <c r="AI13" s="418">
        <v>0.0</v>
      </c>
      <c r="AK13" s="382">
        <v>2001.0</v>
      </c>
      <c r="AL13" s="417">
        <v>4281215.0</v>
      </c>
      <c r="AM13" s="418">
        <v>1.8815404E8</v>
      </c>
    </row>
    <row r="14">
      <c r="A14" s="382">
        <v>2002.0</v>
      </c>
      <c r="B14" s="417">
        <v>1.5241809E7</v>
      </c>
      <c r="C14" s="418">
        <v>2.3623373E7</v>
      </c>
      <c r="E14" s="382">
        <v>2002.0</v>
      </c>
      <c r="F14" s="417">
        <v>362780.0</v>
      </c>
      <c r="G14" s="418">
        <v>149013.0</v>
      </c>
      <c r="I14" s="382">
        <v>2002.0</v>
      </c>
      <c r="J14" s="417">
        <v>1.139853E7</v>
      </c>
      <c r="K14" s="418">
        <v>7.55688187E8</v>
      </c>
      <c r="M14" s="382">
        <v>2002.0</v>
      </c>
      <c r="N14" s="417">
        <v>45398.0</v>
      </c>
      <c r="O14" s="418">
        <v>86915.0</v>
      </c>
      <c r="Q14" s="382">
        <v>2002.0</v>
      </c>
      <c r="R14" s="417">
        <v>0.0</v>
      </c>
      <c r="S14" s="418">
        <v>0.0</v>
      </c>
      <c r="U14" s="382">
        <v>2002.0</v>
      </c>
      <c r="V14" s="417">
        <v>149277.0</v>
      </c>
      <c r="W14" s="418">
        <v>88182.0</v>
      </c>
      <c r="Y14" s="382">
        <v>2002.0</v>
      </c>
      <c r="Z14" s="417">
        <v>3065308.0</v>
      </c>
      <c r="AA14" s="418">
        <v>4.00333342E8</v>
      </c>
      <c r="AC14" s="382">
        <v>2002.0</v>
      </c>
      <c r="AD14" s="417">
        <v>2.0481246E7</v>
      </c>
      <c r="AE14" s="418">
        <v>3.79227102E8</v>
      </c>
      <c r="AG14" s="382">
        <v>2002.0</v>
      </c>
      <c r="AH14" s="417">
        <v>0.0</v>
      </c>
      <c r="AI14" s="418">
        <v>0.0</v>
      </c>
      <c r="AK14" s="382">
        <v>2002.0</v>
      </c>
      <c r="AL14" s="417">
        <v>4052212.0</v>
      </c>
      <c r="AM14" s="418">
        <v>1.90255164E8</v>
      </c>
    </row>
    <row r="15">
      <c r="A15" s="382">
        <v>2003.0</v>
      </c>
      <c r="B15" s="417">
        <v>1.5026231E7</v>
      </c>
      <c r="C15" s="418">
        <v>2.3295717E7</v>
      </c>
      <c r="E15" s="382">
        <v>2003.0</v>
      </c>
      <c r="F15" s="417">
        <v>317527.0</v>
      </c>
      <c r="G15" s="418">
        <v>126081.0</v>
      </c>
      <c r="I15" s="382">
        <v>2003.0</v>
      </c>
      <c r="J15" s="417">
        <v>1.1400386E7</v>
      </c>
      <c r="K15" s="418">
        <v>8.1999191E8</v>
      </c>
      <c r="M15" s="382">
        <v>2003.0</v>
      </c>
      <c r="N15" s="417">
        <v>41830.0</v>
      </c>
      <c r="O15" s="418">
        <v>80396.0</v>
      </c>
      <c r="Q15" s="382">
        <v>2003.0</v>
      </c>
      <c r="R15" s="417">
        <v>0.0</v>
      </c>
      <c r="S15" s="418">
        <v>0.0</v>
      </c>
      <c r="U15" s="382">
        <v>2003.0</v>
      </c>
      <c r="V15" s="417">
        <v>157831.0</v>
      </c>
      <c r="W15" s="418">
        <v>81565.0</v>
      </c>
      <c r="Y15" s="382">
        <v>2003.0</v>
      </c>
      <c r="Z15" s="417">
        <v>2951496.0</v>
      </c>
      <c r="AA15" s="418">
        <v>4.16092069E8</v>
      </c>
      <c r="AC15" s="382">
        <v>2003.0</v>
      </c>
      <c r="AD15" s="417">
        <v>1.9194128E7</v>
      </c>
      <c r="AE15" s="418">
        <v>3.92072711E8</v>
      </c>
      <c r="AG15" s="382">
        <v>2003.0</v>
      </c>
      <c r="AH15" s="417">
        <v>0.0</v>
      </c>
      <c r="AI15" s="418">
        <v>0.0</v>
      </c>
      <c r="AK15" s="382">
        <v>2003.0</v>
      </c>
      <c r="AL15" s="417">
        <v>3877722.0</v>
      </c>
      <c r="AM15" s="418">
        <v>1.89828848E8</v>
      </c>
    </row>
    <row r="16">
      <c r="A16" s="382">
        <v>2004.0</v>
      </c>
      <c r="B16" s="417">
        <v>1.488825E7</v>
      </c>
      <c r="C16" s="418">
        <v>2.32941E7</v>
      </c>
      <c r="E16" s="382">
        <v>2004.0</v>
      </c>
      <c r="F16" s="417">
        <v>280337.0</v>
      </c>
      <c r="G16" s="418">
        <v>128739.0</v>
      </c>
      <c r="I16" s="382">
        <v>2004.0</v>
      </c>
      <c r="J16" s="417">
        <v>1.1688316E7</v>
      </c>
      <c r="K16" s="418">
        <v>8.85790287E8</v>
      </c>
      <c r="M16" s="382">
        <v>2004.0</v>
      </c>
      <c r="N16" s="417">
        <v>35715.0</v>
      </c>
      <c r="O16" s="418">
        <v>58953.0</v>
      </c>
      <c r="Q16" s="382">
        <v>2004.0</v>
      </c>
      <c r="R16" s="417">
        <v>0.0</v>
      </c>
      <c r="S16" s="418">
        <v>0.0</v>
      </c>
      <c r="U16" s="382">
        <v>2004.0</v>
      </c>
      <c r="V16" s="417">
        <v>148167.0</v>
      </c>
      <c r="W16" s="418">
        <v>73331.0</v>
      </c>
      <c r="Y16" s="382">
        <v>2004.0</v>
      </c>
      <c r="Z16" s="417">
        <v>2607352.0</v>
      </c>
      <c r="AA16" s="418">
        <v>4.09211714E8</v>
      </c>
      <c r="AC16" s="382">
        <v>2004.0</v>
      </c>
      <c r="AD16" s="417">
        <v>1.8243169E7</v>
      </c>
      <c r="AE16" s="418">
        <v>3.72856646E8</v>
      </c>
      <c r="AG16" s="382">
        <v>2004.0</v>
      </c>
      <c r="AH16" s="417">
        <v>0.0</v>
      </c>
      <c r="AI16" s="418">
        <v>0.0</v>
      </c>
      <c r="AK16" s="382">
        <v>2004.0</v>
      </c>
      <c r="AL16" s="417">
        <v>4048578.0</v>
      </c>
      <c r="AM16" s="418">
        <v>2.37871785E8</v>
      </c>
    </row>
    <row r="17">
      <c r="A17" s="382">
        <v>2005.0</v>
      </c>
      <c r="B17" s="417">
        <v>1.4509277E7</v>
      </c>
      <c r="C17" s="418">
        <v>2.2267548E7</v>
      </c>
      <c r="E17" s="382">
        <v>2005.0</v>
      </c>
      <c r="F17" s="417">
        <v>300202.0</v>
      </c>
      <c r="G17" s="418">
        <v>134004.0</v>
      </c>
      <c r="I17" s="382">
        <v>2005.0</v>
      </c>
      <c r="J17" s="417">
        <v>1.2408553E7</v>
      </c>
      <c r="K17" s="418">
        <v>9.67362751E8</v>
      </c>
      <c r="M17" s="382">
        <v>2005.0</v>
      </c>
      <c r="N17" s="417">
        <v>36011.0</v>
      </c>
      <c r="O17" s="418">
        <v>53286.0</v>
      </c>
      <c r="Q17" s="382">
        <v>2005.0</v>
      </c>
      <c r="R17" s="417">
        <v>0.0</v>
      </c>
      <c r="S17" s="418">
        <v>0.0</v>
      </c>
      <c r="U17" s="382">
        <v>2005.0</v>
      </c>
      <c r="V17" s="417">
        <v>135883.0</v>
      </c>
      <c r="W17" s="418">
        <v>69152.0</v>
      </c>
      <c r="Y17" s="382">
        <v>2005.0</v>
      </c>
      <c r="Z17" s="417">
        <v>2141573.0</v>
      </c>
      <c r="AA17" s="418">
        <v>3.99848968E8</v>
      </c>
      <c r="AC17" s="382">
        <v>2005.0</v>
      </c>
      <c r="AD17" s="417">
        <v>1.826955E7</v>
      </c>
      <c r="AE17" s="418">
        <v>3.71809248E8</v>
      </c>
      <c r="AG17" s="382">
        <v>2005.0</v>
      </c>
      <c r="AH17" s="417">
        <v>0.0</v>
      </c>
      <c r="AI17" s="418">
        <v>0.0</v>
      </c>
      <c r="AK17" s="382">
        <v>2005.0</v>
      </c>
      <c r="AL17" s="417">
        <v>3969008.0</v>
      </c>
      <c r="AM17" s="418">
        <v>2.47167392E8</v>
      </c>
    </row>
    <row r="18">
      <c r="A18" s="382">
        <v>2006.0</v>
      </c>
      <c r="B18" s="417">
        <v>1.4629595E7</v>
      </c>
      <c r="C18" s="418">
        <v>2.2581909E7</v>
      </c>
      <c r="E18" s="382">
        <v>2006.0</v>
      </c>
      <c r="F18" s="417">
        <v>273270.0</v>
      </c>
      <c r="G18" s="418">
        <v>138172.0</v>
      </c>
      <c r="I18" s="382">
        <v>2006.0</v>
      </c>
      <c r="J18" s="417">
        <v>1.3673147E7</v>
      </c>
      <c r="K18" s="418">
        <v>1.071356682E9</v>
      </c>
      <c r="M18" s="382">
        <v>2006.0</v>
      </c>
      <c r="N18" s="417">
        <v>54062.0</v>
      </c>
      <c r="O18" s="418">
        <v>42207.0</v>
      </c>
      <c r="Q18" s="382">
        <v>2006.0</v>
      </c>
      <c r="R18" s="417">
        <v>0.0</v>
      </c>
      <c r="S18" s="418">
        <v>0.0</v>
      </c>
      <c r="U18" s="382">
        <v>2006.0</v>
      </c>
      <c r="V18" s="417">
        <v>134332.0</v>
      </c>
      <c r="W18" s="418">
        <v>90659.0</v>
      </c>
      <c r="Y18" s="382">
        <v>2006.0</v>
      </c>
      <c r="Z18" s="417">
        <v>1840809.0</v>
      </c>
      <c r="AA18" s="418">
        <v>3.8174463E8</v>
      </c>
      <c r="AC18" s="382">
        <v>2006.0</v>
      </c>
      <c r="AD18" s="417">
        <v>1.8580693E7</v>
      </c>
      <c r="AE18" s="418">
        <v>4.08631124E8</v>
      </c>
      <c r="AG18" s="382">
        <v>2006.0</v>
      </c>
      <c r="AH18" s="417">
        <v>0.0</v>
      </c>
      <c r="AI18" s="418">
        <v>0.0</v>
      </c>
      <c r="AK18" s="382">
        <v>2006.0</v>
      </c>
      <c r="AL18" s="417">
        <v>3779881.0</v>
      </c>
      <c r="AM18" s="418">
        <v>2.30961E8</v>
      </c>
    </row>
    <row r="19">
      <c r="A19" s="382">
        <v>2007.0</v>
      </c>
      <c r="B19" s="417">
        <v>1.4542138E7</v>
      </c>
      <c r="C19" s="418">
        <v>2.0757954E7</v>
      </c>
      <c r="E19" s="382">
        <v>2007.0</v>
      </c>
      <c r="F19" s="417">
        <v>409525.0</v>
      </c>
      <c r="G19" s="418">
        <v>114138.0</v>
      </c>
      <c r="I19" s="382">
        <v>2007.0</v>
      </c>
      <c r="J19" s="417">
        <v>1.5491878E7</v>
      </c>
      <c r="K19" s="418">
        <v>1.220242303E9</v>
      </c>
      <c r="M19" s="382">
        <v>2007.0</v>
      </c>
      <c r="N19" s="417">
        <v>55690.0</v>
      </c>
      <c r="O19" s="418">
        <v>38668.0</v>
      </c>
      <c r="Q19" s="382">
        <v>2007.0</v>
      </c>
      <c r="R19" s="417">
        <v>0.0</v>
      </c>
      <c r="S19" s="418">
        <v>0.0</v>
      </c>
      <c r="U19" s="382">
        <v>2007.0</v>
      </c>
      <c r="V19" s="417">
        <v>120366.0</v>
      </c>
      <c r="W19" s="418">
        <v>82959.0</v>
      </c>
      <c r="Y19" s="382">
        <v>2007.0</v>
      </c>
      <c r="Z19" s="417">
        <v>1457118.0</v>
      </c>
      <c r="AA19" s="418">
        <v>3.6209596E8</v>
      </c>
      <c r="AC19" s="382">
        <v>2007.0</v>
      </c>
      <c r="AD19" s="417">
        <v>1.8238685E7</v>
      </c>
      <c r="AE19" s="418">
        <v>4.58031459E8</v>
      </c>
      <c r="AG19" s="382">
        <v>2007.0</v>
      </c>
      <c r="AH19" s="417">
        <v>0.0</v>
      </c>
      <c r="AI19" s="418">
        <v>0.0</v>
      </c>
      <c r="AK19" s="382">
        <v>2007.0</v>
      </c>
      <c r="AL19" s="417">
        <v>3784449.0</v>
      </c>
      <c r="AM19" s="418">
        <v>1.98531235E8</v>
      </c>
    </row>
    <row r="20">
      <c r="A20" s="382">
        <v>2008.0</v>
      </c>
      <c r="B20" s="417">
        <v>1.3903299E7</v>
      </c>
      <c r="C20" s="418">
        <v>1.9682771E7</v>
      </c>
      <c r="E20" s="382">
        <v>2008.0</v>
      </c>
      <c r="F20" s="417">
        <v>474063.0</v>
      </c>
      <c r="G20" s="418">
        <v>97005.0</v>
      </c>
      <c r="I20" s="382">
        <v>2008.0</v>
      </c>
      <c r="J20" s="417">
        <v>1.5801535E7</v>
      </c>
      <c r="K20" s="418">
        <v>1.373399315E9</v>
      </c>
      <c r="M20" s="382">
        <v>2008.0</v>
      </c>
      <c r="N20" s="417">
        <v>40760.0</v>
      </c>
      <c r="O20" s="418">
        <v>37610.0</v>
      </c>
      <c r="Q20" s="382">
        <v>2008.0</v>
      </c>
      <c r="R20" s="417">
        <v>0.0</v>
      </c>
      <c r="S20" s="418">
        <v>0.0</v>
      </c>
      <c r="U20" s="382">
        <v>2008.0</v>
      </c>
      <c r="V20" s="417">
        <v>107277.0</v>
      </c>
      <c r="W20" s="418">
        <v>131942.0</v>
      </c>
      <c r="Y20" s="382">
        <v>2008.0</v>
      </c>
      <c r="Z20" s="417">
        <v>1248415.0</v>
      </c>
      <c r="AA20" s="418">
        <v>3.53518364E8</v>
      </c>
      <c r="AC20" s="382">
        <v>2008.0</v>
      </c>
      <c r="AD20" s="417">
        <v>1.7641324E7</v>
      </c>
      <c r="AE20" s="418">
        <v>5.62800778E8</v>
      </c>
      <c r="AG20" s="382">
        <v>2008.0</v>
      </c>
      <c r="AH20" s="417">
        <v>0.0</v>
      </c>
      <c r="AI20" s="418">
        <v>0.0</v>
      </c>
      <c r="AK20" s="382">
        <v>2008.0</v>
      </c>
      <c r="AL20" s="417">
        <v>3815614.0</v>
      </c>
      <c r="AM20" s="418">
        <v>1.69338859E8</v>
      </c>
    </row>
    <row r="21" ht="15.75" customHeight="1">
      <c r="A21" s="382">
        <v>2009.0</v>
      </c>
      <c r="B21" s="417">
        <v>1.295507E7</v>
      </c>
      <c r="C21" s="418">
        <v>1.6653095E7</v>
      </c>
      <c r="E21" s="382">
        <v>2009.0</v>
      </c>
      <c r="F21" s="417">
        <v>345931.0</v>
      </c>
      <c r="G21" s="418">
        <v>100918.0</v>
      </c>
      <c r="I21" s="382">
        <v>2009.0</v>
      </c>
      <c r="J21" s="417">
        <v>1.5903928E7</v>
      </c>
      <c r="K21" s="418">
        <v>1.431200928E9</v>
      </c>
      <c r="M21" s="382">
        <v>2009.0</v>
      </c>
      <c r="N21" s="417">
        <v>43526.0</v>
      </c>
      <c r="O21" s="418">
        <v>54571.0</v>
      </c>
      <c r="Q21" s="382">
        <v>2009.0</v>
      </c>
      <c r="R21" s="417">
        <v>0.0</v>
      </c>
      <c r="S21" s="418">
        <v>0.0</v>
      </c>
      <c r="U21" s="382">
        <v>2009.0</v>
      </c>
      <c r="V21" s="417">
        <v>108631.0</v>
      </c>
      <c r="W21" s="418">
        <v>146490.0</v>
      </c>
      <c r="Y21" s="382">
        <v>2009.0</v>
      </c>
      <c r="Z21" s="417">
        <v>1021830.0</v>
      </c>
      <c r="AA21" s="418">
        <v>3.2084903E8</v>
      </c>
      <c r="AC21" s="382">
        <v>2009.0</v>
      </c>
      <c r="AD21" s="417">
        <v>1.7303097E7</v>
      </c>
      <c r="AE21" s="418">
        <v>5.84314885E8</v>
      </c>
      <c r="AG21" s="382">
        <v>2009.0</v>
      </c>
      <c r="AH21" s="417">
        <v>0.0</v>
      </c>
      <c r="AI21" s="418">
        <v>0.0</v>
      </c>
      <c r="AK21" s="382">
        <v>2009.0</v>
      </c>
      <c r="AL21" s="417">
        <v>3836372.0</v>
      </c>
      <c r="AM21" s="418">
        <v>1.9203996E8</v>
      </c>
    </row>
    <row r="22" ht="15.75" customHeight="1">
      <c r="A22" s="382">
        <v>2010.0</v>
      </c>
      <c r="B22" s="417">
        <v>1.2563594E7</v>
      </c>
      <c r="C22" s="418">
        <v>1.6226041E7</v>
      </c>
      <c r="E22" s="382">
        <v>2010.0</v>
      </c>
      <c r="F22" s="417">
        <v>578201.0</v>
      </c>
      <c r="G22" s="418">
        <v>210929.0</v>
      </c>
      <c r="I22" s="382">
        <v>2010.0</v>
      </c>
      <c r="J22" s="417">
        <v>1.6125483E7</v>
      </c>
      <c r="K22" s="418">
        <v>1.421680036E9</v>
      </c>
      <c r="M22" s="382">
        <v>2010.0</v>
      </c>
      <c r="N22" s="417">
        <v>45316.0</v>
      </c>
      <c r="O22" s="418">
        <v>276279.0</v>
      </c>
      <c r="Q22" s="382">
        <v>2010.0</v>
      </c>
      <c r="R22" s="417">
        <v>0.0</v>
      </c>
      <c r="S22" s="418">
        <v>0.0</v>
      </c>
      <c r="U22" s="382">
        <v>2010.0</v>
      </c>
      <c r="V22" s="417">
        <v>117799.0</v>
      </c>
      <c r="W22" s="418">
        <v>146211.0</v>
      </c>
      <c r="Y22" s="382">
        <v>2010.0</v>
      </c>
      <c r="Z22" s="417">
        <v>983237.0</v>
      </c>
      <c r="AA22" s="418">
        <v>3.4168472E8</v>
      </c>
      <c r="AC22" s="382">
        <v>2010.0</v>
      </c>
      <c r="AD22" s="417">
        <v>1.8983195E7</v>
      </c>
      <c r="AE22" s="418">
        <v>5.63483554E8</v>
      </c>
      <c r="AG22" s="382">
        <v>2010.0</v>
      </c>
      <c r="AH22" s="417">
        <v>0.0</v>
      </c>
      <c r="AI22" s="418">
        <v>0.0</v>
      </c>
      <c r="AK22" s="382">
        <v>2010.0</v>
      </c>
      <c r="AL22" s="417">
        <v>4483089.0</v>
      </c>
      <c r="AM22" s="418">
        <v>1.80589146E8</v>
      </c>
    </row>
    <row r="23" ht="15.75" customHeight="1">
      <c r="A23" s="382">
        <v>2011.0</v>
      </c>
      <c r="B23" s="417">
        <v>1.2074989E7</v>
      </c>
      <c r="C23" s="418">
        <v>1.5311163E7</v>
      </c>
      <c r="E23" s="382">
        <v>2011.0</v>
      </c>
      <c r="F23" s="417">
        <v>847337.0</v>
      </c>
      <c r="G23" s="418">
        <v>640083.0</v>
      </c>
      <c r="I23" s="382">
        <v>2011.0</v>
      </c>
      <c r="J23" s="417">
        <v>1.5372647E7</v>
      </c>
      <c r="K23" s="418">
        <v>1.350146622E9</v>
      </c>
      <c r="M23" s="382">
        <v>2011.0</v>
      </c>
      <c r="N23" s="417">
        <v>43484.0</v>
      </c>
      <c r="O23" s="418">
        <v>64376.0</v>
      </c>
      <c r="Q23" s="382">
        <v>2011.0</v>
      </c>
      <c r="R23" s="417">
        <v>0.0</v>
      </c>
      <c r="S23" s="418">
        <v>0.0</v>
      </c>
      <c r="U23" s="382">
        <v>2011.0</v>
      </c>
      <c r="V23" s="417">
        <v>120093.0</v>
      </c>
      <c r="W23" s="418">
        <v>136518.0</v>
      </c>
      <c r="Y23" s="382">
        <v>2011.0</v>
      </c>
      <c r="Z23" s="417">
        <v>793955.0</v>
      </c>
      <c r="AA23" s="418">
        <v>3.11973758E8</v>
      </c>
      <c r="AC23" s="382">
        <v>2011.0</v>
      </c>
      <c r="AD23" s="417">
        <v>2.0593484E7</v>
      </c>
      <c r="AE23" s="418">
        <v>5.10152116E8</v>
      </c>
      <c r="AG23" s="382">
        <v>2011.0</v>
      </c>
      <c r="AH23" s="417">
        <v>0.0</v>
      </c>
      <c r="AI23" s="418">
        <v>0.0</v>
      </c>
      <c r="AK23" s="382">
        <v>2011.0</v>
      </c>
      <c r="AL23" s="417">
        <v>4612682.0</v>
      </c>
      <c r="AM23" s="418">
        <v>1.88850892E8</v>
      </c>
    </row>
    <row r="24" ht="15.75" customHeight="1">
      <c r="A24" s="382">
        <v>2012.0</v>
      </c>
      <c r="B24" s="417">
        <v>1.2092493E7</v>
      </c>
      <c r="C24" s="418">
        <v>1.4570021E7</v>
      </c>
      <c r="E24" s="382">
        <v>2012.0</v>
      </c>
      <c r="F24" s="417">
        <v>1094289.0</v>
      </c>
      <c r="G24" s="418">
        <v>842305.0</v>
      </c>
      <c r="I24" s="382">
        <v>2012.0</v>
      </c>
      <c r="J24" s="417">
        <v>1.5196209E7</v>
      </c>
      <c r="K24" s="418">
        <v>1.303943975E9</v>
      </c>
      <c r="M24" s="382">
        <v>2012.0</v>
      </c>
      <c r="N24" s="417">
        <v>49650.0</v>
      </c>
      <c r="O24" s="418">
        <v>53995.0</v>
      </c>
      <c r="Q24" s="382">
        <v>2012.0</v>
      </c>
      <c r="R24" s="417">
        <v>0.0</v>
      </c>
      <c r="S24" s="418">
        <v>0.0</v>
      </c>
      <c r="U24" s="382">
        <v>2012.0</v>
      </c>
      <c r="V24" s="417">
        <v>129334.0</v>
      </c>
      <c r="W24" s="418">
        <v>99449.0</v>
      </c>
      <c r="Y24" s="382">
        <v>2012.0</v>
      </c>
      <c r="Z24" s="417">
        <v>716421.0</v>
      </c>
      <c r="AA24" s="418">
        <v>3.12917594E8</v>
      </c>
      <c r="AC24" s="382">
        <v>2012.0</v>
      </c>
      <c r="AD24" s="417">
        <v>2.3425872E7</v>
      </c>
      <c r="AE24" s="418">
        <v>4.39956102E8</v>
      </c>
      <c r="AG24" s="382">
        <v>2012.0</v>
      </c>
      <c r="AH24" s="417">
        <v>0.0</v>
      </c>
      <c r="AI24" s="418">
        <v>0.0</v>
      </c>
      <c r="AK24" s="382">
        <v>2012.0</v>
      </c>
      <c r="AL24" s="417">
        <v>5099500.0</v>
      </c>
      <c r="AM24" s="418">
        <v>1.76416853E8</v>
      </c>
    </row>
    <row r="25" ht="15.75" customHeight="1">
      <c r="A25" s="382">
        <v>2013.0</v>
      </c>
      <c r="B25" s="417">
        <v>1.1674883E7</v>
      </c>
      <c r="C25" s="418">
        <v>1.3841176E7</v>
      </c>
      <c r="E25" s="382">
        <v>2013.0</v>
      </c>
      <c r="F25" s="417">
        <v>1412787.0</v>
      </c>
      <c r="G25" s="418">
        <v>1087780.0</v>
      </c>
      <c r="I25" s="382">
        <v>2013.0</v>
      </c>
      <c r="J25" s="417">
        <v>1.427927E7</v>
      </c>
      <c r="K25" s="418">
        <v>1.20991267E9</v>
      </c>
      <c r="M25" s="382">
        <v>2013.0</v>
      </c>
      <c r="N25" s="417">
        <v>32481.0</v>
      </c>
      <c r="O25" s="418">
        <v>28477.0</v>
      </c>
      <c r="Q25" s="382">
        <v>2013.0</v>
      </c>
      <c r="R25" s="417">
        <v>0.0</v>
      </c>
      <c r="S25" s="418">
        <v>0.0</v>
      </c>
      <c r="U25" s="382">
        <v>2013.0</v>
      </c>
      <c r="V25" s="417">
        <v>117063.0</v>
      </c>
      <c r="W25" s="418">
        <v>125397.0</v>
      </c>
      <c r="Y25" s="382">
        <v>2013.0</v>
      </c>
      <c r="Z25" s="417">
        <v>698798.0</v>
      </c>
      <c r="AA25" s="418">
        <v>3.05187717E8</v>
      </c>
      <c r="AC25" s="382">
        <v>2013.0</v>
      </c>
      <c r="AD25" s="417">
        <v>3.0590055E7</v>
      </c>
      <c r="AE25" s="418">
        <v>3.68428714E8</v>
      </c>
      <c r="AG25" s="382">
        <v>2013.0</v>
      </c>
      <c r="AH25" s="417">
        <v>0.0</v>
      </c>
      <c r="AI25" s="418">
        <v>0.0</v>
      </c>
      <c r="AK25" s="382">
        <v>2013.0</v>
      </c>
      <c r="AL25" s="417">
        <v>4677439.0</v>
      </c>
      <c r="AM25" s="418">
        <v>1.70822339E8</v>
      </c>
    </row>
    <row r="26" ht="15.75" customHeight="1">
      <c r="A26" s="382">
        <v>2014.0</v>
      </c>
      <c r="B26" s="417">
        <v>1.1507921E7</v>
      </c>
      <c r="C26" s="418">
        <v>1.351319E7</v>
      </c>
      <c r="E26" s="382">
        <v>2014.0</v>
      </c>
      <c r="F26" s="417">
        <v>3805092.0</v>
      </c>
      <c r="G26" s="418">
        <v>2618276.0</v>
      </c>
      <c r="I26" s="382">
        <v>2014.0</v>
      </c>
      <c r="J26" s="417">
        <v>1.4132721E7</v>
      </c>
      <c r="K26" s="418">
        <v>1.174098702E9</v>
      </c>
      <c r="M26" s="382">
        <v>2014.0</v>
      </c>
      <c r="N26" s="417">
        <v>18406.0</v>
      </c>
      <c r="O26" s="418">
        <v>7030.0</v>
      </c>
      <c r="Q26" s="382">
        <v>2014.0</v>
      </c>
      <c r="R26" s="417">
        <v>0.0</v>
      </c>
      <c r="S26" s="418">
        <v>0.0</v>
      </c>
      <c r="U26" s="382">
        <v>2014.0</v>
      </c>
      <c r="V26" s="417">
        <v>118216.0</v>
      </c>
      <c r="W26" s="418">
        <v>105567.0</v>
      </c>
      <c r="Y26" s="382">
        <v>2014.0</v>
      </c>
      <c r="Z26" s="417">
        <v>587773.0</v>
      </c>
      <c r="AA26" s="418">
        <v>3.27126182E8</v>
      </c>
      <c r="AC26" s="382">
        <v>2014.0</v>
      </c>
      <c r="AD26" s="417">
        <v>4.164495E7</v>
      </c>
      <c r="AE26" s="418">
        <v>3.21007229E8</v>
      </c>
      <c r="AG26" s="382">
        <v>2014.0</v>
      </c>
      <c r="AH26" s="417">
        <v>0.0</v>
      </c>
      <c r="AI26" s="418">
        <v>0.0</v>
      </c>
      <c r="AK26" s="382">
        <v>2014.0</v>
      </c>
      <c r="AL26" s="417">
        <v>4298528.0</v>
      </c>
      <c r="AM26" s="418">
        <v>1.59715162E8</v>
      </c>
    </row>
    <row r="27" ht="15.75" customHeight="1">
      <c r="A27" s="382">
        <v>2015.0</v>
      </c>
      <c r="B27" s="417">
        <v>1.1129277E7</v>
      </c>
      <c r="C27" s="418">
        <v>1.2998999E7</v>
      </c>
      <c r="E27" s="382">
        <v>2015.0</v>
      </c>
      <c r="F27" s="417">
        <v>5112826.0</v>
      </c>
      <c r="G27" s="418">
        <v>3922793.0</v>
      </c>
      <c r="I27" s="382">
        <v>2015.0</v>
      </c>
      <c r="J27" s="417">
        <v>1.469197E7</v>
      </c>
      <c r="K27" s="418">
        <v>1.193751821E9</v>
      </c>
      <c r="M27" s="382">
        <v>2015.0</v>
      </c>
      <c r="N27" s="417">
        <v>15055.0</v>
      </c>
      <c r="O27" s="418">
        <v>6325.0</v>
      </c>
      <c r="Q27" s="382">
        <v>2015.0</v>
      </c>
      <c r="R27" s="417">
        <v>0.0</v>
      </c>
      <c r="S27" s="418">
        <v>0.0</v>
      </c>
      <c r="U27" s="382">
        <v>2015.0</v>
      </c>
      <c r="V27" s="417">
        <v>101961.0</v>
      </c>
      <c r="W27" s="418">
        <v>65171.0</v>
      </c>
      <c r="Y27" s="382">
        <v>2015.0</v>
      </c>
      <c r="Z27" s="417">
        <v>539705.0</v>
      </c>
      <c r="AA27" s="418">
        <v>3.2401029E8</v>
      </c>
      <c r="AC27" s="382">
        <v>2015.0</v>
      </c>
      <c r="AD27" s="417">
        <v>5.0455923E7</v>
      </c>
      <c r="AE27" s="418">
        <v>2.90810418E8</v>
      </c>
      <c r="AG27" s="382">
        <v>2015.0</v>
      </c>
      <c r="AH27" s="417">
        <v>0.0</v>
      </c>
      <c r="AI27" s="418">
        <v>0.0</v>
      </c>
      <c r="AK27" s="382">
        <v>2015.0</v>
      </c>
      <c r="AL27" s="417">
        <v>4394020.0</v>
      </c>
      <c r="AM27" s="418">
        <v>1.59556666E8</v>
      </c>
    </row>
    <row r="28" ht="15.75" customHeight="1">
      <c r="A28" s="382">
        <v>2016.0</v>
      </c>
      <c r="B28" s="417">
        <v>1.0163591E7</v>
      </c>
      <c r="C28" s="418">
        <v>1.3053603E7</v>
      </c>
      <c r="E28" s="382">
        <v>2016.0</v>
      </c>
      <c r="F28" s="417">
        <v>4922740.0</v>
      </c>
      <c r="G28" s="418">
        <v>3973597.0</v>
      </c>
      <c r="I28" s="382">
        <v>2016.0</v>
      </c>
      <c r="J28" s="417">
        <v>1.3882099E7</v>
      </c>
      <c r="K28" s="418">
        <v>1.132497824E9</v>
      </c>
      <c r="M28" s="382">
        <v>2016.0</v>
      </c>
      <c r="N28" s="417">
        <v>25035.0</v>
      </c>
      <c r="O28" s="418">
        <v>32017.0</v>
      </c>
      <c r="Q28" s="382">
        <v>2016.0</v>
      </c>
      <c r="R28" s="417">
        <v>0.0</v>
      </c>
      <c r="S28" s="418">
        <v>0.0</v>
      </c>
      <c r="U28" s="382">
        <v>2016.0</v>
      </c>
      <c r="V28" s="417">
        <v>74259.0</v>
      </c>
      <c r="W28" s="418">
        <v>99072.0</v>
      </c>
      <c r="Y28" s="382">
        <v>2016.0</v>
      </c>
      <c r="Z28" s="417">
        <v>458914.0</v>
      </c>
      <c r="AA28" s="418">
        <v>3.01414411E8</v>
      </c>
      <c r="AC28" s="382">
        <v>2016.0</v>
      </c>
      <c r="AD28" s="417">
        <v>3.8709215E7</v>
      </c>
      <c r="AE28" s="418">
        <v>2.42970927E8</v>
      </c>
      <c r="AG28" s="382">
        <v>2016.0</v>
      </c>
      <c r="AH28" s="417">
        <v>0.0</v>
      </c>
      <c r="AI28" s="418">
        <v>0.0</v>
      </c>
      <c r="AK28" s="382">
        <v>2016.0</v>
      </c>
      <c r="AL28" s="417">
        <v>4313257.0</v>
      </c>
      <c r="AM28" s="418">
        <v>1.54503385E8</v>
      </c>
    </row>
    <row r="29" ht="15.75" customHeight="1">
      <c r="A29" s="382">
        <v>2017.0</v>
      </c>
      <c r="B29" s="417">
        <v>1.003553E7</v>
      </c>
      <c r="C29" s="418">
        <v>1.2475734E7</v>
      </c>
      <c r="E29" s="382">
        <v>2017.0</v>
      </c>
      <c r="F29" s="417">
        <v>7356118.0</v>
      </c>
      <c r="G29" s="418">
        <v>6538124.0</v>
      </c>
      <c r="I29" s="382">
        <v>2017.0</v>
      </c>
      <c r="J29" s="417">
        <v>1.3910376E7</v>
      </c>
      <c r="K29" s="418">
        <v>1.081256745E9</v>
      </c>
      <c r="M29" s="382">
        <v>2017.0</v>
      </c>
      <c r="N29" s="417">
        <v>21797.0</v>
      </c>
      <c r="O29" s="418">
        <v>27618.0</v>
      </c>
      <c r="Q29" s="382">
        <v>2017.0</v>
      </c>
      <c r="R29" s="417">
        <v>0.0</v>
      </c>
      <c r="S29" s="418">
        <v>0.0</v>
      </c>
      <c r="U29" s="382">
        <v>2017.0</v>
      </c>
      <c r="V29" s="417">
        <v>80714.0</v>
      </c>
      <c r="W29" s="418">
        <v>97372.0</v>
      </c>
      <c r="Y29" s="382">
        <v>2017.0</v>
      </c>
      <c r="Z29" s="417">
        <v>577046.0</v>
      </c>
      <c r="AA29" s="418">
        <v>3.24836219E8</v>
      </c>
      <c r="AC29" s="382">
        <v>2017.0</v>
      </c>
      <c r="AD29" s="417">
        <v>3.9581558E7</v>
      </c>
      <c r="AE29" s="418">
        <v>2.31673831E8</v>
      </c>
      <c r="AG29" s="382">
        <v>2017.0</v>
      </c>
      <c r="AH29" s="417">
        <v>0.0</v>
      </c>
      <c r="AI29" s="418">
        <v>0.0</v>
      </c>
      <c r="AK29" s="382">
        <v>2017.0</v>
      </c>
      <c r="AL29" s="417">
        <v>4080137.0</v>
      </c>
      <c r="AM29" s="418">
        <v>1.48740313E8</v>
      </c>
    </row>
    <row r="30" ht="15.75" customHeight="1">
      <c r="A30" s="382">
        <v>2018.0</v>
      </c>
      <c r="B30" s="417">
        <v>9907729.0</v>
      </c>
      <c r="C30" s="418">
        <v>1.1421726E7</v>
      </c>
      <c r="E30" s="382">
        <v>2018.0</v>
      </c>
      <c r="F30" s="417">
        <v>9513666.0</v>
      </c>
      <c r="G30" s="418">
        <v>8577182.0</v>
      </c>
      <c r="I30" s="382">
        <v>2018.0</v>
      </c>
      <c r="J30" s="417">
        <v>1.3495292E7</v>
      </c>
      <c r="K30" s="418">
        <v>1.024895587E9</v>
      </c>
      <c r="M30" s="382">
        <v>2018.0</v>
      </c>
      <c r="N30" s="417">
        <v>17033.0</v>
      </c>
      <c r="O30" s="418">
        <v>20887.0</v>
      </c>
      <c r="Q30" s="382">
        <v>2018.0</v>
      </c>
      <c r="R30" s="417">
        <v>0.0</v>
      </c>
      <c r="S30" s="418">
        <v>0.0</v>
      </c>
      <c r="U30" s="382">
        <v>2018.0</v>
      </c>
      <c r="V30" s="417">
        <v>69983.0</v>
      </c>
      <c r="W30" s="418">
        <v>81511.0</v>
      </c>
      <c r="Y30" s="382">
        <v>2018.0</v>
      </c>
      <c r="Z30" s="417">
        <v>468694.0</v>
      </c>
      <c r="AA30" s="418">
        <v>2.92575368E8</v>
      </c>
      <c r="AC30" s="382">
        <v>2018.0</v>
      </c>
      <c r="AD30" s="417">
        <v>4.659857E7</v>
      </c>
      <c r="AE30" s="418">
        <v>2.37375694E8</v>
      </c>
      <c r="AG30" s="382">
        <v>2018.0</v>
      </c>
      <c r="AH30" s="417">
        <v>0.0</v>
      </c>
      <c r="AI30" s="418">
        <v>0.0</v>
      </c>
      <c r="AK30" s="382">
        <v>2018.0</v>
      </c>
      <c r="AL30" s="417">
        <v>4058809.0</v>
      </c>
      <c r="AM30" s="418">
        <v>1.50743783E8</v>
      </c>
    </row>
    <row r="31" ht="15.75" customHeight="1">
      <c r="A31" s="382">
        <v>2019.0</v>
      </c>
      <c r="B31" s="419"/>
      <c r="C31" s="420"/>
      <c r="E31" s="382">
        <v>2019.0</v>
      </c>
      <c r="F31" s="419"/>
      <c r="G31" s="420"/>
      <c r="I31" s="382">
        <v>2019.0</v>
      </c>
      <c r="J31" s="419"/>
      <c r="K31" s="420"/>
      <c r="M31" s="382">
        <v>2019.0</v>
      </c>
      <c r="N31" s="419"/>
      <c r="O31" s="420"/>
      <c r="Q31" s="382">
        <v>2019.0</v>
      </c>
      <c r="R31" s="419"/>
      <c r="S31" s="420"/>
      <c r="U31" s="382">
        <v>2019.0</v>
      </c>
      <c r="V31" s="419"/>
      <c r="W31" s="420"/>
      <c r="Y31" s="382">
        <v>2019.0</v>
      </c>
      <c r="Z31" s="419"/>
      <c r="AA31" s="420"/>
      <c r="AC31" s="382">
        <v>2019.0</v>
      </c>
      <c r="AD31" s="419"/>
      <c r="AE31" s="420"/>
      <c r="AG31" s="382">
        <v>2019.0</v>
      </c>
      <c r="AH31" s="419"/>
      <c r="AI31" s="420"/>
      <c r="AK31" s="382">
        <v>2019.0</v>
      </c>
      <c r="AL31" s="419"/>
      <c r="AM31" s="420"/>
    </row>
    <row r="32" ht="15.75" customHeight="1">
      <c r="A32" s="382">
        <v>2020.0</v>
      </c>
      <c r="B32" s="419"/>
      <c r="C32" s="420"/>
      <c r="E32" s="382">
        <v>2020.0</v>
      </c>
      <c r="F32" s="419"/>
      <c r="G32" s="420"/>
      <c r="I32" s="382">
        <v>2020.0</v>
      </c>
      <c r="J32" s="419"/>
      <c r="K32" s="420"/>
      <c r="M32" s="382">
        <v>2020.0</v>
      </c>
      <c r="N32" s="419"/>
      <c r="O32" s="420"/>
      <c r="Q32" s="382">
        <v>2020.0</v>
      </c>
      <c r="R32" s="419"/>
      <c r="S32" s="420"/>
      <c r="U32" s="382">
        <v>2020.0</v>
      </c>
      <c r="V32" s="419"/>
      <c r="W32" s="420"/>
      <c r="Y32" s="382">
        <v>2020.0</v>
      </c>
      <c r="Z32" s="419"/>
      <c r="AA32" s="420"/>
      <c r="AC32" s="382">
        <v>2020.0</v>
      </c>
      <c r="AD32" s="419"/>
      <c r="AE32" s="420"/>
      <c r="AG32" s="382">
        <v>2020.0</v>
      </c>
      <c r="AH32" s="419"/>
      <c r="AI32" s="420"/>
      <c r="AK32" s="382">
        <v>2020.0</v>
      </c>
      <c r="AL32" s="419"/>
      <c r="AM32" s="420"/>
    </row>
    <row r="33" ht="15.75" customHeight="1">
      <c r="A33" s="382">
        <v>2021.0</v>
      </c>
      <c r="B33" s="419"/>
      <c r="C33" s="420"/>
      <c r="E33" s="382">
        <v>2021.0</v>
      </c>
      <c r="F33" s="419"/>
      <c r="G33" s="420"/>
      <c r="I33" s="382">
        <v>2021.0</v>
      </c>
      <c r="J33" s="419"/>
      <c r="K33" s="420"/>
      <c r="M33" s="382">
        <v>2021.0</v>
      </c>
      <c r="N33" s="419"/>
      <c r="O33" s="420"/>
      <c r="Q33" s="382">
        <v>2021.0</v>
      </c>
      <c r="R33" s="419"/>
      <c r="S33" s="420"/>
      <c r="U33" s="382">
        <v>2021.0</v>
      </c>
      <c r="V33" s="419"/>
      <c r="W33" s="420"/>
      <c r="Y33" s="382">
        <v>2021.0</v>
      </c>
      <c r="Z33" s="419"/>
      <c r="AA33" s="420"/>
      <c r="AC33" s="382">
        <v>2021.0</v>
      </c>
      <c r="AD33" s="419"/>
      <c r="AE33" s="420"/>
      <c r="AG33" s="382">
        <v>2021.0</v>
      </c>
      <c r="AH33" s="419"/>
      <c r="AI33" s="420"/>
      <c r="AK33" s="382">
        <v>2021.0</v>
      </c>
      <c r="AL33" s="419"/>
      <c r="AM33" s="420"/>
    </row>
    <row r="34" ht="15.75" customHeight="1">
      <c r="A34" s="382">
        <v>2022.0</v>
      </c>
      <c r="B34" s="419"/>
      <c r="C34" s="420"/>
      <c r="E34" s="382">
        <v>2022.0</v>
      </c>
      <c r="F34" s="419"/>
      <c r="G34" s="420"/>
      <c r="I34" s="382">
        <v>2022.0</v>
      </c>
      <c r="J34" s="419"/>
      <c r="K34" s="420"/>
      <c r="M34" s="382">
        <v>2022.0</v>
      </c>
      <c r="N34" s="419"/>
      <c r="O34" s="420"/>
      <c r="Q34" s="382">
        <v>2022.0</v>
      </c>
      <c r="R34" s="419"/>
      <c r="S34" s="420"/>
      <c r="U34" s="382">
        <v>2022.0</v>
      </c>
      <c r="V34" s="419"/>
      <c r="W34" s="420"/>
      <c r="Y34" s="382">
        <v>2022.0</v>
      </c>
      <c r="Z34" s="419"/>
      <c r="AA34" s="420"/>
      <c r="AC34" s="382">
        <v>2022.0</v>
      </c>
      <c r="AD34" s="419"/>
      <c r="AE34" s="420"/>
      <c r="AG34" s="382">
        <v>2022.0</v>
      </c>
      <c r="AH34" s="419"/>
      <c r="AI34" s="420"/>
      <c r="AK34" s="382">
        <v>2022.0</v>
      </c>
      <c r="AL34" s="419"/>
      <c r="AM34" s="420"/>
    </row>
    <row r="35" ht="15.75" customHeight="1">
      <c r="A35" s="382">
        <v>2023.0</v>
      </c>
      <c r="B35" s="419"/>
      <c r="C35" s="420"/>
      <c r="E35" s="382">
        <v>2023.0</v>
      </c>
      <c r="F35" s="419"/>
      <c r="G35" s="420"/>
      <c r="I35" s="382">
        <v>2023.0</v>
      </c>
      <c r="J35" s="419"/>
      <c r="K35" s="420"/>
      <c r="M35" s="382">
        <v>2023.0</v>
      </c>
      <c r="N35" s="419"/>
      <c r="O35" s="420"/>
      <c r="Q35" s="382">
        <v>2023.0</v>
      </c>
      <c r="R35" s="419"/>
      <c r="S35" s="420"/>
      <c r="U35" s="382">
        <v>2023.0</v>
      </c>
      <c r="V35" s="419"/>
      <c r="W35" s="420"/>
      <c r="Y35" s="382">
        <v>2023.0</v>
      </c>
      <c r="Z35" s="419"/>
      <c r="AA35" s="420"/>
      <c r="AC35" s="382">
        <v>2023.0</v>
      </c>
      <c r="AD35" s="419"/>
      <c r="AE35" s="420"/>
      <c r="AG35" s="382">
        <v>2023.0</v>
      </c>
      <c r="AH35" s="419"/>
      <c r="AI35" s="420"/>
      <c r="AK35" s="382">
        <v>2023.0</v>
      </c>
      <c r="AL35" s="419"/>
      <c r="AM35" s="420"/>
    </row>
    <row r="36" ht="15.75" customHeight="1">
      <c r="A36" s="382">
        <v>2024.0</v>
      </c>
      <c r="B36" s="419"/>
      <c r="C36" s="420"/>
      <c r="E36" s="382">
        <v>2024.0</v>
      </c>
      <c r="F36" s="419"/>
      <c r="G36" s="420"/>
      <c r="I36" s="382">
        <v>2024.0</v>
      </c>
      <c r="J36" s="419"/>
      <c r="K36" s="420"/>
      <c r="M36" s="382">
        <v>2024.0</v>
      </c>
      <c r="N36" s="419"/>
      <c r="O36" s="420"/>
      <c r="Q36" s="382">
        <v>2024.0</v>
      </c>
      <c r="R36" s="419"/>
      <c r="S36" s="420"/>
      <c r="U36" s="382">
        <v>2024.0</v>
      </c>
      <c r="V36" s="419"/>
      <c r="W36" s="420"/>
      <c r="Y36" s="382">
        <v>2024.0</v>
      </c>
      <c r="Z36" s="419"/>
      <c r="AA36" s="420"/>
      <c r="AC36" s="382">
        <v>2024.0</v>
      </c>
      <c r="AD36" s="419"/>
      <c r="AE36" s="420"/>
      <c r="AG36" s="382">
        <v>2024.0</v>
      </c>
      <c r="AH36" s="419"/>
      <c r="AI36" s="420"/>
      <c r="AK36" s="382">
        <v>2024.0</v>
      </c>
      <c r="AL36" s="419"/>
      <c r="AM36" s="420"/>
    </row>
    <row r="37" ht="15.75" customHeight="1">
      <c r="A37" s="382">
        <v>2025.0</v>
      </c>
      <c r="B37" s="419"/>
      <c r="C37" s="420"/>
      <c r="E37" s="382">
        <v>2025.0</v>
      </c>
      <c r="F37" s="419"/>
      <c r="G37" s="420"/>
      <c r="I37" s="382">
        <v>2025.0</v>
      </c>
      <c r="J37" s="419"/>
      <c r="K37" s="420"/>
      <c r="M37" s="382">
        <v>2025.0</v>
      </c>
      <c r="N37" s="419"/>
      <c r="O37" s="420"/>
      <c r="Q37" s="382">
        <v>2025.0</v>
      </c>
      <c r="R37" s="419"/>
      <c r="S37" s="420"/>
      <c r="U37" s="382">
        <v>2025.0</v>
      </c>
      <c r="V37" s="419"/>
      <c r="W37" s="420"/>
      <c r="Y37" s="382">
        <v>2025.0</v>
      </c>
      <c r="Z37" s="419"/>
      <c r="AA37" s="420"/>
      <c r="AC37" s="382">
        <v>2025.0</v>
      </c>
      <c r="AD37" s="419"/>
      <c r="AE37" s="420"/>
      <c r="AG37" s="382">
        <v>2025.0</v>
      </c>
      <c r="AH37" s="419"/>
      <c r="AI37" s="420"/>
      <c r="AK37" s="382">
        <v>2025.0</v>
      </c>
      <c r="AL37" s="419"/>
      <c r="AM37" s="420"/>
    </row>
    <row r="38" ht="15.75" customHeight="1">
      <c r="A38" s="382">
        <v>2026.0</v>
      </c>
      <c r="B38" s="419"/>
      <c r="C38" s="420"/>
      <c r="E38" s="382">
        <v>2026.0</v>
      </c>
      <c r="F38" s="419"/>
      <c r="G38" s="420"/>
      <c r="I38" s="382">
        <v>2026.0</v>
      </c>
      <c r="J38" s="419"/>
      <c r="K38" s="420"/>
      <c r="M38" s="382">
        <v>2026.0</v>
      </c>
      <c r="N38" s="419"/>
      <c r="O38" s="420"/>
      <c r="Q38" s="382">
        <v>2026.0</v>
      </c>
      <c r="R38" s="419"/>
      <c r="S38" s="420"/>
      <c r="U38" s="382">
        <v>2026.0</v>
      </c>
      <c r="V38" s="419"/>
      <c r="W38" s="420"/>
      <c r="Y38" s="382">
        <v>2026.0</v>
      </c>
      <c r="Z38" s="419"/>
      <c r="AA38" s="420"/>
      <c r="AC38" s="382">
        <v>2026.0</v>
      </c>
      <c r="AD38" s="419"/>
      <c r="AE38" s="420"/>
      <c r="AG38" s="382">
        <v>2026.0</v>
      </c>
      <c r="AH38" s="419"/>
      <c r="AI38" s="420"/>
      <c r="AK38" s="382">
        <v>2026.0</v>
      </c>
      <c r="AL38" s="419"/>
      <c r="AM38" s="420"/>
    </row>
    <row r="39" ht="15.75" customHeight="1">
      <c r="A39" s="382">
        <v>2027.0</v>
      </c>
      <c r="B39" s="419"/>
      <c r="C39" s="420"/>
      <c r="E39" s="382">
        <v>2027.0</v>
      </c>
      <c r="F39" s="419"/>
      <c r="G39" s="420"/>
      <c r="I39" s="382">
        <v>2027.0</v>
      </c>
      <c r="J39" s="419"/>
      <c r="K39" s="420"/>
      <c r="M39" s="382">
        <v>2027.0</v>
      </c>
      <c r="N39" s="419"/>
      <c r="O39" s="420"/>
      <c r="Q39" s="382">
        <v>2027.0</v>
      </c>
      <c r="R39" s="419"/>
      <c r="S39" s="420"/>
      <c r="U39" s="382">
        <v>2027.0</v>
      </c>
      <c r="V39" s="419"/>
      <c r="W39" s="420"/>
      <c r="Y39" s="382">
        <v>2027.0</v>
      </c>
      <c r="Z39" s="419"/>
      <c r="AA39" s="420"/>
      <c r="AC39" s="382">
        <v>2027.0</v>
      </c>
      <c r="AD39" s="419"/>
      <c r="AE39" s="420"/>
      <c r="AG39" s="382">
        <v>2027.0</v>
      </c>
      <c r="AH39" s="419"/>
      <c r="AI39" s="420"/>
      <c r="AK39" s="382">
        <v>2027.0</v>
      </c>
      <c r="AL39" s="419"/>
      <c r="AM39" s="420"/>
    </row>
    <row r="40" ht="15.75" customHeight="1">
      <c r="A40" s="382">
        <v>2028.0</v>
      </c>
      <c r="B40" s="419"/>
      <c r="C40" s="420"/>
      <c r="E40" s="382">
        <v>2028.0</v>
      </c>
      <c r="F40" s="419"/>
      <c r="G40" s="420"/>
      <c r="I40" s="382">
        <v>2028.0</v>
      </c>
      <c r="J40" s="419"/>
      <c r="K40" s="420"/>
      <c r="M40" s="382">
        <v>2028.0</v>
      </c>
      <c r="N40" s="419"/>
      <c r="O40" s="420"/>
      <c r="Q40" s="382">
        <v>2028.0</v>
      </c>
      <c r="R40" s="419"/>
      <c r="S40" s="420"/>
      <c r="U40" s="382">
        <v>2028.0</v>
      </c>
      <c r="V40" s="419"/>
      <c r="W40" s="420"/>
      <c r="Y40" s="382">
        <v>2028.0</v>
      </c>
      <c r="Z40" s="419"/>
      <c r="AA40" s="420"/>
      <c r="AC40" s="382">
        <v>2028.0</v>
      </c>
      <c r="AD40" s="419"/>
      <c r="AE40" s="420"/>
      <c r="AG40" s="382">
        <v>2028.0</v>
      </c>
      <c r="AH40" s="419"/>
      <c r="AI40" s="420"/>
      <c r="AK40" s="382">
        <v>2028.0</v>
      </c>
      <c r="AL40" s="419"/>
      <c r="AM40" s="420"/>
    </row>
    <row r="41" ht="15.75" customHeight="1">
      <c r="A41" s="382">
        <v>2029.0</v>
      </c>
      <c r="B41" s="419"/>
      <c r="C41" s="420"/>
      <c r="E41" s="382">
        <v>2029.0</v>
      </c>
      <c r="F41" s="419"/>
      <c r="G41" s="420"/>
      <c r="I41" s="382">
        <v>2029.0</v>
      </c>
      <c r="J41" s="419"/>
      <c r="K41" s="420"/>
      <c r="M41" s="382">
        <v>2029.0</v>
      </c>
      <c r="N41" s="419"/>
      <c r="O41" s="420"/>
      <c r="Q41" s="382">
        <v>2029.0</v>
      </c>
      <c r="R41" s="419"/>
      <c r="S41" s="420"/>
      <c r="U41" s="382">
        <v>2029.0</v>
      </c>
      <c r="V41" s="419"/>
      <c r="W41" s="420"/>
      <c r="Y41" s="382">
        <v>2029.0</v>
      </c>
      <c r="Z41" s="419"/>
      <c r="AA41" s="420"/>
      <c r="AC41" s="382">
        <v>2029.0</v>
      </c>
      <c r="AD41" s="419"/>
      <c r="AE41" s="420"/>
      <c r="AG41" s="382">
        <v>2029.0</v>
      </c>
      <c r="AH41" s="419"/>
      <c r="AI41" s="420"/>
      <c r="AK41" s="382">
        <v>2029.0</v>
      </c>
      <c r="AL41" s="419"/>
      <c r="AM41" s="420"/>
    </row>
    <row r="42" ht="15.75" customHeight="1">
      <c r="A42" s="392">
        <v>2030.0</v>
      </c>
      <c r="B42" s="421"/>
      <c r="C42" s="422"/>
      <c r="E42" s="392">
        <v>2030.0</v>
      </c>
      <c r="F42" s="421"/>
      <c r="G42" s="422"/>
      <c r="I42" s="392">
        <v>2030.0</v>
      </c>
      <c r="J42" s="421"/>
      <c r="K42" s="422"/>
      <c r="M42" s="392">
        <v>2030.0</v>
      </c>
      <c r="N42" s="421"/>
      <c r="O42" s="422"/>
      <c r="Q42" s="392">
        <v>2030.0</v>
      </c>
      <c r="R42" s="421"/>
      <c r="S42" s="422"/>
      <c r="U42" s="392">
        <v>2030.0</v>
      </c>
      <c r="V42" s="421"/>
      <c r="W42" s="422"/>
      <c r="Y42" s="392">
        <v>2030.0</v>
      </c>
      <c r="Z42" s="421"/>
      <c r="AA42" s="422"/>
      <c r="AC42" s="392">
        <v>2030.0</v>
      </c>
      <c r="AD42" s="421"/>
      <c r="AE42" s="422"/>
      <c r="AG42" s="392">
        <v>2030.0</v>
      </c>
      <c r="AH42" s="421"/>
      <c r="AI42" s="422"/>
      <c r="AK42" s="392">
        <v>2030.0</v>
      </c>
      <c r="AL42" s="421"/>
      <c r="AM42" s="422"/>
    </row>
    <row r="43" ht="15.75" customHeight="1"/>
    <row r="44" ht="15.75" customHeight="1"/>
    <row r="45" ht="15.75" customHeight="1">
      <c r="A45" s="331" t="s">
        <v>455</v>
      </c>
    </row>
    <row r="46" ht="15.75" customHeight="1"/>
    <row r="47" ht="42.75" customHeight="1">
      <c r="A47" s="423" t="s">
        <v>456</v>
      </c>
      <c r="B47" s="424"/>
      <c r="C47" s="345"/>
      <c r="D47" s="338"/>
      <c r="E47" s="423" t="s">
        <v>457</v>
      </c>
      <c r="F47" s="424"/>
      <c r="G47" s="345"/>
      <c r="H47" s="338"/>
      <c r="I47" s="423" t="s">
        <v>458</v>
      </c>
      <c r="J47" s="424"/>
      <c r="K47" s="345"/>
      <c r="L47" s="338"/>
      <c r="M47" s="423" t="s">
        <v>459</v>
      </c>
      <c r="N47" s="424"/>
      <c r="O47" s="345"/>
      <c r="P47" s="338"/>
      <c r="Q47" s="423" t="s">
        <v>460</v>
      </c>
      <c r="R47" s="424"/>
      <c r="S47" s="345"/>
      <c r="T47" s="338"/>
      <c r="U47" s="423" t="s">
        <v>461</v>
      </c>
      <c r="V47" s="424"/>
      <c r="W47" s="345"/>
      <c r="X47" s="338"/>
      <c r="Y47" s="423" t="s">
        <v>462</v>
      </c>
      <c r="Z47" s="424"/>
      <c r="AA47" s="345"/>
    </row>
    <row r="48" ht="42.0" customHeight="1">
      <c r="A48" s="425" t="s">
        <v>463</v>
      </c>
      <c r="B48" s="426"/>
      <c r="C48" s="314"/>
      <c r="D48" s="427"/>
      <c r="E48" s="425" t="s">
        <v>464</v>
      </c>
      <c r="F48" s="426"/>
      <c r="G48" s="314"/>
      <c r="H48" s="427"/>
      <c r="I48" s="425" t="s">
        <v>465</v>
      </c>
      <c r="J48" s="426"/>
      <c r="K48" s="314"/>
      <c r="L48" s="427"/>
      <c r="M48" s="425" t="s">
        <v>466</v>
      </c>
      <c r="N48" s="426"/>
      <c r="O48" s="314"/>
      <c r="P48" s="427"/>
      <c r="Q48" s="425" t="s">
        <v>465</v>
      </c>
      <c r="R48" s="426"/>
      <c r="S48" s="314"/>
      <c r="T48" s="427"/>
      <c r="U48" s="425" t="s">
        <v>467</v>
      </c>
      <c r="V48" s="426"/>
      <c r="W48" s="314"/>
      <c r="X48" s="427"/>
      <c r="Y48" s="425" t="s">
        <v>468</v>
      </c>
      <c r="Z48" s="426"/>
      <c r="AA48" s="314"/>
    </row>
    <row r="49" ht="15.0" customHeight="1">
      <c r="A49" s="428" t="s">
        <v>469</v>
      </c>
      <c r="B49" s="31"/>
      <c r="C49" s="32"/>
      <c r="D49" s="427"/>
      <c r="E49" s="428" t="s">
        <v>469</v>
      </c>
      <c r="F49" s="31"/>
      <c r="G49" s="32"/>
      <c r="H49" s="427"/>
      <c r="I49" s="428" t="s">
        <v>469</v>
      </c>
      <c r="J49" s="31"/>
      <c r="K49" s="32"/>
      <c r="L49" s="427"/>
      <c r="M49" s="428" t="s">
        <v>469</v>
      </c>
      <c r="N49" s="31"/>
      <c r="O49" s="32"/>
      <c r="P49" s="427"/>
      <c r="Q49" s="428" t="s">
        <v>469</v>
      </c>
      <c r="R49" s="31"/>
      <c r="S49" s="32"/>
      <c r="T49" s="427"/>
      <c r="U49" s="428" t="s">
        <v>469</v>
      </c>
      <c r="V49" s="31"/>
      <c r="W49" s="32"/>
      <c r="X49" s="427"/>
      <c r="Y49" s="428" t="s">
        <v>469</v>
      </c>
      <c r="Z49" s="31"/>
      <c r="AA49" s="32"/>
    </row>
    <row r="50" ht="15.75" customHeight="1">
      <c r="A50" s="408" t="s">
        <v>452</v>
      </c>
      <c r="B50" s="409" t="s">
        <v>453</v>
      </c>
      <c r="C50" s="410" t="s">
        <v>454</v>
      </c>
      <c r="E50" s="408" t="s">
        <v>452</v>
      </c>
      <c r="F50" s="409" t="s">
        <v>453</v>
      </c>
      <c r="G50" s="410" t="s">
        <v>454</v>
      </c>
      <c r="I50" s="408" t="s">
        <v>452</v>
      </c>
      <c r="J50" s="409" t="s">
        <v>453</v>
      </c>
      <c r="K50" s="410" t="s">
        <v>454</v>
      </c>
      <c r="M50" s="408" t="s">
        <v>452</v>
      </c>
      <c r="N50" s="409" t="s">
        <v>453</v>
      </c>
      <c r="O50" s="410" t="s">
        <v>454</v>
      </c>
      <c r="Q50" s="408" t="s">
        <v>452</v>
      </c>
      <c r="R50" s="409" t="s">
        <v>453</v>
      </c>
      <c r="S50" s="410" t="s">
        <v>454</v>
      </c>
      <c r="U50" s="408" t="s">
        <v>452</v>
      </c>
      <c r="V50" s="409" t="s">
        <v>453</v>
      </c>
      <c r="W50" s="410" t="s">
        <v>454</v>
      </c>
      <c r="Y50" s="408" t="s">
        <v>452</v>
      </c>
      <c r="Z50" s="409" t="s">
        <v>453</v>
      </c>
      <c r="AA50" s="410" t="s">
        <v>454</v>
      </c>
    </row>
    <row r="51" ht="15.75" customHeight="1">
      <c r="A51" s="414">
        <v>2000.0</v>
      </c>
      <c r="B51" s="415">
        <f t="shared" ref="B51:C51" si="1">Z12</f>
        <v>4525505</v>
      </c>
      <c r="C51" s="431">
        <f t="shared" si="1"/>
        <v>429301142</v>
      </c>
      <c r="E51" s="414">
        <v>2000.0</v>
      </c>
      <c r="F51" s="433">
        <f t="shared" ref="F51:G51" si="2">J12</f>
        <v>10322939</v>
      </c>
      <c r="G51" s="435">
        <f t="shared" si="2"/>
        <v>649852791</v>
      </c>
      <c r="I51" s="414">
        <v>2000.0</v>
      </c>
      <c r="J51" s="433">
        <f t="shared" ref="J51:K51" si="3">AD12</f>
        <v>24360918</v>
      </c>
      <c r="K51" s="437">
        <f t="shared" si="3"/>
        <v>208934914</v>
      </c>
      <c r="M51" s="414">
        <v>2000.0</v>
      </c>
      <c r="N51" s="433">
        <f t="shared" ref="N51:O51" si="4">F12+N12+V12+AH12</f>
        <v>581031</v>
      </c>
      <c r="O51" s="435">
        <f t="shared" si="4"/>
        <v>443712</v>
      </c>
      <c r="Q51" s="414">
        <v>2000.0</v>
      </c>
      <c r="R51" s="433">
        <f t="shared" ref="R51:S51" si="5">AD12</f>
        <v>24360918</v>
      </c>
      <c r="S51" s="437">
        <f t="shared" si="5"/>
        <v>208934914</v>
      </c>
      <c r="U51" s="414">
        <v>2000.0</v>
      </c>
      <c r="V51" s="439" t="s">
        <v>7</v>
      </c>
      <c r="W51" s="441" t="s">
        <v>7</v>
      </c>
      <c r="Y51" s="414">
        <v>2000.0</v>
      </c>
      <c r="Z51" s="433">
        <f t="shared" ref="Z51:AA51" si="6">B12+AL12</f>
        <v>20969034</v>
      </c>
      <c r="AA51" s="435">
        <f t="shared" si="6"/>
        <v>216382468</v>
      </c>
    </row>
    <row r="52" ht="15.75" customHeight="1">
      <c r="A52" s="382">
        <v>2001.0</v>
      </c>
      <c r="B52" s="415">
        <f t="shared" ref="B52:C52" si="7">Z13</f>
        <v>3843408</v>
      </c>
      <c r="C52" s="431">
        <f t="shared" si="7"/>
        <v>422451096</v>
      </c>
      <c r="E52" s="382">
        <v>2001.0</v>
      </c>
      <c r="F52" s="442">
        <f t="shared" ref="F52:G52" si="8">J13</f>
        <v>10723632</v>
      </c>
      <c r="G52" s="431">
        <f t="shared" si="8"/>
        <v>670639527</v>
      </c>
      <c r="I52" s="382">
        <v>2001.0</v>
      </c>
      <c r="J52" s="443">
        <f t="shared" ref="J52:K52" si="9">AD13</f>
        <v>21957218</v>
      </c>
      <c r="K52" s="418">
        <f t="shared" si="9"/>
        <v>315621983</v>
      </c>
      <c r="M52" s="382">
        <v>2001.0</v>
      </c>
      <c r="N52" s="442">
        <f t="shared" ref="N52:O52" si="10">F13+N13+V13+AH13</f>
        <v>555038</v>
      </c>
      <c r="O52" s="431">
        <f t="shared" si="10"/>
        <v>410253</v>
      </c>
      <c r="Q52" s="382">
        <v>2001.0</v>
      </c>
      <c r="R52" s="443">
        <f t="shared" ref="R52:S52" si="11">AD13</f>
        <v>21957218</v>
      </c>
      <c r="S52" s="418">
        <f t="shared" si="11"/>
        <v>315621983</v>
      </c>
      <c r="U52" s="382">
        <v>2001.0</v>
      </c>
      <c r="V52" s="445" t="s">
        <v>7</v>
      </c>
      <c r="W52" s="447" t="s">
        <v>7</v>
      </c>
      <c r="Y52" s="382">
        <v>2001.0</v>
      </c>
      <c r="Z52" s="442">
        <f t="shared" ref="Z52:AA52" si="12">B13+AL13</f>
        <v>20327855</v>
      </c>
      <c r="AA52" s="431">
        <f t="shared" si="12"/>
        <v>211193114</v>
      </c>
    </row>
    <row r="53" ht="15.75" customHeight="1">
      <c r="A53" s="382">
        <v>2002.0</v>
      </c>
      <c r="B53" s="415">
        <f t="shared" ref="B53:C53" si="13">Z14</f>
        <v>3065308</v>
      </c>
      <c r="C53" s="431">
        <f t="shared" si="13"/>
        <v>400333342</v>
      </c>
      <c r="E53" s="382">
        <v>2002.0</v>
      </c>
      <c r="F53" s="442">
        <f t="shared" ref="F53:G53" si="14">J14</f>
        <v>11398530</v>
      </c>
      <c r="G53" s="431">
        <f t="shared" si="14"/>
        <v>755688187</v>
      </c>
      <c r="I53" s="382">
        <v>2002.0</v>
      </c>
      <c r="J53" s="443">
        <f t="shared" ref="J53:K53" si="15">AD14</f>
        <v>20481246</v>
      </c>
      <c r="K53" s="418">
        <f t="shared" si="15"/>
        <v>379227102</v>
      </c>
      <c r="M53" s="382">
        <v>2002.0</v>
      </c>
      <c r="N53" s="442">
        <f t="shared" ref="N53:O53" si="16">F14+N14+V14+AH14</f>
        <v>557455</v>
      </c>
      <c r="O53" s="431">
        <f t="shared" si="16"/>
        <v>324110</v>
      </c>
      <c r="Q53" s="382">
        <v>2002.0</v>
      </c>
      <c r="R53" s="443">
        <f t="shared" ref="R53:S53" si="17">AD14</f>
        <v>20481246</v>
      </c>
      <c r="S53" s="418">
        <f t="shared" si="17"/>
        <v>379227102</v>
      </c>
      <c r="U53" s="382">
        <v>2002.0</v>
      </c>
      <c r="V53" s="445" t="s">
        <v>7</v>
      </c>
      <c r="W53" s="447" t="s">
        <v>7</v>
      </c>
      <c r="Y53" s="382">
        <v>2002.0</v>
      </c>
      <c r="Z53" s="442">
        <f t="shared" ref="Z53:AA53" si="18">B14+AL14</f>
        <v>19294021</v>
      </c>
      <c r="AA53" s="431">
        <f t="shared" si="18"/>
        <v>213878537</v>
      </c>
    </row>
    <row r="54" ht="15.75" customHeight="1">
      <c r="A54" s="382">
        <v>2003.0</v>
      </c>
      <c r="B54" s="415">
        <f t="shared" ref="B54:C54" si="19">Z15</f>
        <v>2951496</v>
      </c>
      <c r="C54" s="431">
        <f t="shared" si="19"/>
        <v>416092069</v>
      </c>
      <c r="E54" s="382">
        <v>2003.0</v>
      </c>
      <c r="F54" s="442">
        <f t="shared" ref="F54:G54" si="20">J15</f>
        <v>11400386</v>
      </c>
      <c r="G54" s="431">
        <f t="shared" si="20"/>
        <v>819991910</v>
      </c>
      <c r="I54" s="382">
        <v>2003.0</v>
      </c>
      <c r="J54" s="443">
        <f t="shared" ref="J54:K54" si="21">AD15</f>
        <v>19194128</v>
      </c>
      <c r="K54" s="418">
        <f t="shared" si="21"/>
        <v>392072711</v>
      </c>
      <c r="M54" s="382">
        <v>2003.0</v>
      </c>
      <c r="N54" s="442">
        <f t="shared" ref="N54:O54" si="22">F15+N15+V15+AH15</f>
        <v>517188</v>
      </c>
      <c r="O54" s="431">
        <f t="shared" si="22"/>
        <v>288042</v>
      </c>
      <c r="Q54" s="382">
        <v>2003.0</v>
      </c>
      <c r="R54" s="443">
        <f t="shared" ref="R54:S54" si="23">AD15</f>
        <v>19194128</v>
      </c>
      <c r="S54" s="418">
        <f t="shared" si="23"/>
        <v>392072711</v>
      </c>
      <c r="U54" s="382">
        <v>2003.0</v>
      </c>
      <c r="V54" s="445" t="s">
        <v>7</v>
      </c>
      <c r="W54" s="447" t="s">
        <v>7</v>
      </c>
      <c r="Y54" s="382">
        <v>2003.0</v>
      </c>
      <c r="Z54" s="442">
        <f t="shared" ref="Z54:AA54" si="24">B15+AL15</f>
        <v>18903953</v>
      </c>
      <c r="AA54" s="431">
        <f t="shared" si="24"/>
        <v>213124565</v>
      </c>
    </row>
    <row r="55" ht="15.75" customHeight="1">
      <c r="A55" s="382">
        <v>2004.0</v>
      </c>
      <c r="B55" s="415">
        <f t="shared" ref="B55:C55" si="25">Z16</f>
        <v>2607352</v>
      </c>
      <c r="C55" s="431">
        <f t="shared" si="25"/>
        <v>409211714</v>
      </c>
      <c r="E55" s="382">
        <v>2004.0</v>
      </c>
      <c r="F55" s="442">
        <f t="shared" ref="F55:G55" si="26">J16</f>
        <v>11688316</v>
      </c>
      <c r="G55" s="431">
        <f t="shared" si="26"/>
        <v>885790287</v>
      </c>
      <c r="I55" s="382">
        <v>2004.0</v>
      </c>
      <c r="J55" s="443">
        <f t="shared" ref="J55:K55" si="27">AD16</f>
        <v>18243169</v>
      </c>
      <c r="K55" s="418">
        <f t="shared" si="27"/>
        <v>372856646</v>
      </c>
      <c r="M55" s="382">
        <v>2004.0</v>
      </c>
      <c r="N55" s="442">
        <f t="shared" ref="N55:O55" si="28">F16+N16+V16+AH16</f>
        <v>464219</v>
      </c>
      <c r="O55" s="431">
        <f t="shared" si="28"/>
        <v>261023</v>
      </c>
      <c r="Q55" s="382">
        <v>2004.0</v>
      </c>
      <c r="R55" s="443">
        <f t="shared" ref="R55:S55" si="29">AD16</f>
        <v>18243169</v>
      </c>
      <c r="S55" s="418">
        <f t="shared" si="29"/>
        <v>372856646</v>
      </c>
      <c r="U55" s="382">
        <v>2004.0</v>
      </c>
      <c r="V55" s="445" t="s">
        <v>7</v>
      </c>
      <c r="W55" s="447" t="s">
        <v>7</v>
      </c>
      <c r="Y55" s="382">
        <v>2004.0</v>
      </c>
      <c r="Z55" s="442">
        <f t="shared" ref="Z55:AA55" si="30">B16+AL16</f>
        <v>18936828</v>
      </c>
      <c r="AA55" s="431">
        <f t="shared" si="30"/>
        <v>261165885</v>
      </c>
    </row>
    <row r="56" ht="15.75" customHeight="1">
      <c r="A56" s="382">
        <v>2005.0</v>
      </c>
      <c r="B56" s="415">
        <f t="shared" ref="B56:C56" si="31">Z17</f>
        <v>2141573</v>
      </c>
      <c r="C56" s="431">
        <f t="shared" si="31"/>
        <v>399848968</v>
      </c>
      <c r="E56" s="382">
        <v>2005.0</v>
      </c>
      <c r="F56" s="442">
        <f t="shared" ref="F56:G56" si="32">J17</f>
        <v>12408553</v>
      </c>
      <c r="G56" s="431">
        <f t="shared" si="32"/>
        <v>967362751</v>
      </c>
      <c r="I56" s="382">
        <v>2005.0</v>
      </c>
      <c r="J56" s="443">
        <f t="shared" ref="J56:K56" si="33">AD17</f>
        <v>18269550</v>
      </c>
      <c r="K56" s="418">
        <f t="shared" si="33"/>
        <v>371809248</v>
      </c>
      <c r="M56" s="382">
        <v>2005.0</v>
      </c>
      <c r="N56" s="442">
        <f t="shared" ref="N56:O56" si="34">F17+N17+V17+AH17</f>
        <v>472096</v>
      </c>
      <c r="O56" s="431">
        <f t="shared" si="34"/>
        <v>256442</v>
      </c>
      <c r="Q56" s="382">
        <v>2005.0</v>
      </c>
      <c r="R56" s="443">
        <f t="shared" ref="R56:S56" si="35">AD17</f>
        <v>18269550</v>
      </c>
      <c r="S56" s="418">
        <f t="shared" si="35"/>
        <v>371809248</v>
      </c>
      <c r="U56" s="382">
        <v>2005.0</v>
      </c>
      <c r="V56" s="445" t="s">
        <v>7</v>
      </c>
      <c r="W56" s="447" t="s">
        <v>7</v>
      </c>
      <c r="Y56" s="382">
        <v>2005.0</v>
      </c>
      <c r="Z56" s="442">
        <f t="shared" ref="Z56:AA56" si="36">B17+AL17</f>
        <v>18478285</v>
      </c>
      <c r="AA56" s="431">
        <f t="shared" si="36"/>
        <v>269434940</v>
      </c>
    </row>
    <row r="57" ht="15.75" customHeight="1">
      <c r="A57" s="382">
        <v>2006.0</v>
      </c>
      <c r="B57" s="415">
        <f t="shared" ref="B57:C57" si="37">Z18</f>
        <v>1840809</v>
      </c>
      <c r="C57" s="431">
        <f t="shared" si="37"/>
        <v>381744630</v>
      </c>
      <c r="E57" s="382">
        <v>2006.0</v>
      </c>
      <c r="F57" s="442">
        <f t="shared" ref="F57:G57" si="38">J18</f>
        <v>13673147</v>
      </c>
      <c r="G57" s="431">
        <f t="shared" si="38"/>
        <v>1071356682</v>
      </c>
      <c r="I57" s="382">
        <v>2006.0</v>
      </c>
      <c r="J57" s="443">
        <f t="shared" ref="J57:K57" si="39">AD18</f>
        <v>18580693</v>
      </c>
      <c r="K57" s="418">
        <f t="shared" si="39"/>
        <v>408631124</v>
      </c>
      <c r="M57" s="382">
        <v>2006.0</v>
      </c>
      <c r="N57" s="442">
        <f t="shared" ref="N57:O57" si="40">F18+N18+V18+AH18</f>
        <v>461664</v>
      </c>
      <c r="O57" s="431">
        <f t="shared" si="40"/>
        <v>271038</v>
      </c>
      <c r="Q57" s="382">
        <v>2006.0</v>
      </c>
      <c r="R57" s="443">
        <f t="shared" ref="R57:S57" si="41">AD18</f>
        <v>18580693</v>
      </c>
      <c r="S57" s="418">
        <f t="shared" si="41"/>
        <v>408631124</v>
      </c>
      <c r="U57" s="382">
        <v>2006.0</v>
      </c>
      <c r="V57" s="445" t="s">
        <v>7</v>
      </c>
      <c r="W57" s="447" t="s">
        <v>7</v>
      </c>
      <c r="Y57" s="382">
        <v>2006.0</v>
      </c>
      <c r="Z57" s="442">
        <f t="shared" ref="Z57:AA57" si="42">B18+AL18</f>
        <v>18409476</v>
      </c>
      <c r="AA57" s="431">
        <f t="shared" si="42"/>
        <v>253542909</v>
      </c>
    </row>
    <row r="58" ht="15.75" customHeight="1">
      <c r="A58" s="382">
        <v>2007.0</v>
      </c>
      <c r="B58" s="415">
        <f t="shared" ref="B58:C58" si="43">Z19</f>
        <v>1457118</v>
      </c>
      <c r="C58" s="431">
        <f t="shared" si="43"/>
        <v>362095960</v>
      </c>
      <c r="E58" s="382">
        <v>2007.0</v>
      </c>
      <c r="F58" s="442">
        <f t="shared" ref="F58:G58" si="44">J19</f>
        <v>15491878</v>
      </c>
      <c r="G58" s="431">
        <f t="shared" si="44"/>
        <v>1220242303</v>
      </c>
      <c r="I58" s="382">
        <v>2007.0</v>
      </c>
      <c r="J58" s="443">
        <f t="shared" ref="J58:K58" si="45">AD19</f>
        <v>18238685</v>
      </c>
      <c r="K58" s="418">
        <f t="shared" si="45"/>
        <v>458031459</v>
      </c>
      <c r="M58" s="382">
        <v>2007.0</v>
      </c>
      <c r="N58" s="442">
        <f t="shared" ref="N58:O58" si="46">F19+N19+V19+AH19</f>
        <v>585581</v>
      </c>
      <c r="O58" s="431">
        <f t="shared" si="46"/>
        <v>235765</v>
      </c>
      <c r="Q58" s="382">
        <v>2007.0</v>
      </c>
      <c r="R58" s="443">
        <f t="shared" ref="R58:S58" si="47">AD19</f>
        <v>18238685</v>
      </c>
      <c r="S58" s="418">
        <f t="shared" si="47"/>
        <v>458031459</v>
      </c>
      <c r="U58" s="382">
        <v>2007.0</v>
      </c>
      <c r="V58" s="445" t="s">
        <v>7</v>
      </c>
      <c r="W58" s="447" t="s">
        <v>7</v>
      </c>
      <c r="Y58" s="382">
        <v>2007.0</v>
      </c>
      <c r="Z58" s="442">
        <f t="shared" ref="Z58:AA58" si="48">B19+AL19</f>
        <v>18326587</v>
      </c>
      <c r="AA58" s="431">
        <f t="shared" si="48"/>
        <v>219289189</v>
      </c>
    </row>
    <row r="59" ht="15.75" customHeight="1">
      <c r="A59" s="382">
        <v>2008.0</v>
      </c>
      <c r="B59" s="415">
        <f t="shared" ref="B59:C59" si="49">Z20</f>
        <v>1248415</v>
      </c>
      <c r="C59" s="431">
        <f t="shared" si="49"/>
        <v>353518364</v>
      </c>
      <c r="E59" s="382">
        <v>2008.0</v>
      </c>
      <c r="F59" s="442">
        <f t="shared" ref="F59:G59" si="50">J20</f>
        <v>15801535</v>
      </c>
      <c r="G59" s="431">
        <f t="shared" si="50"/>
        <v>1373399315</v>
      </c>
      <c r="I59" s="382">
        <v>2008.0</v>
      </c>
      <c r="J59" s="443">
        <f t="shared" ref="J59:K59" si="51">AD20</f>
        <v>17641324</v>
      </c>
      <c r="K59" s="418">
        <f t="shared" si="51"/>
        <v>562800778</v>
      </c>
      <c r="M59" s="382">
        <v>2008.0</v>
      </c>
      <c r="N59" s="442">
        <f t="shared" ref="N59:O59" si="52">F20+N20+V20+AH20</f>
        <v>622100</v>
      </c>
      <c r="O59" s="431">
        <f t="shared" si="52"/>
        <v>266557</v>
      </c>
      <c r="Q59" s="382">
        <v>2008.0</v>
      </c>
      <c r="R59" s="443">
        <f t="shared" ref="R59:S59" si="53">AD20</f>
        <v>17641324</v>
      </c>
      <c r="S59" s="418">
        <f t="shared" si="53"/>
        <v>562800778</v>
      </c>
      <c r="U59" s="382">
        <v>2008.0</v>
      </c>
      <c r="V59" s="445" t="s">
        <v>7</v>
      </c>
      <c r="W59" s="447" t="s">
        <v>7</v>
      </c>
      <c r="Y59" s="382">
        <v>2008.0</v>
      </c>
      <c r="Z59" s="442">
        <f t="shared" ref="Z59:AA59" si="54">B20+AL20</f>
        <v>17718913</v>
      </c>
      <c r="AA59" s="431">
        <f t="shared" si="54"/>
        <v>189021630</v>
      </c>
    </row>
    <row r="60" ht="15.75" customHeight="1">
      <c r="A60" s="382">
        <v>2009.0</v>
      </c>
      <c r="B60" s="415">
        <f t="shared" ref="B60:C60" si="55">Z21</f>
        <v>1021830</v>
      </c>
      <c r="C60" s="431">
        <f t="shared" si="55"/>
        <v>320849030</v>
      </c>
      <c r="E60" s="382">
        <v>2009.0</v>
      </c>
      <c r="F60" s="442">
        <f t="shared" ref="F60:G60" si="56">J21</f>
        <v>15903928</v>
      </c>
      <c r="G60" s="431">
        <f t="shared" si="56"/>
        <v>1431200928</v>
      </c>
      <c r="I60" s="382">
        <v>2009.0</v>
      </c>
      <c r="J60" s="443">
        <f t="shared" ref="J60:K60" si="57">AD21</f>
        <v>17303097</v>
      </c>
      <c r="K60" s="418">
        <f t="shared" si="57"/>
        <v>584314885</v>
      </c>
      <c r="M60" s="382">
        <v>2009.0</v>
      </c>
      <c r="N60" s="442">
        <f t="shared" ref="N60:O60" si="58">F21+N21+V21+AH21</f>
        <v>498088</v>
      </c>
      <c r="O60" s="431">
        <f t="shared" si="58"/>
        <v>301979</v>
      </c>
      <c r="Q60" s="382">
        <v>2009.0</v>
      </c>
      <c r="R60" s="443">
        <f t="shared" ref="R60:S60" si="59">AD21</f>
        <v>17303097</v>
      </c>
      <c r="S60" s="418">
        <f t="shared" si="59"/>
        <v>584314885</v>
      </c>
      <c r="U60" s="382">
        <v>2009.0</v>
      </c>
      <c r="V60" s="445" t="s">
        <v>7</v>
      </c>
      <c r="W60" s="447" t="s">
        <v>7</v>
      </c>
      <c r="Y60" s="382">
        <v>2009.0</v>
      </c>
      <c r="Z60" s="442">
        <f t="shared" ref="Z60:AA60" si="60">B21+AL21</f>
        <v>16791442</v>
      </c>
      <c r="AA60" s="431">
        <f t="shared" si="60"/>
        <v>208693055</v>
      </c>
    </row>
    <row r="61" ht="15.75" customHeight="1">
      <c r="A61" s="382">
        <v>2010.0</v>
      </c>
      <c r="B61" s="415">
        <f t="shared" ref="B61:C61" si="61">Z22</f>
        <v>983237</v>
      </c>
      <c r="C61" s="431">
        <f t="shared" si="61"/>
        <v>341684720</v>
      </c>
      <c r="E61" s="382">
        <v>2010.0</v>
      </c>
      <c r="F61" s="442">
        <f t="shared" ref="F61:G61" si="62">J22</f>
        <v>16125483</v>
      </c>
      <c r="G61" s="431">
        <f t="shared" si="62"/>
        <v>1421680036</v>
      </c>
      <c r="I61" s="382">
        <v>2010.0</v>
      </c>
      <c r="J61" s="443">
        <f t="shared" ref="J61:K61" si="63">AD22</f>
        <v>18983195</v>
      </c>
      <c r="K61" s="418">
        <f t="shared" si="63"/>
        <v>563483554</v>
      </c>
      <c r="M61" s="382">
        <v>2010.0</v>
      </c>
      <c r="N61" s="442">
        <f t="shared" ref="N61:O61" si="64">F22+N22+V22+AH22</f>
        <v>741316</v>
      </c>
      <c r="O61" s="431">
        <f t="shared" si="64"/>
        <v>633419</v>
      </c>
      <c r="Q61" s="382">
        <v>2010.0</v>
      </c>
      <c r="R61" s="443">
        <f t="shared" ref="R61:S61" si="65">AD22</f>
        <v>18983195</v>
      </c>
      <c r="S61" s="418">
        <f t="shared" si="65"/>
        <v>563483554</v>
      </c>
      <c r="U61" s="382">
        <v>2010.0</v>
      </c>
      <c r="V61" s="445" t="s">
        <v>7</v>
      </c>
      <c r="W61" s="447" t="s">
        <v>7</v>
      </c>
      <c r="Y61" s="382">
        <v>2010.0</v>
      </c>
      <c r="Z61" s="442">
        <f t="shared" ref="Z61:AA61" si="66">B22+AL22</f>
        <v>17046683</v>
      </c>
      <c r="AA61" s="431">
        <f t="shared" si="66"/>
        <v>196815187</v>
      </c>
    </row>
    <row r="62" ht="15.75" customHeight="1">
      <c r="A62" s="382">
        <v>2011.0</v>
      </c>
      <c r="B62" s="415">
        <f t="shared" ref="B62:C62" si="67">Z23</f>
        <v>793955</v>
      </c>
      <c r="C62" s="431">
        <f t="shared" si="67"/>
        <v>311973758</v>
      </c>
      <c r="E62" s="382">
        <v>2011.0</v>
      </c>
      <c r="F62" s="442">
        <f t="shared" ref="F62:G62" si="68">J23</f>
        <v>15372647</v>
      </c>
      <c r="G62" s="431">
        <f t="shared" si="68"/>
        <v>1350146622</v>
      </c>
      <c r="I62" s="382">
        <v>2011.0</v>
      </c>
      <c r="J62" s="443">
        <f t="shared" ref="J62:K62" si="69">AD23</f>
        <v>20593484</v>
      </c>
      <c r="K62" s="418">
        <f t="shared" si="69"/>
        <v>510152116</v>
      </c>
      <c r="M62" s="382">
        <v>2011.0</v>
      </c>
      <c r="N62" s="442">
        <f t="shared" ref="N62:O62" si="70">F23+N23+V23+AH23</f>
        <v>1010914</v>
      </c>
      <c r="O62" s="431">
        <f t="shared" si="70"/>
        <v>840977</v>
      </c>
      <c r="Q62" s="382">
        <v>2011.0</v>
      </c>
      <c r="R62" s="443">
        <f t="shared" ref="R62:S62" si="71">AD23</f>
        <v>20593484</v>
      </c>
      <c r="S62" s="418">
        <f t="shared" si="71"/>
        <v>510152116</v>
      </c>
      <c r="U62" s="382">
        <v>2011.0</v>
      </c>
      <c r="V62" s="445" t="s">
        <v>7</v>
      </c>
      <c r="W62" s="447" t="s">
        <v>7</v>
      </c>
      <c r="Y62" s="382">
        <v>2011.0</v>
      </c>
      <c r="Z62" s="442">
        <f t="shared" ref="Z62:AA62" si="72">B23+AL23</f>
        <v>16687671</v>
      </c>
      <c r="AA62" s="431">
        <f t="shared" si="72"/>
        <v>204162055</v>
      </c>
    </row>
    <row r="63" ht="15.75" customHeight="1">
      <c r="A63" s="382">
        <v>2012.0</v>
      </c>
      <c r="B63" s="415">
        <f t="shared" ref="B63:C63" si="73">Z24</f>
        <v>716421</v>
      </c>
      <c r="C63" s="431">
        <f t="shared" si="73"/>
        <v>312917594</v>
      </c>
      <c r="E63" s="382">
        <v>2012.0</v>
      </c>
      <c r="F63" s="442">
        <f t="shared" ref="F63:G63" si="74">J24</f>
        <v>15196209</v>
      </c>
      <c r="G63" s="431">
        <f t="shared" si="74"/>
        <v>1303943975</v>
      </c>
      <c r="I63" s="382">
        <v>2012.0</v>
      </c>
      <c r="J63" s="443">
        <f t="shared" ref="J63:K63" si="75">AD24</f>
        <v>23425872</v>
      </c>
      <c r="K63" s="418">
        <f t="shared" si="75"/>
        <v>439956102</v>
      </c>
      <c r="M63" s="382">
        <v>2012.0</v>
      </c>
      <c r="N63" s="442">
        <f t="shared" ref="N63:O63" si="76">F24+N24+V24+AH24</f>
        <v>1273273</v>
      </c>
      <c r="O63" s="431">
        <f t="shared" si="76"/>
        <v>995749</v>
      </c>
      <c r="Q63" s="382">
        <v>2012.0</v>
      </c>
      <c r="R63" s="443">
        <f t="shared" ref="R63:S63" si="77">AD24</f>
        <v>23425872</v>
      </c>
      <c r="S63" s="418">
        <f t="shared" si="77"/>
        <v>439956102</v>
      </c>
      <c r="U63" s="382">
        <v>2012.0</v>
      </c>
      <c r="V63" s="445" t="s">
        <v>7</v>
      </c>
      <c r="W63" s="447" t="s">
        <v>7</v>
      </c>
      <c r="Y63" s="382">
        <v>2012.0</v>
      </c>
      <c r="Z63" s="442">
        <f t="shared" ref="Z63:AA63" si="78">B24+AL24</f>
        <v>17191993</v>
      </c>
      <c r="AA63" s="431">
        <f t="shared" si="78"/>
        <v>190986874</v>
      </c>
    </row>
    <row r="64" ht="15.75" customHeight="1">
      <c r="A64" s="382">
        <v>2013.0</v>
      </c>
      <c r="B64" s="415">
        <f t="shared" ref="B64:C64" si="79">Z25</f>
        <v>698798</v>
      </c>
      <c r="C64" s="431">
        <f t="shared" si="79"/>
        <v>305187717</v>
      </c>
      <c r="E64" s="382">
        <v>2013.0</v>
      </c>
      <c r="F64" s="442">
        <f t="shared" ref="F64:G64" si="80">J25</f>
        <v>14279270</v>
      </c>
      <c r="G64" s="431">
        <f t="shared" si="80"/>
        <v>1209912670</v>
      </c>
      <c r="I64" s="382">
        <v>2013.0</v>
      </c>
      <c r="J64" s="443">
        <f t="shared" ref="J64:K64" si="81">AD25</f>
        <v>30590055</v>
      </c>
      <c r="K64" s="418">
        <f t="shared" si="81"/>
        <v>368428714</v>
      </c>
      <c r="M64" s="382">
        <v>2013.0</v>
      </c>
      <c r="N64" s="442">
        <f t="shared" ref="N64:O64" si="82">F25+N25+V25+AH25</f>
        <v>1562331</v>
      </c>
      <c r="O64" s="431">
        <f t="shared" si="82"/>
        <v>1241654</v>
      </c>
      <c r="Q64" s="382">
        <v>2013.0</v>
      </c>
      <c r="R64" s="443">
        <f t="shared" ref="R64:S64" si="83">AD25</f>
        <v>30590055</v>
      </c>
      <c r="S64" s="418">
        <f t="shared" si="83"/>
        <v>368428714</v>
      </c>
      <c r="U64" s="382">
        <v>2013.0</v>
      </c>
      <c r="V64" s="445" t="s">
        <v>7</v>
      </c>
      <c r="W64" s="447" t="s">
        <v>7</v>
      </c>
      <c r="Y64" s="382">
        <v>2013.0</v>
      </c>
      <c r="Z64" s="442">
        <f t="shared" ref="Z64:AA64" si="84">B25+AL25</f>
        <v>16352322</v>
      </c>
      <c r="AA64" s="431">
        <f t="shared" si="84"/>
        <v>184663515</v>
      </c>
    </row>
    <row r="65" ht="15.75" customHeight="1">
      <c r="A65" s="382">
        <v>2014.0</v>
      </c>
      <c r="B65" s="415">
        <f t="shared" ref="B65:C65" si="85">Z26</f>
        <v>587773</v>
      </c>
      <c r="C65" s="431">
        <f t="shared" si="85"/>
        <v>327126182</v>
      </c>
      <c r="E65" s="382">
        <v>2014.0</v>
      </c>
      <c r="F65" s="442">
        <f t="shared" ref="F65:G65" si="86">J26</f>
        <v>14132721</v>
      </c>
      <c r="G65" s="431">
        <f t="shared" si="86"/>
        <v>1174098702</v>
      </c>
      <c r="I65" s="382">
        <v>2014.0</v>
      </c>
      <c r="J65" s="443">
        <f t="shared" ref="J65:K65" si="87">AD26</f>
        <v>41644950</v>
      </c>
      <c r="K65" s="418">
        <f t="shared" si="87"/>
        <v>321007229</v>
      </c>
      <c r="M65" s="382">
        <v>2014.0</v>
      </c>
      <c r="N65" s="442">
        <f t="shared" ref="N65:O65" si="88">F26+N26+V26+AH26</f>
        <v>3941714</v>
      </c>
      <c r="O65" s="431">
        <f t="shared" si="88"/>
        <v>2730873</v>
      </c>
      <c r="Q65" s="382">
        <v>2014.0</v>
      </c>
      <c r="R65" s="443">
        <f t="shared" ref="R65:S65" si="89">AD26</f>
        <v>41644950</v>
      </c>
      <c r="S65" s="418">
        <f t="shared" si="89"/>
        <v>321007229</v>
      </c>
      <c r="U65" s="382">
        <v>2014.0</v>
      </c>
      <c r="V65" s="445" t="s">
        <v>7</v>
      </c>
      <c r="W65" s="447" t="s">
        <v>7</v>
      </c>
      <c r="Y65" s="382">
        <v>2014.0</v>
      </c>
      <c r="Z65" s="442">
        <f t="shared" ref="Z65:AA65" si="90">B26+AL26</f>
        <v>15806449</v>
      </c>
      <c r="AA65" s="431">
        <f t="shared" si="90"/>
        <v>173228352</v>
      </c>
    </row>
    <row r="66" ht="15.75" customHeight="1">
      <c r="A66" s="382">
        <v>2015.0</v>
      </c>
      <c r="B66" s="415">
        <f t="shared" ref="B66:C66" si="91">Z27</f>
        <v>539705</v>
      </c>
      <c r="C66" s="431">
        <f t="shared" si="91"/>
        <v>324010290</v>
      </c>
      <c r="E66" s="382">
        <v>2015.0</v>
      </c>
      <c r="F66" s="442">
        <f t="shared" ref="F66:G66" si="92">J27</f>
        <v>14691970</v>
      </c>
      <c r="G66" s="431">
        <f t="shared" si="92"/>
        <v>1193751821</v>
      </c>
      <c r="I66" s="382">
        <v>2015.0</v>
      </c>
      <c r="J66" s="443">
        <f t="shared" ref="J66:K66" si="93">AD27</f>
        <v>50455923</v>
      </c>
      <c r="K66" s="418">
        <f t="shared" si="93"/>
        <v>290810418</v>
      </c>
      <c r="M66" s="382">
        <v>2015.0</v>
      </c>
      <c r="N66" s="442">
        <f t="shared" ref="N66:O66" si="94">F27+N27+V27+AH27</f>
        <v>5229842</v>
      </c>
      <c r="O66" s="431">
        <f t="shared" si="94"/>
        <v>3994289</v>
      </c>
      <c r="Q66" s="382">
        <v>2015.0</v>
      </c>
      <c r="R66" s="443">
        <f t="shared" ref="R66:S66" si="95">AD27</f>
        <v>50455923</v>
      </c>
      <c r="S66" s="418">
        <f t="shared" si="95"/>
        <v>290810418</v>
      </c>
      <c r="U66" s="382">
        <v>2015.0</v>
      </c>
      <c r="V66" s="445" t="s">
        <v>7</v>
      </c>
      <c r="W66" s="447" t="s">
        <v>7</v>
      </c>
      <c r="Y66" s="382">
        <v>2015.0</v>
      </c>
      <c r="Z66" s="442">
        <f t="shared" ref="Z66:AA66" si="96">B27+AL27</f>
        <v>15523297</v>
      </c>
      <c r="AA66" s="431">
        <f t="shared" si="96"/>
        <v>172555665</v>
      </c>
    </row>
    <row r="67" ht="15.75" customHeight="1">
      <c r="A67" s="382">
        <v>2016.0</v>
      </c>
      <c r="B67" s="415">
        <f t="shared" ref="B67:C67" si="97">Z28</f>
        <v>458914</v>
      </c>
      <c r="C67" s="431">
        <f t="shared" si="97"/>
        <v>301414411</v>
      </c>
      <c r="E67" s="382">
        <v>2016.0</v>
      </c>
      <c r="F67" s="442">
        <f t="shared" ref="F67:G67" si="98">J28</f>
        <v>13882099</v>
      </c>
      <c r="G67" s="431">
        <f t="shared" si="98"/>
        <v>1132497824</v>
      </c>
      <c r="I67" s="382">
        <v>2016.0</v>
      </c>
      <c r="J67" s="443">
        <f t="shared" ref="J67:K67" si="99">AD28</f>
        <v>38709215</v>
      </c>
      <c r="K67" s="418">
        <f t="shared" si="99"/>
        <v>242970927</v>
      </c>
      <c r="M67" s="382">
        <v>2016.0</v>
      </c>
      <c r="N67" s="442">
        <f t="shared" ref="N67:O67" si="100">F28+N28+V28+AH28</f>
        <v>5022034</v>
      </c>
      <c r="O67" s="431">
        <f t="shared" si="100"/>
        <v>4104686</v>
      </c>
      <c r="Q67" s="382">
        <v>2016.0</v>
      </c>
      <c r="R67" s="443">
        <f t="shared" ref="R67:S67" si="101">AD28</f>
        <v>38709215</v>
      </c>
      <c r="S67" s="418">
        <f t="shared" si="101"/>
        <v>242970927</v>
      </c>
      <c r="U67" s="382">
        <v>2016.0</v>
      </c>
      <c r="V67" s="445" t="s">
        <v>7</v>
      </c>
      <c r="W67" s="447" t="s">
        <v>7</v>
      </c>
      <c r="Y67" s="382">
        <v>2016.0</v>
      </c>
      <c r="Z67" s="442">
        <f t="shared" ref="Z67:AA67" si="102">B28+AL28</f>
        <v>14476848</v>
      </c>
      <c r="AA67" s="431">
        <f t="shared" si="102"/>
        <v>167556988</v>
      </c>
    </row>
    <row r="68" ht="15.75" customHeight="1">
      <c r="A68" s="382">
        <v>2017.0</v>
      </c>
      <c r="B68" s="415">
        <f t="shared" ref="B68:C68" si="103">Z29</f>
        <v>577046</v>
      </c>
      <c r="C68" s="431">
        <f t="shared" si="103"/>
        <v>324836219</v>
      </c>
      <c r="E68" s="382">
        <v>2017.0</v>
      </c>
      <c r="F68" s="442">
        <f t="shared" ref="F68:G68" si="104">J29</f>
        <v>13910376</v>
      </c>
      <c r="G68" s="431">
        <f t="shared" si="104"/>
        <v>1081256745</v>
      </c>
      <c r="I68" s="382">
        <v>2017.0</v>
      </c>
      <c r="J68" s="443">
        <f t="shared" ref="J68:K68" si="105">AD29</f>
        <v>39581558</v>
      </c>
      <c r="K68" s="418">
        <f t="shared" si="105"/>
        <v>231673831</v>
      </c>
      <c r="M68" s="382">
        <v>2017.0</v>
      </c>
      <c r="N68" s="442">
        <f t="shared" ref="N68:O68" si="106">F29+N29+V29+AH29</f>
        <v>7458629</v>
      </c>
      <c r="O68" s="431">
        <f t="shared" si="106"/>
        <v>6663114</v>
      </c>
      <c r="Q68" s="382">
        <v>2017.0</v>
      </c>
      <c r="R68" s="443">
        <f t="shared" ref="R68:S68" si="107">AD29</f>
        <v>39581558</v>
      </c>
      <c r="S68" s="418">
        <f t="shared" si="107"/>
        <v>231673831</v>
      </c>
      <c r="U68" s="382">
        <v>2017.0</v>
      </c>
      <c r="V68" s="445" t="s">
        <v>7</v>
      </c>
      <c r="W68" s="447" t="s">
        <v>7</v>
      </c>
      <c r="Y68" s="382">
        <v>2017.0</v>
      </c>
      <c r="Z68" s="442">
        <f t="shared" ref="Z68:AA68" si="108">B29+AL29</f>
        <v>14115667</v>
      </c>
      <c r="AA68" s="431">
        <f t="shared" si="108"/>
        <v>161216047</v>
      </c>
    </row>
    <row r="69" ht="15.75" customHeight="1">
      <c r="A69" s="382">
        <v>2018.0</v>
      </c>
      <c r="B69" s="415">
        <f t="shared" ref="B69:C69" si="109">Z30</f>
        <v>468694</v>
      </c>
      <c r="C69" s="431">
        <f t="shared" si="109"/>
        <v>292575368</v>
      </c>
      <c r="E69" s="382">
        <v>2018.0</v>
      </c>
      <c r="F69" s="442">
        <f t="shared" ref="F69:G69" si="110">J30</f>
        <v>13495292</v>
      </c>
      <c r="G69" s="431">
        <f t="shared" si="110"/>
        <v>1024895587</v>
      </c>
      <c r="I69" s="382">
        <v>2018.0</v>
      </c>
      <c r="J69" s="443">
        <f t="shared" ref="J69:K69" si="111">AD30</f>
        <v>46598570</v>
      </c>
      <c r="K69" s="418">
        <f t="shared" si="111"/>
        <v>237375694</v>
      </c>
      <c r="M69" s="382">
        <v>2018.0</v>
      </c>
      <c r="N69" s="442">
        <f t="shared" ref="N69:O69" si="112">F30+N30+V30+AH30</f>
        <v>9600682</v>
      </c>
      <c r="O69" s="431">
        <f t="shared" si="112"/>
        <v>8679580</v>
      </c>
      <c r="Q69" s="382">
        <v>2018.0</v>
      </c>
      <c r="R69" s="443">
        <f t="shared" ref="R69:S69" si="113">AD30</f>
        <v>46598570</v>
      </c>
      <c r="S69" s="418">
        <f t="shared" si="113"/>
        <v>237375694</v>
      </c>
      <c r="U69" s="382">
        <v>2018.0</v>
      </c>
      <c r="V69" s="445" t="s">
        <v>7</v>
      </c>
      <c r="W69" s="447" t="s">
        <v>7</v>
      </c>
      <c r="Y69" s="382">
        <v>2018.0</v>
      </c>
      <c r="Z69" s="442">
        <f t="shared" ref="Z69:AA69" si="114">B30+AL30</f>
        <v>13966538</v>
      </c>
      <c r="AA69" s="431">
        <f t="shared" si="114"/>
        <v>162165509</v>
      </c>
    </row>
    <row r="70" ht="15.75" customHeight="1">
      <c r="A70" s="382">
        <v>2019.0</v>
      </c>
      <c r="B70" s="415" t="str">
        <f t="shared" ref="B70:C70" si="115">Z31</f>
        <v/>
      </c>
      <c r="C70" s="431" t="str">
        <f t="shared" si="115"/>
        <v/>
      </c>
      <c r="E70" s="382">
        <v>2019.0</v>
      </c>
      <c r="F70" s="442" t="str">
        <f t="shared" ref="F70:G70" si="116">J31</f>
        <v/>
      </c>
      <c r="G70" s="431" t="str">
        <f t="shared" si="116"/>
        <v/>
      </c>
      <c r="I70" s="382">
        <v>2019.0</v>
      </c>
      <c r="J70" s="443" t="str">
        <f t="shared" ref="J70:K70" si="117">AD31</f>
        <v/>
      </c>
      <c r="K70" s="418" t="str">
        <f t="shared" si="117"/>
        <v/>
      </c>
      <c r="M70" s="382">
        <v>2019.0</v>
      </c>
      <c r="N70" s="442">
        <f t="shared" ref="N70:O70" si="118">F31+N31+V31+AH31</f>
        <v>0</v>
      </c>
      <c r="O70" s="431">
        <f t="shared" si="118"/>
        <v>0</v>
      </c>
      <c r="Q70" s="382">
        <v>2019.0</v>
      </c>
      <c r="R70" s="443" t="str">
        <f t="shared" ref="R70:S70" si="119">AD31</f>
        <v/>
      </c>
      <c r="S70" s="418" t="str">
        <f t="shared" si="119"/>
        <v/>
      </c>
      <c r="U70" s="382">
        <v>2019.0</v>
      </c>
      <c r="V70" s="445" t="s">
        <v>7</v>
      </c>
      <c r="W70" s="447" t="s">
        <v>7</v>
      </c>
      <c r="Y70" s="382">
        <v>2019.0</v>
      </c>
      <c r="Z70" s="442">
        <f t="shared" ref="Z70:AA70" si="120">B31+AL31</f>
        <v>0</v>
      </c>
      <c r="AA70" s="431">
        <f t="shared" si="120"/>
        <v>0</v>
      </c>
    </row>
    <row r="71" ht="15.75" customHeight="1">
      <c r="A71" s="382">
        <v>2020.0</v>
      </c>
      <c r="B71" s="415" t="str">
        <f t="shared" ref="B71:C71" si="121">Z32</f>
        <v/>
      </c>
      <c r="C71" s="431" t="str">
        <f t="shared" si="121"/>
        <v/>
      </c>
      <c r="E71" s="382">
        <v>2020.0</v>
      </c>
      <c r="F71" s="442" t="str">
        <f t="shared" ref="F71:G71" si="122">J32</f>
        <v/>
      </c>
      <c r="G71" s="431" t="str">
        <f t="shared" si="122"/>
        <v/>
      </c>
      <c r="I71" s="382">
        <v>2020.0</v>
      </c>
      <c r="J71" s="443" t="str">
        <f t="shared" ref="J71:K71" si="123">AD32</f>
        <v/>
      </c>
      <c r="K71" s="418" t="str">
        <f t="shared" si="123"/>
        <v/>
      </c>
      <c r="M71" s="382">
        <v>2020.0</v>
      </c>
      <c r="N71" s="442">
        <f t="shared" ref="N71:O71" si="124">F32+N32+V32+AH32</f>
        <v>0</v>
      </c>
      <c r="O71" s="431">
        <f t="shared" si="124"/>
        <v>0</v>
      </c>
      <c r="Q71" s="382">
        <v>2020.0</v>
      </c>
      <c r="R71" s="443" t="str">
        <f t="shared" ref="R71:S71" si="125">AD32</f>
        <v/>
      </c>
      <c r="S71" s="418" t="str">
        <f t="shared" si="125"/>
        <v/>
      </c>
      <c r="U71" s="382">
        <v>2020.0</v>
      </c>
      <c r="V71" s="445" t="s">
        <v>7</v>
      </c>
      <c r="W71" s="447" t="s">
        <v>7</v>
      </c>
      <c r="Y71" s="382">
        <v>2020.0</v>
      </c>
      <c r="Z71" s="442">
        <f t="shared" ref="Z71:AA71" si="126">B32+AL32</f>
        <v>0</v>
      </c>
      <c r="AA71" s="431">
        <f t="shared" si="126"/>
        <v>0</v>
      </c>
    </row>
    <row r="72" ht="15.75" customHeight="1">
      <c r="A72" s="382">
        <v>2021.0</v>
      </c>
      <c r="B72" s="415" t="str">
        <f t="shared" ref="B72:C72" si="127">Z33</f>
        <v/>
      </c>
      <c r="C72" s="431" t="str">
        <f t="shared" si="127"/>
        <v/>
      </c>
      <c r="E72" s="382">
        <v>2021.0</v>
      </c>
      <c r="F72" s="442" t="str">
        <f t="shared" ref="F72:G72" si="128">J33</f>
        <v/>
      </c>
      <c r="G72" s="431" t="str">
        <f t="shared" si="128"/>
        <v/>
      </c>
      <c r="I72" s="382">
        <v>2021.0</v>
      </c>
      <c r="J72" s="443" t="str">
        <f t="shared" ref="J72:K72" si="129">AD33</f>
        <v/>
      </c>
      <c r="K72" s="418" t="str">
        <f t="shared" si="129"/>
        <v/>
      </c>
      <c r="M72" s="382">
        <v>2021.0</v>
      </c>
      <c r="N72" s="442">
        <f t="shared" ref="N72:O72" si="130">F33+N33+V33+AH33</f>
        <v>0</v>
      </c>
      <c r="O72" s="431">
        <f t="shared" si="130"/>
        <v>0</v>
      </c>
      <c r="Q72" s="382">
        <v>2021.0</v>
      </c>
      <c r="R72" s="443" t="str">
        <f t="shared" ref="R72:S72" si="131">AD33</f>
        <v/>
      </c>
      <c r="S72" s="418" t="str">
        <f t="shared" si="131"/>
        <v/>
      </c>
      <c r="U72" s="382">
        <v>2021.0</v>
      </c>
      <c r="V72" s="445" t="s">
        <v>7</v>
      </c>
      <c r="W72" s="447" t="s">
        <v>7</v>
      </c>
      <c r="Y72" s="382">
        <v>2021.0</v>
      </c>
      <c r="Z72" s="442">
        <f t="shared" ref="Z72:AA72" si="132">B33+AL33</f>
        <v>0</v>
      </c>
      <c r="AA72" s="431">
        <f t="shared" si="132"/>
        <v>0</v>
      </c>
    </row>
    <row r="73" ht="15.75" customHeight="1">
      <c r="A73" s="382">
        <v>2022.0</v>
      </c>
      <c r="B73" s="415" t="str">
        <f t="shared" ref="B73:C73" si="133">Z34</f>
        <v/>
      </c>
      <c r="C73" s="431" t="str">
        <f t="shared" si="133"/>
        <v/>
      </c>
      <c r="E73" s="382">
        <v>2022.0</v>
      </c>
      <c r="F73" s="442" t="str">
        <f t="shared" ref="F73:G73" si="134">J34</f>
        <v/>
      </c>
      <c r="G73" s="431" t="str">
        <f t="shared" si="134"/>
        <v/>
      </c>
      <c r="I73" s="382">
        <v>2022.0</v>
      </c>
      <c r="J73" s="443" t="str">
        <f t="shared" ref="J73:K73" si="135">AD34</f>
        <v/>
      </c>
      <c r="K73" s="418" t="str">
        <f t="shared" si="135"/>
        <v/>
      </c>
      <c r="M73" s="382">
        <v>2022.0</v>
      </c>
      <c r="N73" s="442">
        <f t="shared" ref="N73:O73" si="136">F34+N34+V34+AH34</f>
        <v>0</v>
      </c>
      <c r="O73" s="431">
        <f t="shared" si="136"/>
        <v>0</v>
      </c>
      <c r="Q73" s="382">
        <v>2022.0</v>
      </c>
      <c r="R73" s="443" t="str">
        <f t="shared" ref="R73:S73" si="137">AD34</f>
        <v/>
      </c>
      <c r="S73" s="418" t="str">
        <f t="shared" si="137"/>
        <v/>
      </c>
      <c r="U73" s="382">
        <v>2022.0</v>
      </c>
      <c r="V73" s="445" t="s">
        <v>7</v>
      </c>
      <c r="W73" s="447" t="s">
        <v>7</v>
      </c>
      <c r="Y73" s="382">
        <v>2022.0</v>
      </c>
      <c r="Z73" s="442">
        <f t="shared" ref="Z73:AA73" si="138">B34+AL34</f>
        <v>0</v>
      </c>
      <c r="AA73" s="431">
        <f t="shared" si="138"/>
        <v>0</v>
      </c>
    </row>
    <row r="74" ht="15.75" customHeight="1">
      <c r="A74" s="382">
        <v>2023.0</v>
      </c>
      <c r="B74" s="415" t="str">
        <f t="shared" ref="B74:C74" si="139">Z35</f>
        <v/>
      </c>
      <c r="C74" s="431" t="str">
        <f t="shared" si="139"/>
        <v/>
      </c>
      <c r="E74" s="382">
        <v>2023.0</v>
      </c>
      <c r="F74" s="442" t="str">
        <f t="shared" ref="F74:G74" si="140">J35</f>
        <v/>
      </c>
      <c r="G74" s="431" t="str">
        <f t="shared" si="140"/>
        <v/>
      </c>
      <c r="I74" s="382">
        <v>2023.0</v>
      </c>
      <c r="J74" s="443" t="str">
        <f t="shared" ref="J74:K74" si="141">AD35</f>
        <v/>
      </c>
      <c r="K74" s="418" t="str">
        <f t="shared" si="141"/>
        <v/>
      </c>
      <c r="M74" s="382">
        <v>2023.0</v>
      </c>
      <c r="N74" s="442">
        <f t="shared" ref="N74:O74" si="142">F35+N35+V35+AH35</f>
        <v>0</v>
      </c>
      <c r="O74" s="431">
        <f t="shared" si="142"/>
        <v>0</v>
      </c>
      <c r="Q74" s="382">
        <v>2023.0</v>
      </c>
      <c r="R74" s="443" t="str">
        <f t="shared" ref="R74:S74" si="143">AD35</f>
        <v/>
      </c>
      <c r="S74" s="418" t="str">
        <f t="shared" si="143"/>
        <v/>
      </c>
      <c r="U74" s="382">
        <v>2023.0</v>
      </c>
      <c r="V74" s="445" t="s">
        <v>7</v>
      </c>
      <c r="W74" s="447" t="s">
        <v>7</v>
      </c>
      <c r="Y74" s="382">
        <v>2023.0</v>
      </c>
      <c r="Z74" s="442">
        <f t="shared" ref="Z74:AA74" si="144">B35+AL35</f>
        <v>0</v>
      </c>
      <c r="AA74" s="431">
        <f t="shared" si="144"/>
        <v>0</v>
      </c>
    </row>
    <row r="75" ht="15.75" customHeight="1">
      <c r="A75" s="382">
        <v>2024.0</v>
      </c>
      <c r="B75" s="415" t="str">
        <f t="shared" ref="B75:C75" si="145">Z36</f>
        <v/>
      </c>
      <c r="C75" s="431" t="str">
        <f t="shared" si="145"/>
        <v/>
      </c>
      <c r="E75" s="382">
        <v>2024.0</v>
      </c>
      <c r="F75" s="442" t="str">
        <f t="shared" ref="F75:G75" si="146">J36</f>
        <v/>
      </c>
      <c r="G75" s="431" t="str">
        <f t="shared" si="146"/>
        <v/>
      </c>
      <c r="I75" s="382">
        <v>2024.0</v>
      </c>
      <c r="J75" s="443" t="str">
        <f t="shared" ref="J75:K75" si="147">AD36</f>
        <v/>
      </c>
      <c r="K75" s="418" t="str">
        <f t="shared" si="147"/>
        <v/>
      </c>
      <c r="M75" s="382">
        <v>2024.0</v>
      </c>
      <c r="N75" s="442">
        <f t="shared" ref="N75:O75" si="148">F36+N36+V36+AH36</f>
        <v>0</v>
      </c>
      <c r="O75" s="431">
        <f t="shared" si="148"/>
        <v>0</v>
      </c>
      <c r="Q75" s="382">
        <v>2024.0</v>
      </c>
      <c r="R75" s="443" t="str">
        <f t="shared" ref="R75:S75" si="149">AD36</f>
        <v/>
      </c>
      <c r="S75" s="418" t="str">
        <f t="shared" si="149"/>
        <v/>
      </c>
      <c r="U75" s="382">
        <v>2024.0</v>
      </c>
      <c r="V75" s="445" t="s">
        <v>7</v>
      </c>
      <c r="W75" s="447" t="s">
        <v>7</v>
      </c>
      <c r="Y75" s="382">
        <v>2024.0</v>
      </c>
      <c r="Z75" s="442">
        <f t="shared" ref="Z75:AA75" si="150">B36+AL36</f>
        <v>0</v>
      </c>
      <c r="AA75" s="431">
        <f t="shared" si="150"/>
        <v>0</v>
      </c>
    </row>
    <row r="76" ht="15.75" customHeight="1">
      <c r="A76" s="382">
        <v>2025.0</v>
      </c>
      <c r="B76" s="415" t="str">
        <f t="shared" ref="B76:C76" si="151">Z37</f>
        <v/>
      </c>
      <c r="C76" s="431" t="str">
        <f t="shared" si="151"/>
        <v/>
      </c>
      <c r="E76" s="382">
        <v>2025.0</v>
      </c>
      <c r="F76" s="442" t="str">
        <f t="shared" ref="F76:G76" si="152">J37</f>
        <v/>
      </c>
      <c r="G76" s="431" t="str">
        <f t="shared" si="152"/>
        <v/>
      </c>
      <c r="I76" s="382">
        <v>2025.0</v>
      </c>
      <c r="J76" s="443" t="str">
        <f t="shared" ref="J76:K76" si="153">AD37</f>
        <v/>
      </c>
      <c r="K76" s="418" t="str">
        <f t="shared" si="153"/>
        <v/>
      </c>
      <c r="M76" s="382">
        <v>2025.0</v>
      </c>
      <c r="N76" s="442">
        <f t="shared" ref="N76:O76" si="154">F37+N37+V37+AH37</f>
        <v>0</v>
      </c>
      <c r="O76" s="431">
        <f t="shared" si="154"/>
        <v>0</v>
      </c>
      <c r="Q76" s="382">
        <v>2025.0</v>
      </c>
      <c r="R76" s="443" t="str">
        <f t="shared" ref="R76:S76" si="155">AD37</f>
        <v/>
      </c>
      <c r="S76" s="418" t="str">
        <f t="shared" si="155"/>
        <v/>
      </c>
      <c r="U76" s="382">
        <v>2025.0</v>
      </c>
      <c r="V76" s="445" t="s">
        <v>7</v>
      </c>
      <c r="W76" s="447" t="s">
        <v>7</v>
      </c>
      <c r="Y76" s="382">
        <v>2025.0</v>
      </c>
      <c r="Z76" s="442">
        <f t="shared" ref="Z76:AA76" si="156">B37+AL37</f>
        <v>0</v>
      </c>
      <c r="AA76" s="431">
        <f t="shared" si="156"/>
        <v>0</v>
      </c>
    </row>
    <row r="77" ht="15.75" customHeight="1">
      <c r="A77" s="382">
        <v>2026.0</v>
      </c>
      <c r="B77" s="415" t="str">
        <f t="shared" ref="B77:C77" si="157">Z38</f>
        <v/>
      </c>
      <c r="C77" s="431" t="str">
        <f t="shared" si="157"/>
        <v/>
      </c>
      <c r="E77" s="382">
        <v>2026.0</v>
      </c>
      <c r="F77" s="442" t="str">
        <f t="shared" ref="F77:G77" si="158">J38</f>
        <v/>
      </c>
      <c r="G77" s="431" t="str">
        <f t="shared" si="158"/>
        <v/>
      </c>
      <c r="I77" s="382">
        <v>2026.0</v>
      </c>
      <c r="J77" s="443" t="str">
        <f t="shared" ref="J77:K77" si="159">AD38</f>
        <v/>
      </c>
      <c r="K77" s="418" t="str">
        <f t="shared" si="159"/>
        <v/>
      </c>
      <c r="M77" s="382">
        <v>2026.0</v>
      </c>
      <c r="N77" s="442">
        <f t="shared" ref="N77:O77" si="160">F38+N38+V38+AH38</f>
        <v>0</v>
      </c>
      <c r="O77" s="431">
        <f t="shared" si="160"/>
        <v>0</v>
      </c>
      <c r="Q77" s="382">
        <v>2026.0</v>
      </c>
      <c r="R77" s="443" t="str">
        <f t="shared" ref="R77:S77" si="161">AD38</f>
        <v/>
      </c>
      <c r="S77" s="418" t="str">
        <f t="shared" si="161"/>
        <v/>
      </c>
      <c r="U77" s="382">
        <v>2026.0</v>
      </c>
      <c r="V77" s="445" t="s">
        <v>7</v>
      </c>
      <c r="W77" s="447" t="s">
        <v>7</v>
      </c>
      <c r="Y77" s="382">
        <v>2026.0</v>
      </c>
      <c r="Z77" s="442">
        <f t="shared" ref="Z77:AA77" si="162">B38+AL38</f>
        <v>0</v>
      </c>
      <c r="AA77" s="431">
        <f t="shared" si="162"/>
        <v>0</v>
      </c>
    </row>
    <row r="78" ht="15.75" customHeight="1">
      <c r="A78" s="382">
        <v>2027.0</v>
      </c>
      <c r="B78" s="415" t="str">
        <f t="shared" ref="B78:C78" si="163">Z39</f>
        <v/>
      </c>
      <c r="C78" s="431" t="str">
        <f t="shared" si="163"/>
        <v/>
      </c>
      <c r="E78" s="382">
        <v>2027.0</v>
      </c>
      <c r="F78" s="442" t="str">
        <f t="shared" ref="F78:G78" si="164">J39</f>
        <v/>
      </c>
      <c r="G78" s="431" t="str">
        <f t="shared" si="164"/>
        <v/>
      </c>
      <c r="I78" s="382">
        <v>2027.0</v>
      </c>
      <c r="J78" s="443" t="str">
        <f t="shared" ref="J78:K78" si="165">AD39</f>
        <v/>
      </c>
      <c r="K78" s="418" t="str">
        <f t="shared" si="165"/>
        <v/>
      </c>
      <c r="M78" s="382">
        <v>2027.0</v>
      </c>
      <c r="N78" s="442">
        <f t="shared" ref="N78:O78" si="166">F39+N39+V39+AH39</f>
        <v>0</v>
      </c>
      <c r="O78" s="431">
        <f t="shared" si="166"/>
        <v>0</v>
      </c>
      <c r="Q78" s="382">
        <v>2027.0</v>
      </c>
      <c r="R78" s="443" t="str">
        <f t="shared" ref="R78:S78" si="167">AD39</f>
        <v/>
      </c>
      <c r="S78" s="418" t="str">
        <f t="shared" si="167"/>
        <v/>
      </c>
      <c r="U78" s="382">
        <v>2027.0</v>
      </c>
      <c r="V78" s="445" t="s">
        <v>7</v>
      </c>
      <c r="W78" s="447" t="s">
        <v>7</v>
      </c>
      <c r="Y78" s="382">
        <v>2027.0</v>
      </c>
      <c r="Z78" s="442">
        <f t="shared" ref="Z78:AA78" si="168">B39+AL39</f>
        <v>0</v>
      </c>
      <c r="AA78" s="431">
        <f t="shared" si="168"/>
        <v>0</v>
      </c>
    </row>
    <row r="79" ht="15.75" customHeight="1">
      <c r="A79" s="382">
        <v>2028.0</v>
      </c>
      <c r="B79" s="415" t="str">
        <f t="shared" ref="B79:C79" si="169">Z40</f>
        <v/>
      </c>
      <c r="C79" s="431" t="str">
        <f t="shared" si="169"/>
        <v/>
      </c>
      <c r="E79" s="382">
        <v>2028.0</v>
      </c>
      <c r="F79" s="442" t="str">
        <f t="shared" ref="F79:G79" si="170">J40</f>
        <v/>
      </c>
      <c r="G79" s="431" t="str">
        <f t="shared" si="170"/>
        <v/>
      </c>
      <c r="I79" s="382">
        <v>2028.0</v>
      </c>
      <c r="J79" s="443" t="str">
        <f t="shared" ref="J79:K79" si="171">AD40</f>
        <v/>
      </c>
      <c r="K79" s="418" t="str">
        <f t="shared" si="171"/>
        <v/>
      </c>
      <c r="M79" s="382">
        <v>2028.0</v>
      </c>
      <c r="N79" s="442">
        <f t="shared" ref="N79:O79" si="172">F40+N40+V40+AH40</f>
        <v>0</v>
      </c>
      <c r="O79" s="431">
        <f t="shared" si="172"/>
        <v>0</v>
      </c>
      <c r="Q79" s="382">
        <v>2028.0</v>
      </c>
      <c r="R79" s="443" t="str">
        <f t="shared" ref="R79:S79" si="173">AD40</f>
        <v/>
      </c>
      <c r="S79" s="418" t="str">
        <f t="shared" si="173"/>
        <v/>
      </c>
      <c r="U79" s="382">
        <v>2028.0</v>
      </c>
      <c r="V79" s="445" t="s">
        <v>7</v>
      </c>
      <c r="W79" s="447" t="s">
        <v>7</v>
      </c>
      <c r="Y79" s="382">
        <v>2028.0</v>
      </c>
      <c r="Z79" s="442">
        <f t="shared" ref="Z79:AA79" si="174">B40+AL40</f>
        <v>0</v>
      </c>
      <c r="AA79" s="431">
        <f t="shared" si="174"/>
        <v>0</v>
      </c>
    </row>
    <row r="80" ht="15.75" customHeight="1">
      <c r="A80" s="382">
        <v>2029.0</v>
      </c>
      <c r="B80" s="415" t="str">
        <f t="shared" ref="B80:C80" si="175">Z41</f>
        <v/>
      </c>
      <c r="C80" s="431" t="str">
        <f t="shared" si="175"/>
        <v/>
      </c>
      <c r="E80" s="382">
        <v>2029.0</v>
      </c>
      <c r="F80" s="442" t="str">
        <f t="shared" ref="F80:G80" si="176">J41</f>
        <v/>
      </c>
      <c r="G80" s="431" t="str">
        <f t="shared" si="176"/>
        <v/>
      </c>
      <c r="I80" s="382">
        <v>2029.0</v>
      </c>
      <c r="J80" s="443" t="str">
        <f t="shared" ref="J80:K80" si="177">AD41</f>
        <v/>
      </c>
      <c r="K80" s="418" t="str">
        <f t="shared" si="177"/>
        <v/>
      </c>
      <c r="M80" s="382">
        <v>2029.0</v>
      </c>
      <c r="N80" s="442">
        <f t="shared" ref="N80:O80" si="178">F41+N41+V41+AH41</f>
        <v>0</v>
      </c>
      <c r="O80" s="431">
        <f t="shared" si="178"/>
        <v>0</v>
      </c>
      <c r="Q80" s="382">
        <v>2029.0</v>
      </c>
      <c r="R80" s="443" t="str">
        <f t="shared" ref="R80:S80" si="179">AD41</f>
        <v/>
      </c>
      <c r="S80" s="418" t="str">
        <f t="shared" si="179"/>
        <v/>
      </c>
      <c r="U80" s="382">
        <v>2029.0</v>
      </c>
      <c r="V80" s="445" t="s">
        <v>7</v>
      </c>
      <c r="W80" s="447" t="s">
        <v>7</v>
      </c>
      <c r="Y80" s="382">
        <v>2029.0</v>
      </c>
      <c r="Z80" s="442">
        <f t="shared" ref="Z80:AA80" si="180">B41+AL41</f>
        <v>0</v>
      </c>
      <c r="AA80" s="431">
        <f t="shared" si="180"/>
        <v>0</v>
      </c>
    </row>
    <row r="81" ht="15.75" customHeight="1">
      <c r="A81" s="392">
        <v>2030.0</v>
      </c>
      <c r="B81" s="451" t="str">
        <f t="shared" ref="B81:C81" si="181">Z42</f>
        <v/>
      </c>
      <c r="C81" s="452" t="str">
        <f t="shared" si="181"/>
        <v/>
      </c>
      <c r="E81" s="392">
        <v>2030.0</v>
      </c>
      <c r="F81" s="453" t="str">
        <f t="shared" ref="F81:G81" si="182">J42</f>
        <v/>
      </c>
      <c r="G81" s="452" t="str">
        <f t="shared" si="182"/>
        <v/>
      </c>
      <c r="I81" s="392">
        <v>2030.0</v>
      </c>
      <c r="J81" s="454" t="str">
        <f t="shared" ref="J81:K81" si="183">AD42</f>
        <v/>
      </c>
      <c r="K81" s="455" t="str">
        <f t="shared" si="183"/>
        <v/>
      </c>
      <c r="M81" s="392">
        <v>2030.0</v>
      </c>
      <c r="N81" s="453">
        <f t="shared" ref="N81:O81" si="184">F42+N42+V42+AH42</f>
        <v>0</v>
      </c>
      <c r="O81" s="452">
        <f t="shared" si="184"/>
        <v>0</v>
      </c>
      <c r="Q81" s="392">
        <v>2030.0</v>
      </c>
      <c r="R81" s="454" t="str">
        <f t="shared" ref="R81:S81" si="185">AD42</f>
        <v/>
      </c>
      <c r="S81" s="455" t="str">
        <f t="shared" si="185"/>
        <v/>
      </c>
      <c r="U81" s="392">
        <v>2030.0</v>
      </c>
      <c r="V81" s="456" t="s">
        <v>7</v>
      </c>
      <c r="W81" s="457" t="s">
        <v>7</v>
      </c>
      <c r="Y81" s="392">
        <v>2030.0</v>
      </c>
      <c r="Z81" s="453">
        <f t="shared" ref="Z81:AA81" si="186">B42+AL42</f>
        <v>0</v>
      </c>
      <c r="AA81" s="452">
        <f t="shared" si="186"/>
        <v>0</v>
      </c>
    </row>
    <row r="82" ht="15.75" customHeight="1"/>
    <row r="83" ht="15.75" customHeight="1">
      <c r="N83" s="458"/>
    </row>
    <row r="84" ht="15.75" customHeight="1">
      <c r="N84" s="458"/>
    </row>
    <row r="85" ht="15.75" customHeight="1">
      <c r="N85" s="458"/>
    </row>
    <row r="86" ht="15.75" customHeight="1">
      <c r="N86" s="458"/>
    </row>
    <row r="87" ht="15.75" customHeight="1">
      <c r="N87" s="458"/>
    </row>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I49:K49"/>
    <mergeCell ref="I48:K48"/>
    <mergeCell ref="I47:K47"/>
    <mergeCell ref="M47:O47"/>
    <mergeCell ref="A49:C49"/>
    <mergeCell ref="A48:C48"/>
    <mergeCell ref="A47:C47"/>
    <mergeCell ref="E47:G47"/>
    <mergeCell ref="A10:C10"/>
    <mergeCell ref="E10:G10"/>
    <mergeCell ref="I10:K10"/>
    <mergeCell ref="M10:O10"/>
    <mergeCell ref="U49:W49"/>
    <mergeCell ref="Y49:AA49"/>
    <mergeCell ref="E49:G49"/>
    <mergeCell ref="M49:O49"/>
    <mergeCell ref="U48:W48"/>
    <mergeCell ref="Y48:AA48"/>
    <mergeCell ref="M48:O48"/>
    <mergeCell ref="E48:G48"/>
    <mergeCell ref="Y10:AA10"/>
    <mergeCell ref="Q10:S10"/>
    <mergeCell ref="U10:W10"/>
    <mergeCell ref="Q49:S49"/>
    <mergeCell ref="Q48:S48"/>
    <mergeCell ref="U47:W47"/>
    <mergeCell ref="Y47:AA47"/>
    <mergeCell ref="Q47:S47"/>
    <mergeCell ref="AC10:AE10"/>
    <mergeCell ref="AK10:AM10"/>
    <mergeCell ref="AG10:AI10"/>
  </mergeCells>
  <hyperlinks>
    <hyperlink r:id="rId1" ref="C5"/>
  </hyperlinks>
  <printOptions/>
  <pageMargins bottom="0.75" footer="0.0" header="0.0" left="0.7" right="0.7" top="0.75"/>
  <pageSetup orientation="portrait"/>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AAC"/>
    <pageSetUpPr/>
  </sheetPr>
  <sheetViews>
    <sheetView workbookViewId="0"/>
  </sheetViews>
  <sheetFormatPr customHeight="1" defaultColWidth="14.43" defaultRowHeight="15.0"/>
  <cols>
    <col customWidth="1" min="1" max="1" width="6.0"/>
    <col customWidth="1" min="2" max="3" width="12.29"/>
    <col customWidth="1" min="4" max="5" width="12.14"/>
    <col customWidth="1" min="6" max="6" width="8.86"/>
    <col customWidth="1" min="7" max="7" width="9.0"/>
    <col customWidth="1" min="8" max="9" width="11.71"/>
    <col customWidth="1" min="10" max="11" width="9.71"/>
    <col customWidth="1" min="12" max="12" width="12.71"/>
    <col customWidth="1" min="13" max="14" width="11.29"/>
    <col customWidth="1" min="15" max="15" width="11.71"/>
    <col customWidth="1" min="16" max="16" width="12.71"/>
    <col customWidth="1" min="17" max="17" width="10.0"/>
    <col customWidth="1" min="18" max="18" width="9.14"/>
    <col customWidth="1" min="19" max="20" width="11.71"/>
    <col customWidth="1" min="21" max="21" width="9.71"/>
    <col customWidth="1" min="22" max="22" width="8.29"/>
    <col customWidth="1" min="23" max="23" width="8.86"/>
    <col customWidth="1" min="24" max="24" width="11.71"/>
    <col customWidth="1" min="25" max="25" width="7.29"/>
    <col customWidth="1" min="26" max="26" width="7.71"/>
    <col customWidth="1" min="27" max="27" width="8.29"/>
  </cols>
  <sheetData>
    <row r="1" ht="12.75" customHeight="1">
      <c r="A1" s="459" t="s">
        <v>470</v>
      </c>
      <c r="B1" s="24"/>
      <c r="C1" s="24"/>
      <c r="D1" s="24"/>
      <c r="E1" s="24"/>
      <c r="F1" s="24"/>
      <c r="G1" s="24"/>
      <c r="H1" s="24"/>
      <c r="I1" s="24"/>
      <c r="J1" s="24"/>
      <c r="K1" s="24"/>
      <c r="L1" s="24"/>
      <c r="M1" s="24"/>
      <c r="N1" s="24"/>
      <c r="O1" s="24"/>
      <c r="P1" s="24"/>
      <c r="Q1" s="24"/>
      <c r="R1" s="24"/>
      <c r="S1" s="24"/>
      <c r="T1" s="24"/>
      <c r="U1" s="24"/>
      <c r="V1" s="24"/>
      <c r="W1" s="24"/>
      <c r="X1" s="24"/>
      <c r="Y1" s="24"/>
      <c r="Z1" s="24"/>
      <c r="AA1" s="24"/>
    </row>
    <row r="2" ht="12.75" customHeight="1">
      <c r="A2" s="460" t="s">
        <v>471</v>
      </c>
      <c r="B2" s="460"/>
      <c r="C2" s="460"/>
      <c r="D2" s="460"/>
      <c r="E2" s="24"/>
      <c r="F2" s="24"/>
      <c r="G2" s="24"/>
      <c r="H2" s="24"/>
      <c r="I2" s="24"/>
      <c r="J2" s="24"/>
      <c r="K2" s="24"/>
      <c r="L2" s="24"/>
      <c r="M2" s="24"/>
      <c r="N2" s="24"/>
      <c r="O2" s="24"/>
      <c r="P2" s="24"/>
      <c r="Q2" s="24"/>
      <c r="R2" s="24"/>
      <c r="S2" s="24"/>
      <c r="T2" s="24"/>
      <c r="U2" s="24"/>
      <c r="V2" s="24"/>
      <c r="W2" s="24"/>
      <c r="X2" s="24"/>
      <c r="Y2" s="24"/>
      <c r="Z2" s="24"/>
      <c r="AA2" s="24"/>
    </row>
    <row r="3" ht="12.75" customHeight="1">
      <c r="A3" s="24"/>
      <c r="B3" s="24"/>
      <c r="C3" s="24"/>
      <c r="D3" s="24"/>
      <c r="E3" s="24"/>
      <c r="F3" s="24"/>
      <c r="G3" s="24"/>
      <c r="H3" s="24"/>
      <c r="I3" s="24"/>
      <c r="J3" s="24"/>
      <c r="K3" s="24"/>
      <c r="L3" s="24"/>
      <c r="M3" s="24"/>
      <c r="N3" s="24"/>
      <c r="O3" s="24"/>
      <c r="P3" s="24"/>
      <c r="Q3" s="24"/>
      <c r="R3" s="24"/>
      <c r="S3" s="24"/>
      <c r="T3" s="24"/>
      <c r="U3" s="24"/>
      <c r="V3" s="24"/>
      <c r="W3" s="24"/>
      <c r="X3" s="24"/>
      <c r="Y3" s="24"/>
      <c r="Z3" s="24"/>
      <c r="AA3" s="24"/>
    </row>
    <row r="4" ht="12.75" customHeight="1">
      <c r="A4" s="24" t="s">
        <v>472</v>
      </c>
      <c r="B4" s="24"/>
      <c r="C4" s="24"/>
      <c r="D4" s="329" t="s">
        <v>473</v>
      </c>
      <c r="E4" s="24"/>
      <c r="F4" s="24"/>
      <c r="G4" s="24"/>
      <c r="H4" s="24"/>
      <c r="I4" s="24"/>
      <c r="J4" s="24"/>
      <c r="K4" s="24"/>
      <c r="L4" s="24"/>
      <c r="M4" s="24"/>
      <c r="N4" s="24"/>
      <c r="O4" s="24"/>
      <c r="P4" s="24"/>
      <c r="Q4" s="24"/>
      <c r="R4" s="24"/>
      <c r="S4" s="24"/>
      <c r="T4" s="24"/>
      <c r="U4" s="24"/>
      <c r="V4" s="24"/>
      <c r="W4" s="24"/>
      <c r="X4" s="24"/>
      <c r="Y4" s="24"/>
      <c r="Z4" s="24"/>
      <c r="AA4" s="24"/>
    </row>
    <row r="5" ht="12.75" customHeight="1">
      <c r="A5" s="24"/>
      <c r="B5" s="24"/>
      <c r="C5" s="24"/>
      <c r="D5" s="330" t="s">
        <v>474</v>
      </c>
      <c r="E5" s="24"/>
      <c r="F5" s="24"/>
      <c r="G5" s="24"/>
      <c r="H5" s="24"/>
      <c r="I5" s="24"/>
      <c r="J5" s="24"/>
      <c r="K5" s="24"/>
      <c r="L5" s="24"/>
      <c r="M5" s="24"/>
      <c r="N5" s="24"/>
      <c r="O5" s="24"/>
      <c r="P5" s="24"/>
      <c r="Q5" s="24"/>
      <c r="R5" s="24"/>
      <c r="S5" s="24"/>
      <c r="T5" s="24"/>
      <c r="U5" s="24"/>
      <c r="V5" s="24"/>
      <c r="W5" s="24"/>
      <c r="X5" s="24"/>
      <c r="Y5" s="24"/>
      <c r="Z5" s="24"/>
      <c r="AA5" s="24"/>
    </row>
    <row r="6" ht="12.75" customHeight="1">
      <c r="A6" s="24"/>
      <c r="B6" s="24"/>
      <c r="C6" s="24"/>
      <c r="D6" s="333" t="s">
        <v>475</v>
      </c>
      <c r="E6" s="24"/>
      <c r="F6" s="24"/>
      <c r="G6" s="24"/>
      <c r="H6" s="24"/>
      <c r="I6" s="24"/>
      <c r="J6" s="24"/>
      <c r="K6" s="24"/>
      <c r="L6" s="24"/>
      <c r="M6" s="24"/>
      <c r="N6" s="24"/>
      <c r="O6" s="24"/>
      <c r="P6" s="24"/>
      <c r="Q6" s="24"/>
      <c r="R6" s="24"/>
      <c r="S6" s="24"/>
      <c r="T6" s="24"/>
      <c r="U6" s="24"/>
      <c r="V6" s="24"/>
      <c r="W6" s="24"/>
      <c r="X6" s="24"/>
      <c r="Y6" s="24"/>
      <c r="Z6" s="24"/>
      <c r="AA6" s="24"/>
    </row>
    <row r="7" ht="12.75" customHeight="1">
      <c r="A7" s="24"/>
      <c r="B7" s="24"/>
      <c r="C7" s="24"/>
      <c r="D7" s="333"/>
      <c r="E7" s="24"/>
      <c r="F7" s="24"/>
      <c r="G7" s="24"/>
      <c r="H7" s="24"/>
      <c r="I7" s="24"/>
      <c r="J7" s="24"/>
      <c r="K7" s="24"/>
      <c r="L7" s="24"/>
      <c r="M7" s="24"/>
      <c r="N7" s="24"/>
      <c r="O7" s="24"/>
      <c r="P7" s="24"/>
      <c r="Q7" s="24"/>
      <c r="R7" s="24"/>
      <c r="S7" s="24"/>
      <c r="T7" s="24"/>
      <c r="U7" s="24"/>
      <c r="V7" s="24"/>
      <c r="W7" s="24"/>
      <c r="X7" s="24"/>
      <c r="Y7" s="24"/>
      <c r="Z7" s="24"/>
      <c r="AA7" s="24"/>
    </row>
    <row r="8" ht="18.0" customHeight="1">
      <c r="A8" s="24"/>
      <c r="B8" s="24"/>
      <c r="C8" s="24"/>
      <c r="D8" s="24"/>
      <c r="E8" s="24"/>
      <c r="F8" s="24"/>
      <c r="G8" s="24"/>
      <c r="H8" s="24"/>
      <c r="I8" s="24"/>
      <c r="J8" s="24"/>
      <c r="K8" s="24"/>
      <c r="L8" s="24"/>
      <c r="M8" s="24"/>
      <c r="N8" s="24"/>
      <c r="O8" s="24"/>
      <c r="P8" s="24"/>
      <c r="Q8" s="24"/>
      <c r="R8" s="29" t="s">
        <v>476</v>
      </c>
    </row>
    <row r="9" ht="18.0" customHeight="1">
      <c r="A9" s="24"/>
      <c r="B9" s="24"/>
      <c r="C9" s="24"/>
      <c r="D9" s="24"/>
      <c r="E9" s="24"/>
      <c r="F9" s="24"/>
      <c r="G9" s="461" t="s">
        <v>477</v>
      </c>
      <c r="H9" s="462"/>
      <c r="I9" s="462"/>
      <c r="J9" s="462"/>
      <c r="K9" s="462"/>
      <c r="L9" s="462"/>
      <c r="M9" s="462"/>
      <c r="N9" s="462"/>
      <c r="O9" s="462"/>
      <c r="P9" s="463"/>
      <c r="Q9" s="24"/>
      <c r="R9" s="464" t="s">
        <v>478</v>
      </c>
    </row>
    <row r="10" ht="18.0" customHeight="1">
      <c r="A10" s="24"/>
      <c r="B10" s="24"/>
      <c r="C10" s="24"/>
      <c r="D10" s="24"/>
      <c r="E10" s="24"/>
      <c r="F10" s="24"/>
      <c r="G10" s="49" t="s">
        <v>479</v>
      </c>
      <c r="Q10" s="24"/>
      <c r="R10" s="49" t="s">
        <v>480</v>
      </c>
    </row>
    <row r="11" ht="14.25" customHeight="1">
      <c r="A11" s="465" t="s">
        <v>481</v>
      </c>
      <c r="B11" s="462"/>
      <c r="C11" s="462"/>
      <c r="D11" s="462"/>
      <c r="E11" s="463"/>
      <c r="F11" s="24"/>
      <c r="G11" s="466" t="s">
        <v>482</v>
      </c>
      <c r="Q11" s="24"/>
      <c r="R11" s="466" t="s">
        <v>483</v>
      </c>
    </row>
    <row r="12" ht="12.75" customHeight="1">
      <c r="A12" s="24"/>
      <c r="B12" s="467" t="s">
        <v>484</v>
      </c>
      <c r="D12" s="467" t="s">
        <v>485</v>
      </c>
      <c r="F12" s="24"/>
      <c r="G12" s="468" t="s">
        <v>486</v>
      </c>
      <c r="H12" s="464" t="s">
        <v>487</v>
      </c>
      <c r="I12" s="464" t="s">
        <v>488</v>
      </c>
      <c r="J12" s="464" t="s">
        <v>489</v>
      </c>
      <c r="K12" s="464" t="s">
        <v>490</v>
      </c>
      <c r="L12" s="464" t="s">
        <v>491</v>
      </c>
      <c r="M12" s="464" t="s">
        <v>492</v>
      </c>
      <c r="N12" s="464" t="s">
        <v>493</v>
      </c>
      <c r="O12" s="464" t="s">
        <v>494</v>
      </c>
      <c r="P12" s="464" t="s">
        <v>495</v>
      </c>
      <c r="Q12" s="24"/>
      <c r="R12" s="468" t="s">
        <v>486</v>
      </c>
      <c r="S12" s="464" t="s">
        <v>487</v>
      </c>
      <c r="T12" s="464" t="s">
        <v>488</v>
      </c>
      <c r="U12" s="464" t="s">
        <v>489</v>
      </c>
      <c r="V12" s="464" t="s">
        <v>490</v>
      </c>
      <c r="W12" s="464" t="s">
        <v>491</v>
      </c>
      <c r="X12" s="464" t="s">
        <v>492</v>
      </c>
      <c r="Y12" s="464" t="s">
        <v>493</v>
      </c>
      <c r="Z12" s="464" t="s">
        <v>494</v>
      </c>
      <c r="AA12" s="464" t="s">
        <v>495</v>
      </c>
    </row>
    <row r="13" ht="12.75" customHeight="1">
      <c r="A13" s="469"/>
      <c r="B13" s="301" t="s">
        <v>496</v>
      </c>
      <c r="C13" s="301" t="s">
        <v>497</v>
      </c>
      <c r="D13" s="301" t="s">
        <v>496</v>
      </c>
      <c r="E13" s="301" t="s">
        <v>497</v>
      </c>
      <c r="F13" s="24"/>
      <c r="G13" s="470"/>
      <c r="H13" s="470"/>
      <c r="I13" s="470"/>
      <c r="J13" s="470"/>
      <c r="K13" s="470"/>
      <c r="L13" s="470"/>
      <c r="M13" s="470"/>
      <c r="N13" s="470"/>
      <c r="O13" s="470"/>
      <c r="P13" s="470"/>
      <c r="Q13" s="24"/>
      <c r="R13" s="471"/>
      <c r="S13" s="471"/>
      <c r="T13" s="471"/>
      <c r="U13" s="471"/>
      <c r="V13" s="471"/>
      <c r="W13" s="471"/>
      <c r="X13" s="471"/>
      <c r="Y13" s="471"/>
      <c r="Z13" s="471"/>
      <c r="AA13" s="471"/>
    </row>
    <row r="14" ht="12.75" customHeight="1">
      <c r="A14" s="472">
        <v>2000.0</v>
      </c>
      <c r="B14" s="473">
        <f>SUM(I14:I25)</f>
        <v>29614677</v>
      </c>
      <c r="C14" s="473">
        <f>SUM(H14:H25)</f>
        <v>89098534</v>
      </c>
      <c r="D14" s="473">
        <f>SUM(T14:T25)</f>
        <v>36276799</v>
      </c>
      <c r="E14" s="473">
        <f>SUM(S14:S25)</f>
        <v>54474898</v>
      </c>
      <c r="F14" s="24"/>
      <c r="G14" s="474">
        <v>36526.0</v>
      </c>
      <c r="H14" s="469">
        <v>7229861.0</v>
      </c>
      <c r="I14" s="469">
        <v>2816985.0</v>
      </c>
      <c r="J14" s="469">
        <v>20919.0</v>
      </c>
      <c r="K14" s="469">
        <v>90288.0</v>
      </c>
      <c r="L14" s="469">
        <v>3555653.0</v>
      </c>
      <c r="M14" s="469">
        <v>691735.0</v>
      </c>
      <c r="N14" s="475">
        <v>0.0</v>
      </c>
      <c r="O14" s="469">
        <v>1683452.0</v>
      </c>
      <c r="P14" s="469">
        <v>-1629168.0</v>
      </c>
      <c r="Q14" s="24"/>
      <c r="R14" s="476">
        <v>36526.0</v>
      </c>
      <c r="S14" s="477">
        <v>4896835.0</v>
      </c>
      <c r="T14" s="477">
        <v>3257249.0</v>
      </c>
      <c r="U14" s="477">
        <v>141364.0</v>
      </c>
      <c r="V14" s="477">
        <v>35771.0</v>
      </c>
      <c r="W14" s="478">
        <v>0.0</v>
      </c>
      <c r="X14" s="477">
        <v>1390962.0</v>
      </c>
      <c r="Y14" s="478">
        <v>0.0</v>
      </c>
      <c r="Z14" s="478">
        <v>0.0</v>
      </c>
      <c r="AA14" s="477">
        <v>71489.0</v>
      </c>
    </row>
    <row r="15" ht="12.75" customHeight="1">
      <c r="A15" s="479">
        <v>2001.0</v>
      </c>
      <c r="B15" s="473">
        <f>SUM(I27:I38)</f>
        <v>25729197</v>
      </c>
      <c r="C15" s="473">
        <f>SUM(H27:H38)</f>
        <v>90120374</v>
      </c>
      <c r="D15" s="473">
        <f>SUM(T27:T38)</f>
        <v>36999662</v>
      </c>
      <c r="E15" s="473">
        <f>SUM(S27:S38)</f>
        <v>55734585</v>
      </c>
      <c r="F15" s="24"/>
      <c r="G15" s="474">
        <v>36557.0</v>
      </c>
      <c r="H15" s="469">
        <v>6420431.0</v>
      </c>
      <c r="I15" s="469">
        <v>2382678.0</v>
      </c>
      <c r="J15" s="469">
        <v>19197.0</v>
      </c>
      <c r="K15" s="469">
        <v>74795.0</v>
      </c>
      <c r="L15" s="469">
        <v>3287924.0</v>
      </c>
      <c r="M15" s="469">
        <v>597157.0</v>
      </c>
      <c r="N15" s="475">
        <v>0.0</v>
      </c>
      <c r="O15" s="469">
        <v>26301.0</v>
      </c>
      <c r="P15" s="469">
        <v>32379.0</v>
      </c>
      <c r="Q15" s="24"/>
      <c r="R15" s="476">
        <v>36557.0</v>
      </c>
      <c r="S15" s="477">
        <v>4018346.0</v>
      </c>
      <c r="T15" s="477">
        <v>2694223.0</v>
      </c>
      <c r="U15" s="477">
        <v>162928.0</v>
      </c>
      <c r="V15" s="477">
        <v>37528.0</v>
      </c>
      <c r="W15" s="478">
        <v>0.0</v>
      </c>
      <c r="X15" s="477">
        <v>1077967.0</v>
      </c>
      <c r="Y15" s="478">
        <v>0.0</v>
      </c>
      <c r="Z15" s="478">
        <v>0.0</v>
      </c>
      <c r="AA15" s="477">
        <v>45700.0</v>
      </c>
    </row>
    <row r="16" ht="12.75" customHeight="1">
      <c r="A16" s="472">
        <v>2002.0</v>
      </c>
      <c r="B16" s="473">
        <f>SUM(I40:I51)</f>
        <v>21754568</v>
      </c>
      <c r="C16" s="473">
        <f>SUM(H40:H51)</f>
        <v>90405735</v>
      </c>
      <c r="D16" s="473">
        <f>SUM(T40:T51)</f>
        <v>36345989</v>
      </c>
      <c r="E16" s="473">
        <f>SUM(S40:S51)</f>
        <v>55359521</v>
      </c>
      <c r="F16" s="24"/>
      <c r="G16" s="474">
        <v>36586.0</v>
      </c>
      <c r="H16" s="469">
        <v>7257556.0</v>
      </c>
      <c r="I16" s="469">
        <v>2561506.0</v>
      </c>
      <c r="J16" s="469">
        <v>20582.0</v>
      </c>
      <c r="K16" s="469">
        <v>96441.0</v>
      </c>
      <c r="L16" s="469">
        <v>3853976.0</v>
      </c>
      <c r="M16" s="469">
        <v>636590.0</v>
      </c>
      <c r="N16" s="475">
        <v>0.0</v>
      </c>
      <c r="O16" s="469">
        <v>25310.0</v>
      </c>
      <c r="P16" s="469">
        <v>63151.0</v>
      </c>
      <c r="Q16" s="24"/>
      <c r="R16" s="476">
        <v>36586.0</v>
      </c>
      <c r="S16" s="477">
        <v>4598345.0</v>
      </c>
      <c r="T16" s="477">
        <v>3047586.0</v>
      </c>
      <c r="U16" s="477">
        <v>176728.0</v>
      </c>
      <c r="V16" s="477">
        <v>41660.0</v>
      </c>
      <c r="W16" s="478">
        <v>0.0</v>
      </c>
      <c r="X16" s="477">
        <v>1319199.0</v>
      </c>
      <c r="Y16" s="478">
        <v>0.0</v>
      </c>
      <c r="Z16" s="478">
        <v>0.0</v>
      </c>
      <c r="AA16" s="477">
        <v>13172.0</v>
      </c>
    </row>
    <row r="17" ht="12.75" customHeight="1">
      <c r="A17" s="479">
        <v>2003.0</v>
      </c>
      <c r="B17" s="473">
        <f>SUM(I53:I64)</f>
        <v>18581261</v>
      </c>
      <c r="C17" s="473">
        <f>SUM(H53:H64)</f>
        <v>87774595</v>
      </c>
      <c r="D17" s="473">
        <f>SUM(T53:T64)</f>
        <v>28588787</v>
      </c>
      <c r="E17" s="473">
        <f>SUM(S53:S64)</f>
        <v>44433975</v>
      </c>
      <c r="F17" s="24"/>
      <c r="G17" s="474">
        <v>36617.0</v>
      </c>
      <c r="H17" s="469">
        <v>7349102.0</v>
      </c>
      <c r="I17" s="469">
        <v>2478344.0</v>
      </c>
      <c r="J17" s="469">
        <v>19507.0</v>
      </c>
      <c r="K17" s="469">
        <v>90169.0</v>
      </c>
      <c r="L17" s="469">
        <v>4067474.0</v>
      </c>
      <c r="M17" s="469">
        <v>607304.0</v>
      </c>
      <c r="N17" s="475">
        <v>0.0</v>
      </c>
      <c r="O17" s="469">
        <v>29966.0</v>
      </c>
      <c r="P17" s="469">
        <v>56338.0</v>
      </c>
      <c r="Q17" s="24"/>
      <c r="R17" s="476">
        <v>36617.0</v>
      </c>
      <c r="S17" s="477">
        <v>5122112.0</v>
      </c>
      <c r="T17" s="477">
        <v>3294946.0</v>
      </c>
      <c r="U17" s="477">
        <v>161023.0</v>
      </c>
      <c r="V17" s="477">
        <v>36250.0</v>
      </c>
      <c r="W17" s="478">
        <v>0.0</v>
      </c>
      <c r="X17" s="477">
        <v>1629369.0</v>
      </c>
      <c r="Y17" s="478">
        <v>0.0</v>
      </c>
      <c r="Z17" s="478">
        <v>0.0</v>
      </c>
      <c r="AA17" s="478">
        <v>524.0</v>
      </c>
    </row>
    <row r="18" ht="12.75" customHeight="1">
      <c r="A18" s="472">
        <v>2004.0</v>
      </c>
      <c r="B18" s="473">
        <f>SUM(I66:I77)</f>
        <v>17022787</v>
      </c>
      <c r="C18" s="473">
        <f>SUM(H66:H77)</f>
        <v>88183069</v>
      </c>
      <c r="D18" s="473">
        <f>SUM(T66:T77)</f>
        <v>22252845</v>
      </c>
      <c r="E18" s="473">
        <f>SUM(S66:S77)</f>
        <v>35956057</v>
      </c>
      <c r="F18" s="24"/>
      <c r="G18" s="474">
        <v>36647.0</v>
      </c>
      <c r="H18" s="469">
        <v>7583849.0</v>
      </c>
      <c r="I18" s="469">
        <v>2517857.0</v>
      </c>
      <c r="J18" s="469">
        <v>19180.0</v>
      </c>
      <c r="K18" s="469">
        <v>86170.0</v>
      </c>
      <c r="L18" s="469">
        <v>4318963.0</v>
      </c>
      <c r="M18" s="469">
        <v>629835.0</v>
      </c>
      <c r="N18" s="475">
        <v>0.0</v>
      </c>
      <c r="O18" s="469">
        <v>32672.0</v>
      </c>
      <c r="P18" s="469">
        <v>-20830.0</v>
      </c>
      <c r="Q18" s="24"/>
      <c r="R18" s="476">
        <v>36647.0</v>
      </c>
      <c r="S18" s="477">
        <v>4827916.0</v>
      </c>
      <c r="T18" s="477">
        <v>3290142.0</v>
      </c>
      <c r="U18" s="477">
        <v>163751.0</v>
      </c>
      <c r="V18" s="477">
        <v>40520.0</v>
      </c>
      <c r="W18" s="478">
        <v>0.0</v>
      </c>
      <c r="X18" s="477">
        <v>1326713.0</v>
      </c>
      <c r="Y18" s="478">
        <v>0.0</v>
      </c>
      <c r="Z18" s="478">
        <v>0.0</v>
      </c>
      <c r="AA18" s="477">
        <v>6790.0</v>
      </c>
    </row>
    <row r="19" ht="12.75" customHeight="1">
      <c r="A19" s="479">
        <v>2005.0</v>
      </c>
      <c r="B19" s="473">
        <f>SUM(I79:I90)</f>
        <v>13968363</v>
      </c>
      <c r="C19" s="473">
        <f>SUM(H79:H90)</f>
        <v>82648384</v>
      </c>
      <c r="D19" s="473">
        <f>SUM(T79:T90)</f>
        <v>18288174</v>
      </c>
      <c r="E19" s="473">
        <f>SUM(S79:S90)</f>
        <v>28148875</v>
      </c>
      <c r="F19" s="24"/>
      <c r="G19" s="474">
        <v>36678.0</v>
      </c>
      <c r="H19" s="469">
        <v>7270016.0</v>
      </c>
      <c r="I19" s="469">
        <v>2322388.0</v>
      </c>
      <c r="J19" s="469">
        <v>17502.0</v>
      </c>
      <c r="K19" s="469">
        <v>78817.0</v>
      </c>
      <c r="L19" s="469">
        <v>4269256.0</v>
      </c>
      <c r="M19" s="469">
        <v>568447.0</v>
      </c>
      <c r="N19" s="475">
        <v>0.0</v>
      </c>
      <c r="O19" s="469">
        <v>34211.0</v>
      </c>
      <c r="P19" s="469">
        <v>-20604.0</v>
      </c>
      <c r="Q19" s="24"/>
      <c r="R19" s="476">
        <v>36678.0</v>
      </c>
      <c r="S19" s="477">
        <v>4902968.0</v>
      </c>
      <c r="T19" s="477">
        <v>3370207.0</v>
      </c>
      <c r="U19" s="477">
        <v>152428.0</v>
      </c>
      <c r="V19" s="477">
        <v>41513.0</v>
      </c>
      <c r="W19" s="478">
        <v>0.0</v>
      </c>
      <c r="X19" s="477">
        <v>1329133.0</v>
      </c>
      <c r="Y19" s="478">
        <v>0.0</v>
      </c>
      <c r="Z19" s="478">
        <v>0.0</v>
      </c>
      <c r="AA19" s="477">
        <v>9687.0</v>
      </c>
    </row>
    <row r="20" ht="12.75" customHeight="1">
      <c r="A20" s="472">
        <v>2006.0</v>
      </c>
      <c r="B20" s="473">
        <f>SUM(I92:I103)</f>
        <v>11562071</v>
      </c>
      <c r="C20" s="473">
        <f>SUM(H92:H103)</f>
        <v>81449519</v>
      </c>
      <c r="D20" s="473">
        <f>SUM(T92:T103)</f>
        <v>14675966</v>
      </c>
      <c r="E20" s="473">
        <f>SUM(S92:S103)</f>
        <v>22500172</v>
      </c>
      <c r="F20" s="24"/>
      <c r="G20" s="474">
        <v>36708.0</v>
      </c>
      <c r="H20" s="469">
        <v>7732797.0</v>
      </c>
      <c r="I20" s="469">
        <v>2486770.0</v>
      </c>
      <c r="J20" s="469">
        <v>17125.0</v>
      </c>
      <c r="K20" s="469">
        <v>85875.0</v>
      </c>
      <c r="L20" s="469">
        <v>4560075.0</v>
      </c>
      <c r="M20" s="469">
        <v>611357.0</v>
      </c>
      <c r="N20" s="475">
        <v>0.0</v>
      </c>
      <c r="O20" s="469">
        <v>24015.0</v>
      </c>
      <c r="P20" s="469">
        <v>-52422.0</v>
      </c>
      <c r="Q20" s="24"/>
      <c r="R20" s="476">
        <v>36708.0</v>
      </c>
      <c r="S20" s="477">
        <v>5046207.0</v>
      </c>
      <c r="T20" s="477">
        <v>3442618.0</v>
      </c>
      <c r="U20" s="477">
        <v>170793.0</v>
      </c>
      <c r="V20" s="477">
        <v>36973.0</v>
      </c>
      <c r="W20" s="478">
        <v>0.0</v>
      </c>
      <c r="X20" s="477">
        <v>1388588.0</v>
      </c>
      <c r="Y20" s="478">
        <v>0.0</v>
      </c>
      <c r="Z20" s="478">
        <v>0.0</v>
      </c>
      <c r="AA20" s="477">
        <v>7235.0</v>
      </c>
    </row>
    <row r="21" ht="12.75" customHeight="1">
      <c r="A21" s="479">
        <v>2007.0</v>
      </c>
      <c r="B21" s="473">
        <f>SUM(I105:I116)</f>
        <v>9356547</v>
      </c>
      <c r="C21" s="473">
        <f>SUM(H105:H116)</f>
        <v>77639328</v>
      </c>
      <c r="D21" s="473">
        <f>SUM(T105:T116)</f>
        <v>8679721</v>
      </c>
      <c r="E21" s="473">
        <f>SUM(S105:S116)</f>
        <v>13772593</v>
      </c>
      <c r="F21" s="24"/>
      <c r="G21" s="474">
        <v>36739.0</v>
      </c>
      <c r="H21" s="469">
        <v>7813446.0</v>
      </c>
      <c r="I21" s="469">
        <v>2516332.0</v>
      </c>
      <c r="J21" s="469">
        <v>16963.0</v>
      </c>
      <c r="K21" s="469">
        <v>86817.0</v>
      </c>
      <c r="L21" s="469">
        <v>4617932.0</v>
      </c>
      <c r="M21" s="469">
        <v>614108.0</v>
      </c>
      <c r="N21" s="475">
        <v>0.0</v>
      </c>
      <c r="O21" s="469">
        <v>30014.0</v>
      </c>
      <c r="P21" s="469">
        <v>-68721.0</v>
      </c>
      <c r="Q21" s="24"/>
      <c r="R21" s="476">
        <v>36739.0</v>
      </c>
      <c r="S21" s="477">
        <v>4784699.0</v>
      </c>
      <c r="T21" s="477">
        <v>3260683.0</v>
      </c>
      <c r="U21" s="477">
        <v>126805.0</v>
      </c>
      <c r="V21" s="477">
        <v>36699.0</v>
      </c>
      <c r="W21" s="478">
        <v>0.0</v>
      </c>
      <c r="X21" s="477">
        <v>1357581.0</v>
      </c>
      <c r="Y21" s="478">
        <v>0.0</v>
      </c>
      <c r="Z21" s="478">
        <v>0.0</v>
      </c>
      <c r="AA21" s="477">
        <v>2931.0</v>
      </c>
    </row>
    <row r="22" ht="12.75" customHeight="1">
      <c r="A22" s="472">
        <v>2008.0</v>
      </c>
      <c r="B22" s="473">
        <f>SUM(I118:I129)</f>
        <v>10108002</v>
      </c>
      <c r="C22" s="473">
        <f>SUM(H118:H129)</f>
        <v>78801798</v>
      </c>
      <c r="D22" s="473">
        <f>SUM(T118:T129)</f>
        <v>0</v>
      </c>
      <c r="E22" s="473">
        <f>SUM(S118:S129)</f>
        <v>0</v>
      </c>
      <c r="F22" s="24"/>
      <c r="G22" s="474">
        <v>36770.0</v>
      </c>
      <c r="H22" s="469">
        <v>7369008.0</v>
      </c>
      <c r="I22" s="469">
        <v>2326902.0</v>
      </c>
      <c r="J22" s="469">
        <v>16752.0</v>
      </c>
      <c r="K22" s="469">
        <v>79128.0</v>
      </c>
      <c r="L22" s="469">
        <v>4337456.0</v>
      </c>
      <c r="M22" s="469">
        <v>570368.0</v>
      </c>
      <c r="N22" s="475">
        <v>0.0</v>
      </c>
      <c r="O22" s="475">
        <v>0.0</v>
      </c>
      <c r="P22" s="469">
        <v>38402.0</v>
      </c>
      <c r="Q22" s="24"/>
      <c r="R22" s="476">
        <v>36770.0</v>
      </c>
      <c r="S22" s="477">
        <v>4386731.0</v>
      </c>
      <c r="T22" s="477">
        <v>2887320.0</v>
      </c>
      <c r="U22" s="477">
        <v>131416.0</v>
      </c>
      <c r="V22" s="477">
        <v>37564.0</v>
      </c>
      <c r="W22" s="478">
        <v>0.0</v>
      </c>
      <c r="X22" s="477">
        <v>1279445.0</v>
      </c>
      <c r="Y22" s="478">
        <v>0.0</v>
      </c>
      <c r="Z22" s="478">
        <v>0.0</v>
      </c>
      <c r="AA22" s="477">
        <v>50986.0</v>
      </c>
    </row>
    <row r="23" ht="12.75" customHeight="1">
      <c r="A23" s="479">
        <v>2009.0</v>
      </c>
      <c r="B23" s="473">
        <f>SUM(I131:I142)</f>
        <v>16579525</v>
      </c>
      <c r="C23" s="473">
        <f>SUM(H131:H142)</f>
        <v>73830054</v>
      </c>
      <c r="D23" s="473">
        <f>SUM(T131:T142)</f>
        <v>0</v>
      </c>
      <c r="E23" s="473">
        <f>SUM(S131:S142)</f>
        <v>0</v>
      </c>
      <c r="F23" s="24"/>
      <c r="G23" s="474">
        <v>36800.0</v>
      </c>
      <c r="H23" s="469">
        <v>7637883.0</v>
      </c>
      <c r="I23" s="469">
        <v>2365532.0</v>
      </c>
      <c r="J23" s="469">
        <v>17676.0</v>
      </c>
      <c r="K23" s="469">
        <v>82490.0</v>
      </c>
      <c r="L23" s="469">
        <v>4546786.0</v>
      </c>
      <c r="M23" s="469">
        <v>585992.0</v>
      </c>
      <c r="N23" s="475">
        <v>0.0</v>
      </c>
      <c r="O23" s="475">
        <v>0.0</v>
      </c>
      <c r="P23" s="469">
        <v>39406.0</v>
      </c>
      <c r="Q23" s="24"/>
      <c r="R23" s="476">
        <v>36800.0</v>
      </c>
      <c r="S23" s="477">
        <v>3335136.0</v>
      </c>
      <c r="T23" s="477">
        <v>2127139.0</v>
      </c>
      <c r="U23" s="477">
        <v>109259.0</v>
      </c>
      <c r="V23" s="477">
        <v>33479.0</v>
      </c>
      <c r="W23" s="478">
        <v>0.0</v>
      </c>
      <c r="X23" s="477">
        <v>1059026.0</v>
      </c>
      <c r="Y23" s="478">
        <v>0.0</v>
      </c>
      <c r="Z23" s="478">
        <v>0.0</v>
      </c>
      <c r="AA23" s="477">
        <v>6233.0</v>
      </c>
    </row>
    <row r="24" ht="12.75" customHeight="1">
      <c r="A24" s="472">
        <v>2010.0</v>
      </c>
      <c r="B24" s="473">
        <f>SUM(I144:I155)</f>
        <v>20396559</v>
      </c>
      <c r="C24" s="473">
        <f>SUM(H144:H155)</f>
        <v>78959858</v>
      </c>
      <c r="D24" s="473">
        <f>SUM(T144:T155)</f>
        <v>0</v>
      </c>
      <c r="E24" s="473">
        <f>SUM(S144:S155)</f>
        <v>0</v>
      </c>
      <c r="F24" s="24"/>
      <c r="G24" s="474">
        <v>36831.0</v>
      </c>
      <c r="H24" s="469">
        <v>7590806.0</v>
      </c>
      <c r="I24" s="469">
        <v>2351654.0</v>
      </c>
      <c r="J24" s="469">
        <v>18499.0</v>
      </c>
      <c r="K24" s="469">
        <v>84231.0</v>
      </c>
      <c r="L24" s="469">
        <v>4592713.0</v>
      </c>
      <c r="M24" s="469">
        <v>575995.0</v>
      </c>
      <c r="N24" s="475">
        <v>0.0</v>
      </c>
      <c r="O24" s="475">
        <v>0.0</v>
      </c>
      <c r="P24" s="469">
        <v>-32283.0</v>
      </c>
      <c r="Q24" s="469"/>
      <c r="R24" s="476">
        <v>36831.0</v>
      </c>
      <c r="S24" s="477">
        <v>3259409.0</v>
      </c>
      <c r="T24" s="477">
        <v>2067589.0</v>
      </c>
      <c r="U24" s="477">
        <v>114736.0</v>
      </c>
      <c r="V24" s="477">
        <v>39652.0</v>
      </c>
      <c r="W24" s="478">
        <v>0.0</v>
      </c>
      <c r="X24" s="477">
        <v>1037409.0</v>
      </c>
      <c r="Y24" s="478">
        <v>0.0</v>
      </c>
      <c r="Z24" s="478">
        <v>0.0</v>
      </c>
      <c r="AA24" s="478">
        <v>23.0</v>
      </c>
    </row>
    <row r="25" ht="12.75" customHeight="1">
      <c r="A25" s="479">
        <v>2011.0</v>
      </c>
      <c r="B25" s="473">
        <f>SUM(I157:I168)</f>
        <v>20388503</v>
      </c>
      <c r="C25" s="473">
        <f>SUM(H157:H168)</f>
        <v>77213080</v>
      </c>
      <c r="D25" s="473">
        <f>SUM(T157:T168)</f>
        <v>0</v>
      </c>
      <c r="E25" s="473">
        <f>SUM(S157:S168)</f>
        <v>0</v>
      </c>
      <c r="F25" s="24"/>
      <c r="G25" s="474">
        <v>36861.0</v>
      </c>
      <c r="H25" s="469">
        <v>7843779.0</v>
      </c>
      <c r="I25" s="469">
        <v>2487729.0</v>
      </c>
      <c r="J25" s="469">
        <v>22244.0</v>
      </c>
      <c r="K25" s="469">
        <v>90533.0</v>
      </c>
      <c r="L25" s="469">
        <v>4801356.0</v>
      </c>
      <c r="M25" s="469">
        <v>449364.0</v>
      </c>
      <c r="N25" s="475">
        <v>0.0</v>
      </c>
      <c r="O25" s="475">
        <v>0.0</v>
      </c>
      <c r="P25" s="469">
        <v>-7447.0</v>
      </c>
      <c r="Q25" s="469"/>
      <c r="R25" s="476">
        <v>36861.0</v>
      </c>
      <c r="S25" s="477">
        <v>5296194.0</v>
      </c>
      <c r="T25" s="477">
        <v>3537097.0</v>
      </c>
      <c r="U25" s="477">
        <v>141091.0</v>
      </c>
      <c r="V25" s="477">
        <v>46725.0</v>
      </c>
      <c r="W25" s="478">
        <v>0.0</v>
      </c>
      <c r="X25" s="477">
        <v>1571189.0</v>
      </c>
      <c r="Y25" s="478">
        <v>0.0</v>
      </c>
      <c r="Z25" s="478">
        <v>0.0</v>
      </c>
      <c r="AA25" s="478">
        <v>92.0</v>
      </c>
    </row>
    <row r="26" ht="12.75" customHeight="1">
      <c r="A26" s="472">
        <v>2012.0</v>
      </c>
      <c r="B26" s="473">
        <f>SUM(I170:I181)</f>
        <v>20874224</v>
      </c>
      <c r="C26" s="473">
        <f>SUM(H170:H181)</f>
        <v>84665375</v>
      </c>
      <c r="D26" s="473">
        <f>SUM(T170:T181)</f>
        <v>0</v>
      </c>
      <c r="E26" s="473">
        <f>SUM(S170:S181)</f>
        <v>0</v>
      </c>
      <c r="F26" s="24"/>
      <c r="G26" s="470"/>
      <c r="H26" s="470"/>
      <c r="I26" s="470"/>
      <c r="J26" s="470"/>
      <c r="K26" s="470"/>
      <c r="L26" s="470"/>
      <c r="M26" s="470"/>
      <c r="N26" s="470"/>
      <c r="O26" s="470"/>
      <c r="P26" s="470"/>
      <c r="Q26" s="470"/>
      <c r="R26" s="471"/>
      <c r="S26" s="471"/>
      <c r="T26" s="471"/>
      <c r="U26" s="471"/>
      <c r="V26" s="471"/>
      <c r="W26" s="471"/>
      <c r="X26" s="471"/>
      <c r="Y26" s="471"/>
      <c r="Z26" s="471"/>
      <c r="AA26" s="471"/>
    </row>
    <row r="27" ht="12.75" customHeight="1">
      <c r="A27" s="479">
        <v>2013.0</v>
      </c>
      <c r="B27" s="473">
        <f>SUM(I183:I194)</f>
        <v>15650018</v>
      </c>
      <c r="C27" s="473">
        <f>SUM(H183:H194)</f>
        <v>78048999</v>
      </c>
      <c r="D27" s="473">
        <f>SUM(T183:T194)</f>
        <v>0</v>
      </c>
      <c r="E27" s="473">
        <f>SUM(S183:S194)</f>
        <v>0</v>
      </c>
      <c r="F27" s="24"/>
      <c r="G27" s="474">
        <v>36892.0</v>
      </c>
      <c r="H27" s="469">
        <v>7962114.0</v>
      </c>
      <c r="I27" s="469">
        <v>2524607.0</v>
      </c>
      <c r="J27" s="469">
        <v>25005.0</v>
      </c>
      <c r="K27" s="469">
        <v>90727.0</v>
      </c>
      <c r="L27" s="469">
        <v>4930813.0</v>
      </c>
      <c r="M27" s="469">
        <v>377646.0</v>
      </c>
      <c r="N27" s="475">
        <v>0.0</v>
      </c>
      <c r="O27" s="475">
        <v>0.0</v>
      </c>
      <c r="P27" s="469">
        <v>13316.0</v>
      </c>
      <c r="Q27" s="469"/>
      <c r="R27" s="476">
        <v>36892.0</v>
      </c>
      <c r="S27" s="477">
        <v>5051461.0</v>
      </c>
      <c r="T27" s="477">
        <v>3343898.0</v>
      </c>
      <c r="U27" s="477">
        <v>132750.0</v>
      </c>
      <c r="V27" s="477">
        <v>45992.0</v>
      </c>
      <c r="W27" s="478">
        <v>0.0</v>
      </c>
      <c r="X27" s="477">
        <v>1495105.0</v>
      </c>
      <c r="Y27" s="478">
        <v>0.0</v>
      </c>
      <c r="Z27" s="478">
        <v>0.0</v>
      </c>
      <c r="AA27" s="477">
        <v>33716.0</v>
      </c>
    </row>
    <row r="28" ht="12.75" customHeight="1">
      <c r="A28" s="472">
        <v>2014.0</v>
      </c>
      <c r="B28" s="473">
        <f>SUM(I196:I207)</f>
        <v>16553715</v>
      </c>
      <c r="C28" s="473">
        <f>SUM(H196:H207)</f>
        <v>81127015</v>
      </c>
      <c r="D28" s="473">
        <f>SUM(T196:T207)</f>
        <v>0</v>
      </c>
      <c r="E28" s="473">
        <f>SUM(S196:S207)</f>
        <v>0</v>
      </c>
      <c r="F28" s="24"/>
      <c r="G28" s="474">
        <v>36923.0</v>
      </c>
      <c r="H28" s="469">
        <v>7127598.0</v>
      </c>
      <c r="I28" s="469">
        <v>2248277.0</v>
      </c>
      <c r="J28" s="469">
        <v>25348.0</v>
      </c>
      <c r="K28" s="469">
        <v>84644.0</v>
      </c>
      <c r="L28" s="469">
        <v>4386786.0</v>
      </c>
      <c r="M28" s="469">
        <v>326468.0</v>
      </c>
      <c r="N28" s="475">
        <v>0.0</v>
      </c>
      <c r="O28" s="475">
        <v>0.0</v>
      </c>
      <c r="P28" s="469">
        <v>56077.0</v>
      </c>
      <c r="Q28" s="469"/>
      <c r="R28" s="476">
        <v>36923.0</v>
      </c>
      <c r="S28" s="477">
        <v>4893918.0</v>
      </c>
      <c r="T28" s="477">
        <v>3305407.0</v>
      </c>
      <c r="U28" s="477">
        <v>119115.0</v>
      </c>
      <c r="V28" s="477">
        <v>38943.0</v>
      </c>
      <c r="W28" s="478">
        <v>0.0</v>
      </c>
      <c r="X28" s="477">
        <v>1422166.0</v>
      </c>
      <c r="Y28" s="478">
        <v>0.0</v>
      </c>
      <c r="Z28" s="478">
        <v>0.0</v>
      </c>
      <c r="AA28" s="477">
        <v>8287.0</v>
      </c>
    </row>
    <row r="29" ht="12.75" customHeight="1">
      <c r="A29" s="479">
        <v>2015.0</v>
      </c>
      <c r="B29" s="473">
        <f>SUM(I209:I220)</f>
        <v>10503758</v>
      </c>
      <c r="C29" s="473">
        <f>SUM(H209:H220)</f>
        <v>68650389</v>
      </c>
      <c r="D29" s="473">
        <f>SUM(T209:T220)</f>
        <v>0</v>
      </c>
      <c r="E29" s="473">
        <f>SUM(S209:S220)</f>
        <v>0</v>
      </c>
      <c r="F29" s="24"/>
      <c r="G29" s="474">
        <v>36951.0</v>
      </c>
      <c r="H29" s="469">
        <v>7761038.0</v>
      </c>
      <c r="I29" s="469">
        <v>2349655.0</v>
      </c>
      <c r="J29" s="469">
        <v>27795.0</v>
      </c>
      <c r="K29" s="469">
        <v>84240.0</v>
      </c>
      <c r="L29" s="469">
        <v>4812383.0</v>
      </c>
      <c r="M29" s="469">
        <v>410888.0</v>
      </c>
      <c r="N29" s="475">
        <v>0.0</v>
      </c>
      <c r="O29" s="475">
        <v>0.0</v>
      </c>
      <c r="P29" s="469">
        <v>76075.0</v>
      </c>
      <c r="Q29" s="469"/>
      <c r="R29" s="476">
        <v>36951.0</v>
      </c>
      <c r="S29" s="477">
        <v>5249493.0</v>
      </c>
      <c r="T29" s="477">
        <v>3527403.0</v>
      </c>
      <c r="U29" s="477">
        <v>123704.0</v>
      </c>
      <c r="V29" s="477">
        <v>40267.0</v>
      </c>
      <c r="W29" s="478">
        <v>0.0</v>
      </c>
      <c r="X29" s="477">
        <v>1556915.0</v>
      </c>
      <c r="Y29" s="478">
        <v>0.0</v>
      </c>
      <c r="Z29" s="478">
        <v>0.0</v>
      </c>
      <c r="AA29" s="477">
        <v>1204.0</v>
      </c>
    </row>
    <row r="30" ht="12.75" customHeight="1">
      <c r="A30" s="472">
        <v>2016.0</v>
      </c>
      <c r="B30" s="473">
        <f>SUM(I222:I233)</f>
        <v>8110433</v>
      </c>
      <c r="C30" s="473">
        <f>SUM(H222:H233)</f>
        <v>67411124</v>
      </c>
      <c r="D30" s="473">
        <f>SUM(T222:T233)</f>
        <v>0</v>
      </c>
      <c r="E30" s="473">
        <f>SUM(S222:S233)</f>
        <v>0</v>
      </c>
      <c r="F30" s="24"/>
      <c r="G30" s="474">
        <v>36982.0</v>
      </c>
      <c r="H30" s="469">
        <v>7449812.0</v>
      </c>
      <c r="I30" s="469">
        <v>2132264.0</v>
      </c>
      <c r="J30" s="469">
        <v>19050.0</v>
      </c>
      <c r="K30" s="469">
        <v>80645.0</v>
      </c>
      <c r="L30" s="469">
        <v>4597797.0</v>
      </c>
      <c r="M30" s="469">
        <v>529102.0</v>
      </c>
      <c r="N30" s="475">
        <v>0.0</v>
      </c>
      <c r="O30" s="475">
        <v>0.0</v>
      </c>
      <c r="P30" s="469">
        <v>90955.0</v>
      </c>
      <c r="Q30" s="469"/>
      <c r="R30" s="476">
        <v>36982.0</v>
      </c>
      <c r="S30" s="477">
        <v>5032133.0</v>
      </c>
      <c r="T30" s="477">
        <v>3362999.0</v>
      </c>
      <c r="U30" s="477">
        <v>127356.0</v>
      </c>
      <c r="V30" s="477">
        <v>39165.0</v>
      </c>
      <c r="W30" s="478">
        <v>0.0</v>
      </c>
      <c r="X30" s="477">
        <v>1502540.0</v>
      </c>
      <c r="Y30" s="478">
        <v>0.0</v>
      </c>
      <c r="Z30" s="478">
        <v>0.0</v>
      </c>
      <c r="AA30" s="478">
        <v>73.0</v>
      </c>
    </row>
    <row r="31" ht="12.75" customHeight="1">
      <c r="A31" s="479">
        <v>2017.0</v>
      </c>
      <c r="B31" s="473">
        <f>SUM(I235:I246)</f>
        <v>9838001</v>
      </c>
      <c r="C31" s="473">
        <f>SUM(H235:H246)</f>
        <v>66241958</v>
      </c>
      <c r="D31" s="473">
        <f>SUM(T235:T246)</f>
        <v>0</v>
      </c>
      <c r="E31" s="473">
        <f>SUM(S235:S246)</f>
        <v>0</v>
      </c>
      <c r="F31" s="24"/>
      <c r="G31" s="474">
        <v>37012.0</v>
      </c>
      <c r="H31" s="469">
        <v>7628843.0</v>
      </c>
      <c r="I31" s="469">
        <v>2129793.0</v>
      </c>
      <c r="J31" s="469">
        <v>18610.0</v>
      </c>
      <c r="K31" s="469">
        <v>85595.0</v>
      </c>
      <c r="L31" s="469">
        <v>4770460.0</v>
      </c>
      <c r="M31" s="469">
        <v>543734.0</v>
      </c>
      <c r="N31" s="475">
        <v>0.0</v>
      </c>
      <c r="O31" s="475">
        <v>0.0</v>
      </c>
      <c r="P31" s="469">
        <v>80653.0</v>
      </c>
      <c r="Q31" s="469"/>
      <c r="R31" s="476">
        <v>37012.0</v>
      </c>
      <c r="S31" s="477">
        <v>4008788.0</v>
      </c>
      <c r="T31" s="477">
        <v>2665302.0</v>
      </c>
      <c r="U31" s="477">
        <v>98723.0</v>
      </c>
      <c r="V31" s="477">
        <v>36322.0</v>
      </c>
      <c r="W31" s="478">
        <v>0.0</v>
      </c>
      <c r="X31" s="477">
        <v>1191193.0</v>
      </c>
      <c r="Y31" s="478">
        <v>0.0</v>
      </c>
      <c r="Z31" s="478">
        <v>0.0</v>
      </c>
      <c r="AA31" s="477">
        <v>17248.0</v>
      </c>
    </row>
    <row r="32" ht="12.75" customHeight="1">
      <c r="A32" s="472">
        <v>2018.0</v>
      </c>
      <c r="B32" s="473">
        <f>SUM(I248:I259)</f>
        <v>12006882</v>
      </c>
      <c r="C32" s="473">
        <f>SUM(H248:H259)</f>
        <v>64850212</v>
      </c>
      <c r="D32" s="473">
        <f>SUM(T248:T259)</f>
        <v>0</v>
      </c>
      <c r="E32" s="473">
        <f>SUM(S248:S259)</f>
        <v>0</v>
      </c>
      <c r="F32" s="24"/>
      <c r="G32" s="474">
        <v>37043.0</v>
      </c>
      <c r="H32" s="469">
        <v>7248790.0</v>
      </c>
      <c r="I32" s="469">
        <v>2081384.0</v>
      </c>
      <c r="J32" s="469">
        <v>16857.0</v>
      </c>
      <c r="K32" s="469">
        <v>74140.0</v>
      </c>
      <c r="L32" s="469">
        <v>4478134.0</v>
      </c>
      <c r="M32" s="469">
        <v>497400.0</v>
      </c>
      <c r="N32" s="475">
        <v>0.0</v>
      </c>
      <c r="O32" s="475">
        <v>0.0</v>
      </c>
      <c r="P32" s="469">
        <v>100875.0</v>
      </c>
      <c r="Q32" s="469"/>
      <c r="R32" s="476">
        <v>37043.0</v>
      </c>
      <c r="S32" s="477">
        <v>1681341.0</v>
      </c>
      <c r="T32" s="477">
        <v>1107347.0</v>
      </c>
      <c r="U32" s="477">
        <v>34049.0</v>
      </c>
      <c r="V32" s="477">
        <v>20922.0</v>
      </c>
      <c r="W32" s="478">
        <v>0.0</v>
      </c>
      <c r="X32" s="477">
        <v>490745.0</v>
      </c>
      <c r="Y32" s="478">
        <v>0.0</v>
      </c>
      <c r="Z32" s="478">
        <v>0.0</v>
      </c>
      <c r="AA32" s="477">
        <v>28278.0</v>
      </c>
    </row>
    <row r="33" ht="12.75" customHeight="1">
      <c r="A33" s="479">
        <v>2019.0</v>
      </c>
      <c r="B33" s="473">
        <f>SUM(I261:I272)</f>
        <v>0</v>
      </c>
      <c r="C33" s="473">
        <f>SUM(H261:H272)</f>
        <v>0</v>
      </c>
      <c r="D33" s="473">
        <f>SUM(T261:T272)</f>
        <v>0</v>
      </c>
      <c r="E33" s="473">
        <f>SUM(S261:S272)</f>
        <v>0</v>
      </c>
      <c r="F33" s="24"/>
      <c r="G33" s="474">
        <v>37073.0</v>
      </c>
      <c r="H33" s="469">
        <v>7498952.0</v>
      </c>
      <c r="I33" s="469">
        <v>2171793.0</v>
      </c>
      <c r="J33" s="469">
        <v>18260.0</v>
      </c>
      <c r="K33" s="469">
        <v>82619.0</v>
      </c>
      <c r="L33" s="469">
        <v>4584434.0</v>
      </c>
      <c r="M33" s="469">
        <v>546933.0</v>
      </c>
      <c r="N33" s="475">
        <v>0.0</v>
      </c>
      <c r="O33" s="475">
        <v>0.0</v>
      </c>
      <c r="P33" s="469">
        <v>94914.0</v>
      </c>
      <c r="Q33" s="469"/>
      <c r="R33" s="476">
        <v>37073.0</v>
      </c>
      <c r="S33" s="477">
        <v>4989399.0</v>
      </c>
      <c r="T33" s="477">
        <v>3271961.0</v>
      </c>
      <c r="U33" s="477">
        <v>113885.0</v>
      </c>
      <c r="V33" s="477">
        <v>38606.0</v>
      </c>
      <c r="W33" s="478">
        <v>0.0</v>
      </c>
      <c r="X33" s="477">
        <v>1558385.0</v>
      </c>
      <c r="Y33" s="478">
        <v>0.0</v>
      </c>
      <c r="Z33" s="478">
        <v>0.0</v>
      </c>
      <c r="AA33" s="477">
        <v>6562.0</v>
      </c>
    </row>
    <row r="34" ht="12.75" customHeight="1">
      <c r="A34" s="472">
        <v>2020.0</v>
      </c>
      <c r="B34" s="473">
        <f>SUM(I274:I285)</f>
        <v>0</v>
      </c>
      <c r="C34" s="473">
        <f>SUM(H274:H285)</f>
        <v>0</v>
      </c>
      <c r="D34" s="473">
        <f>SUM(T274:T285)</f>
        <v>0</v>
      </c>
      <c r="E34" s="473">
        <f>SUM(S274:S285)</f>
        <v>0</v>
      </c>
      <c r="F34" s="24"/>
      <c r="G34" s="474">
        <v>37104.0</v>
      </c>
      <c r="H34" s="469">
        <v>7465377.0</v>
      </c>
      <c r="I34" s="469">
        <v>2113293.0</v>
      </c>
      <c r="J34" s="469">
        <v>18360.0</v>
      </c>
      <c r="K34" s="469">
        <v>86645.0</v>
      </c>
      <c r="L34" s="469">
        <v>4580982.0</v>
      </c>
      <c r="M34" s="469">
        <v>539281.0</v>
      </c>
      <c r="N34" s="475">
        <v>0.0</v>
      </c>
      <c r="O34" s="475">
        <v>0.0</v>
      </c>
      <c r="P34" s="469">
        <v>126816.0</v>
      </c>
      <c r="Q34" s="469"/>
      <c r="R34" s="476">
        <v>37104.0</v>
      </c>
      <c r="S34" s="477">
        <v>4629587.0</v>
      </c>
      <c r="T34" s="477">
        <v>3068912.0</v>
      </c>
      <c r="U34" s="477">
        <v>112470.0</v>
      </c>
      <c r="V34" s="477">
        <v>34901.0</v>
      </c>
      <c r="W34" s="478">
        <v>0.0</v>
      </c>
      <c r="X34" s="477">
        <v>1410946.0</v>
      </c>
      <c r="Y34" s="478">
        <v>0.0</v>
      </c>
      <c r="Z34" s="478">
        <v>0.0</v>
      </c>
      <c r="AA34" s="477">
        <v>2358.0</v>
      </c>
    </row>
    <row r="35" ht="12.75" customHeight="1">
      <c r="A35" s="479">
        <v>2021.0</v>
      </c>
      <c r="B35" s="473">
        <f>SUM(I287:I298)</f>
        <v>0</v>
      </c>
      <c r="C35" s="473">
        <f>SUM(H287:H298)</f>
        <v>0</v>
      </c>
      <c r="D35" s="473">
        <f>SUM(T287:T298)</f>
        <v>0</v>
      </c>
      <c r="E35" s="473">
        <f>SUM(S287:S298)</f>
        <v>0</v>
      </c>
      <c r="F35" s="24"/>
      <c r="G35" s="474">
        <v>37135.0</v>
      </c>
      <c r="H35" s="469">
        <v>7257745.0</v>
      </c>
      <c r="I35" s="469">
        <v>2017676.0</v>
      </c>
      <c r="J35" s="469">
        <v>12989.0</v>
      </c>
      <c r="K35" s="469">
        <v>80088.0</v>
      </c>
      <c r="L35" s="469">
        <v>4516169.0</v>
      </c>
      <c r="M35" s="469">
        <v>525194.0</v>
      </c>
      <c r="N35" s="475">
        <v>0.0</v>
      </c>
      <c r="O35" s="475">
        <v>0.0</v>
      </c>
      <c r="P35" s="469">
        <v>105631.0</v>
      </c>
      <c r="Q35" s="469"/>
      <c r="R35" s="476">
        <v>37135.0</v>
      </c>
      <c r="S35" s="477">
        <v>4727052.0</v>
      </c>
      <c r="T35" s="477">
        <v>3162460.0</v>
      </c>
      <c r="U35" s="477">
        <v>128791.0</v>
      </c>
      <c r="V35" s="477">
        <v>32214.0</v>
      </c>
      <c r="W35" s="478">
        <v>0.0</v>
      </c>
      <c r="X35" s="477">
        <v>1401139.0</v>
      </c>
      <c r="Y35" s="478">
        <v>0.0</v>
      </c>
      <c r="Z35" s="478">
        <v>0.0</v>
      </c>
      <c r="AA35" s="477">
        <v>2449.0</v>
      </c>
    </row>
    <row r="36" ht="12.75" customHeight="1">
      <c r="A36" s="472">
        <v>2022.0</v>
      </c>
      <c r="B36" s="473">
        <f>SUM(I300:I311)</f>
        <v>0</v>
      </c>
      <c r="C36" s="473">
        <f>SUM(H300:H311)</f>
        <v>0</v>
      </c>
      <c r="D36" s="473">
        <f>SUM(T300:T311)</f>
        <v>0</v>
      </c>
      <c r="E36" s="473">
        <f>SUM(S300:S311)</f>
        <v>0</v>
      </c>
      <c r="F36" s="24"/>
      <c r="G36" s="474">
        <v>37165.0</v>
      </c>
      <c r="H36" s="469">
        <v>7570622.0</v>
      </c>
      <c r="I36" s="469">
        <v>2002101.0</v>
      </c>
      <c r="J36" s="469">
        <v>20812.0</v>
      </c>
      <c r="K36" s="469">
        <v>88841.0</v>
      </c>
      <c r="L36" s="469">
        <v>4832459.0</v>
      </c>
      <c r="M36" s="469">
        <v>542871.0</v>
      </c>
      <c r="N36" s="475">
        <v>0.0</v>
      </c>
      <c r="O36" s="475">
        <v>0.0</v>
      </c>
      <c r="P36" s="469">
        <v>83537.0</v>
      </c>
      <c r="Q36" s="469"/>
      <c r="R36" s="476">
        <v>37165.0</v>
      </c>
      <c r="S36" s="477">
        <v>5224673.0</v>
      </c>
      <c r="T36" s="477">
        <v>3467957.0</v>
      </c>
      <c r="U36" s="477">
        <v>123301.0</v>
      </c>
      <c r="V36" s="477">
        <v>38487.0</v>
      </c>
      <c r="W36" s="478">
        <v>0.0</v>
      </c>
      <c r="X36" s="477">
        <v>1593236.0</v>
      </c>
      <c r="Y36" s="478">
        <v>0.0</v>
      </c>
      <c r="Z36" s="478">
        <v>0.0</v>
      </c>
      <c r="AA36" s="477">
        <v>1692.0</v>
      </c>
    </row>
    <row r="37" ht="12.75" customHeight="1">
      <c r="A37" s="479">
        <v>2023.0</v>
      </c>
      <c r="B37" s="473">
        <f>SUM(I313:I324)</f>
        <v>0</v>
      </c>
      <c r="C37" s="473">
        <f>SUM(H313:H324)</f>
        <v>0</v>
      </c>
      <c r="D37" s="473">
        <f>SUM(T313:T324)</f>
        <v>0</v>
      </c>
      <c r="E37" s="473">
        <f>SUM(S313:S324)</f>
        <v>0</v>
      </c>
      <c r="F37" s="24"/>
      <c r="G37" s="474">
        <v>37196.0</v>
      </c>
      <c r="H37" s="469">
        <v>7458800.0</v>
      </c>
      <c r="I37" s="469">
        <v>1954288.0</v>
      </c>
      <c r="J37" s="469">
        <v>21197.0</v>
      </c>
      <c r="K37" s="469">
        <v>90969.0</v>
      </c>
      <c r="L37" s="469">
        <v>4775061.0</v>
      </c>
      <c r="M37" s="469">
        <v>536572.0</v>
      </c>
      <c r="N37" s="475">
        <v>0.0</v>
      </c>
      <c r="O37" s="475">
        <v>0.0</v>
      </c>
      <c r="P37" s="469">
        <v>80714.0</v>
      </c>
      <c r="Q37" s="469"/>
      <c r="R37" s="476">
        <v>37196.0</v>
      </c>
      <c r="S37" s="477">
        <v>4995300.0</v>
      </c>
      <c r="T37" s="477">
        <v>3256698.0</v>
      </c>
      <c r="U37" s="477">
        <v>126615.0</v>
      </c>
      <c r="V37" s="477">
        <v>35234.0</v>
      </c>
      <c r="W37" s="478">
        <v>0.0</v>
      </c>
      <c r="X37" s="477">
        <v>1576728.0</v>
      </c>
      <c r="Y37" s="478">
        <v>0.0</v>
      </c>
      <c r="Z37" s="478">
        <v>0.0</v>
      </c>
      <c r="AA37" s="478">
        <v>26.0</v>
      </c>
    </row>
    <row r="38" ht="12.75" customHeight="1">
      <c r="A38" s="472">
        <v>2024.0</v>
      </c>
      <c r="B38" s="473">
        <f>SUM(I326:I337)</f>
        <v>0</v>
      </c>
      <c r="C38" s="473">
        <f>SUM(H326:H337)</f>
        <v>0</v>
      </c>
      <c r="D38" s="473">
        <f>SUM(T326:T337)</f>
        <v>0</v>
      </c>
      <c r="E38" s="473">
        <f>SUM(S326:S337)</f>
        <v>0</v>
      </c>
      <c r="F38" s="24"/>
      <c r="G38" s="474">
        <v>37226.0</v>
      </c>
      <c r="H38" s="469">
        <v>7690683.0</v>
      </c>
      <c r="I38" s="469">
        <v>2004066.0</v>
      </c>
      <c r="J38" s="469">
        <v>22671.0</v>
      </c>
      <c r="K38" s="469">
        <v>97856.0</v>
      </c>
      <c r="L38" s="469">
        <v>4954402.0</v>
      </c>
      <c r="M38" s="469">
        <v>550305.0</v>
      </c>
      <c r="N38" s="475">
        <v>0.0</v>
      </c>
      <c r="O38" s="475">
        <v>0.0</v>
      </c>
      <c r="P38" s="469">
        <v>61384.0</v>
      </c>
      <c r="Q38" s="469"/>
      <c r="R38" s="476">
        <v>37226.0</v>
      </c>
      <c r="S38" s="477">
        <v>5251440.0</v>
      </c>
      <c r="T38" s="477">
        <v>3459318.0</v>
      </c>
      <c r="U38" s="477">
        <v>137251.0</v>
      </c>
      <c r="V38" s="477">
        <v>37608.0</v>
      </c>
      <c r="W38" s="478">
        <v>0.0</v>
      </c>
      <c r="X38" s="477">
        <v>1585570.0</v>
      </c>
      <c r="Y38" s="478">
        <v>0.0</v>
      </c>
      <c r="Z38" s="478">
        <v>0.0</v>
      </c>
      <c r="AA38" s="477">
        <v>31693.0</v>
      </c>
    </row>
    <row r="39" ht="12.75" customHeight="1">
      <c r="A39" s="479">
        <v>2025.0</v>
      </c>
      <c r="B39" s="473">
        <f>SUM(I339:I350)</f>
        <v>0</v>
      </c>
      <c r="C39" s="473">
        <f>SUM(H339:H350)</f>
        <v>0</v>
      </c>
      <c r="D39" s="473">
        <f>SUM(T339:T350)</f>
        <v>0</v>
      </c>
      <c r="E39" s="473">
        <f>SUM(S339:S350)</f>
        <v>0</v>
      </c>
      <c r="F39" s="24"/>
      <c r="G39" s="470"/>
      <c r="H39" s="470"/>
      <c r="I39" s="470"/>
      <c r="J39" s="470"/>
      <c r="K39" s="470"/>
      <c r="L39" s="470"/>
      <c r="M39" s="470"/>
      <c r="N39" s="470"/>
      <c r="O39" s="470"/>
      <c r="P39" s="470"/>
      <c r="Q39" s="470"/>
      <c r="R39" s="471"/>
      <c r="S39" s="471"/>
      <c r="T39" s="471"/>
      <c r="U39" s="471"/>
      <c r="V39" s="471"/>
      <c r="W39" s="471"/>
      <c r="X39" s="471"/>
      <c r="Y39" s="471"/>
      <c r="Z39" s="471"/>
      <c r="AA39" s="471"/>
    </row>
    <row r="40" ht="12.75" customHeight="1">
      <c r="A40" s="472">
        <v>2026.0</v>
      </c>
      <c r="B40" s="473">
        <f>SUM(I352:I363)</f>
        <v>0</v>
      </c>
      <c r="C40" s="473">
        <f>SUM(H352:H363)</f>
        <v>0</v>
      </c>
      <c r="D40" s="473">
        <f>SUM(T352:T363)</f>
        <v>0</v>
      </c>
      <c r="E40" s="473">
        <f>SUM(S352:S363)</f>
        <v>0</v>
      </c>
      <c r="F40" s="24"/>
      <c r="G40" s="474">
        <v>37257.0</v>
      </c>
      <c r="H40" s="469">
        <v>7760984.0</v>
      </c>
      <c r="I40" s="469">
        <v>2024115.0</v>
      </c>
      <c r="J40" s="469">
        <v>23022.0</v>
      </c>
      <c r="K40" s="469">
        <v>99631.0</v>
      </c>
      <c r="L40" s="469">
        <v>5020642.0</v>
      </c>
      <c r="M40" s="469">
        <v>563055.0</v>
      </c>
      <c r="N40" s="475">
        <v>0.0</v>
      </c>
      <c r="O40" s="475">
        <v>0.0</v>
      </c>
      <c r="P40" s="469">
        <v>30520.0</v>
      </c>
      <c r="Q40" s="469"/>
      <c r="R40" s="476">
        <v>37257.0</v>
      </c>
      <c r="S40" s="477">
        <v>5328127.0</v>
      </c>
      <c r="T40" s="477">
        <v>3553785.0</v>
      </c>
      <c r="U40" s="477">
        <v>135606.0</v>
      </c>
      <c r="V40" s="477">
        <v>34738.0</v>
      </c>
      <c r="W40" s="478">
        <v>0.0</v>
      </c>
      <c r="X40" s="477">
        <v>1602174.0</v>
      </c>
      <c r="Y40" s="478">
        <v>0.0</v>
      </c>
      <c r="Z40" s="478">
        <v>0.0</v>
      </c>
      <c r="AA40" s="477">
        <v>1824.0</v>
      </c>
    </row>
    <row r="41" ht="12.75" customHeight="1">
      <c r="A41" s="479">
        <v>2027.0</v>
      </c>
      <c r="B41" s="473">
        <f>SUM(I365:I376)</f>
        <v>0</v>
      </c>
      <c r="C41" s="473">
        <f>SUM(H365:H376)</f>
        <v>0</v>
      </c>
      <c r="D41" s="473">
        <f>SUM(T365:T376)</f>
        <v>0</v>
      </c>
      <c r="E41" s="473">
        <f>SUM(S365:S376)</f>
        <v>0</v>
      </c>
      <c r="F41" s="24"/>
      <c r="G41" s="474">
        <v>37288.0</v>
      </c>
      <c r="H41" s="469">
        <v>6823349.0</v>
      </c>
      <c r="I41" s="469">
        <v>1720536.0</v>
      </c>
      <c r="J41" s="469">
        <v>20270.0</v>
      </c>
      <c r="K41" s="469">
        <v>89227.0</v>
      </c>
      <c r="L41" s="469">
        <v>4464739.0</v>
      </c>
      <c r="M41" s="469">
        <v>489904.0</v>
      </c>
      <c r="N41" s="475">
        <v>0.0</v>
      </c>
      <c r="O41" s="475">
        <v>0.0</v>
      </c>
      <c r="P41" s="469">
        <v>38673.0</v>
      </c>
      <c r="Q41" s="469"/>
      <c r="R41" s="476">
        <v>37288.0</v>
      </c>
      <c r="S41" s="477">
        <v>4689437.0</v>
      </c>
      <c r="T41" s="477">
        <v>3114488.0</v>
      </c>
      <c r="U41" s="477">
        <v>107114.0</v>
      </c>
      <c r="V41" s="477">
        <v>37463.0</v>
      </c>
      <c r="W41" s="478">
        <v>0.0</v>
      </c>
      <c r="X41" s="477">
        <v>1423214.0</v>
      </c>
      <c r="Y41" s="478">
        <v>0.0</v>
      </c>
      <c r="Z41" s="478">
        <v>0.0</v>
      </c>
      <c r="AA41" s="477">
        <v>7158.0</v>
      </c>
    </row>
    <row r="42" ht="12.75" customHeight="1">
      <c r="A42" s="472">
        <v>2028.0</v>
      </c>
      <c r="B42" s="473">
        <f>SUM(I378:I389)</f>
        <v>0</v>
      </c>
      <c r="C42" s="473">
        <f>SUM(H378:H389)</f>
        <v>0</v>
      </c>
      <c r="D42" s="473">
        <f>SUM(T378:T389)</f>
        <v>0</v>
      </c>
      <c r="E42" s="473">
        <f>SUM(S378:S389)</f>
        <v>0</v>
      </c>
      <c r="F42" s="24"/>
      <c r="G42" s="474">
        <v>37316.0</v>
      </c>
      <c r="H42" s="469">
        <v>7508975.0</v>
      </c>
      <c r="I42" s="469">
        <v>1882411.0</v>
      </c>
      <c r="J42" s="469">
        <v>21999.0</v>
      </c>
      <c r="K42" s="469">
        <v>91531.0</v>
      </c>
      <c r="L42" s="469">
        <v>4903148.0</v>
      </c>
      <c r="M42" s="469">
        <v>543491.0</v>
      </c>
      <c r="N42" s="475">
        <v>0.0</v>
      </c>
      <c r="O42" s="475">
        <v>0.0</v>
      </c>
      <c r="P42" s="469">
        <v>66395.0</v>
      </c>
      <c r="Q42" s="469"/>
      <c r="R42" s="476">
        <v>37316.0</v>
      </c>
      <c r="S42" s="477">
        <v>4998732.0</v>
      </c>
      <c r="T42" s="477">
        <v>3266380.0</v>
      </c>
      <c r="U42" s="477">
        <v>115711.0</v>
      </c>
      <c r="V42" s="477">
        <v>37512.0</v>
      </c>
      <c r="W42" s="478">
        <v>0.0</v>
      </c>
      <c r="X42" s="477">
        <v>1552364.0</v>
      </c>
      <c r="Y42" s="478">
        <v>0.0</v>
      </c>
      <c r="Z42" s="478">
        <v>0.0</v>
      </c>
      <c r="AA42" s="477">
        <v>26765.0</v>
      </c>
    </row>
    <row r="43" ht="12.75" customHeight="1">
      <c r="A43" s="479">
        <v>2029.0</v>
      </c>
      <c r="B43" s="473">
        <f>SUM(I391:I402)</f>
        <v>0</v>
      </c>
      <c r="C43" s="473">
        <f>SUM(H391:H402)</f>
        <v>0</v>
      </c>
      <c r="D43" s="473">
        <f>SUM(T391:T402)</f>
        <v>0</v>
      </c>
      <c r="E43" s="473">
        <f>SUM(S391:S402)</f>
        <v>0</v>
      </c>
      <c r="F43" s="24"/>
      <c r="G43" s="474">
        <v>37347.0</v>
      </c>
      <c r="H43" s="469">
        <v>7159853.0</v>
      </c>
      <c r="I43" s="469">
        <v>1784618.0</v>
      </c>
      <c r="J43" s="469">
        <v>20311.0</v>
      </c>
      <c r="K43" s="469">
        <v>86440.0</v>
      </c>
      <c r="L43" s="469">
        <v>4755175.0</v>
      </c>
      <c r="M43" s="469">
        <v>503813.0</v>
      </c>
      <c r="N43" s="475">
        <v>0.0</v>
      </c>
      <c r="O43" s="475">
        <v>0.0</v>
      </c>
      <c r="P43" s="469">
        <v>9496.0</v>
      </c>
      <c r="Q43" s="469"/>
      <c r="R43" s="476">
        <v>37347.0</v>
      </c>
      <c r="S43" s="477">
        <v>4655961.0</v>
      </c>
      <c r="T43" s="477">
        <v>3087502.0</v>
      </c>
      <c r="U43" s="477">
        <v>131941.0</v>
      </c>
      <c r="V43" s="477">
        <v>36530.0</v>
      </c>
      <c r="W43" s="478">
        <v>0.0</v>
      </c>
      <c r="X43" s="477">
        <v>1393743.0</v>
      </c>
      <c r="Y43" s="478">
        <v>0.0</v>
      </c>
      <c r="Z43" s="478">
        <v>0.0</v>
      </c>
      <c r="AA43" s="477">
        <v>6245.0</v>
      </c>
    </row>
    <row r="44" ht="12.75" customHeight="1">
      <c r="A44" s="472">
        <v>2030.0</v>
      </c>
      <c r="B44" s="473">
        <f>SUM(I404:I415)</f>
        <v>0</v>
      </c>
      <c r="C44" s="473">
        <f>SUM(H404:H415)</f>
        <v>0</v>
      </c>
      <c r="D44" s="473">
        <f>SUM(T404:T415)</f>
        <v>0</v>
      </c>
      <c r="E44" s="473">
        <f>SUM(S404:S415)</f>
        <v>0</v>
      </c>
      <c r="F44" s="24"/>
      <c r="G44" s="474">
        <v>37377.0</v>
      </c>
      <c r="H44" s="469">
        <v>7583859.0</v>
      </c>
      <c r="I44" s="469">
        <v>1852531.0</v>
      </c>
      <c r="J44" s="469">
        <v>20728.0</v>
      </c>
      <c r="K44" s="469">
        <v>92547.0</v>
      </c>
      <c r="L44" s="469">
        <v>5103372.0</v>
      </c>
      <c r="M44" s="469">
        <v>530907.0</v>
      </c>
      <c r="N44" s="475">
        <v>0.0</v>
      </c>
      <c r="O44" s="475">
        <v>0.0</v>
      </c>
      <c r="P44" s="469">
        <v>-16227.0</v>
      </c>
      <c r="Q44" s="469"/>
      <c r="R44" s="476">
        <v>37377.0</v>
      </c>
      <c r="S44" s="477">
        <v>4684272.0</v>
      </c>
      <c r="T44" s="477">
        <v>3108549.0</v>
      </c>
      <c r="U44" s="477">
        <v>116612.0</v>
      </c>
      <c r="V44" s="477">
        <v>36521.0</v>
      </c>
      <c r="W44" s="478">
        <v>0.0</v>
      </c>
      <c r="X44" s="477">
        <v>1367934.0</v>
      </c>
      <c r="Y44" s="478">
        <v>0.0</v>
      </c>
      <c r="Z44" s="478">
        <v>0.0</v>
      </c>
      <c r="AA44" s="477">
        <v>54656.0</v>
      </c>
    </row>
    <row r="45" ht="12.75" customHeight="1">
      <c r="A45" s="24"/>
      <c r="B45" s="24"/>
      <c r="C45" s="24"/>
      <c r="D45" s="24"/>
      <c r="E45" s="24"/>
      <c r="F45" s="24"/>
      <c r="G45" s="474">
        <v>37408.0</v>
      </c>
      <c r="H45" s="469">
        <v>7208424.0</v>
      </c>
      <c r="I45" s="469">
        <v>1680966.0</v>
      </c>
      <c r="J45" s="469">
        <v>16715.0</v>
      </c>
      <c r="K45" s="469">
        <v>82878.0</v>
      </c>
      <c r="L45" s="469">
        <v>4935103.0</v>
      </c>
      <c r="M45" s="469">
        <v>479142.0</v>
      </c>
      <c r="N45" s="475">
        <v>0.0</v>
      </c>
      <c r="O45" s="475">
        <v>0.0</v>
      </c>
      <c r="P45" s="469">
        <v>13620.0</v>
      </c>
      <c r="Q45" s="469"/>
      <c r="R45" s="476">
        <v>37408.0</v>
      </c>
      <c r="S45" s="477">
        <v>4568023.0</v>
      </c>
      <c r="T45" s="477">
        <v>3009715.0</v>
      </c>
      <c r="U45" s="477">
        <v>122428.0</v>
      </c>
      <c r="V45" s="477">
        <v>32913.0</v>
      </c>
      <c r="W45" s="478">
        <v>0.0</v>
      </c>
      <c r="X45" s="477">
        <v>1395874.0</v>
      </c>
      <c r="Y45" s="478">
        <v>0.0</v>
      </c>
      <c r="Z45" s="478">
        <v>0.0</v>
      </c>
      <c r="AA45" s="477">
        <v>7093.0</v>
      </c>
    </row>
    <row r="46" ht="12.75" customHeight="1">
      <c r="A46" s="24"/>
      <c r="B46" s="24"/>
      <c r="C46" s="24"/>
      <c r="D46" s="24"/>
      <c r="E46" s="24"/>
      <c r="F46" s="24"/>
      <c r="G46" s="474">
        <v>37438.0</v>
      </c>
      <c r="H46" s="469">
        <v>7917750.0</v>
      </c>
      <c r="I46" s="469">
        <v>1858106.0</v>
      </c>
      <c r="J46" s="469">
        <v>17052.0</v>
      </c>
      <c r="K46" s="469">
        <v>89675.0</v>
      </c>
      <c r="L46" s="469">
        <v>5437699.0</v>
      </c>
      <c r="M46" s="469">
        <v>523970.0</v>
      </c>
      <c r="N46" s="475">
        <v>0.0</v>
      </c>
      <c r="O46" s="475">
        <v>0.0</v>
      </c>
      <c r="P46" s="469">
        <v>-8752.0</v>
      </c>
      <c r="Q46" s="469"/>
      <c r="R46" s="476">
        <v>37438.0</v>
      </c>
      <c r="S46" s="477">
        <v>4449207.0</v>
      </c>
      <c r="T46" s="477">
        <v>2873510.0</v>
      </c>
      <c r="U46" s="477">
        <v>119948.0</v>
      </c>
      <c r="V46" s="477">
        <v>28792.0</v>
      </c>
      <c r="W46" s="478">
        <v>0.0</v>
      </c>
      <c r="X46" s="477">
        <v>1359586.0</v>
      </c>
      <c r="Y46" s="478">
        <v>0.0</v>
      </c>
      <c r="Z46" s="478">
        <v>0.0</v>
      </c>
      <c r="AA46" s="477">
        <v>67371.0</v>
      </c>
    </row>
    <row r="47" ht="12.75" customHeight="1">
      <c r="A47" s="24"/>
      <c r="B47" s="24"/>
      <c r="C47" s="24"/>
      <c r="D47" s="24"/>
      <c r="E47" s="24"/>
      <c r="F47" s="24"/>
      <c r="G47" s="474">
        <v>37469.0</v>
      </c>
      <c r="H47" s="469">
        <v>7995308.0</v>
      </c>
      <c r="I47" s="469">
        <v>1950217.0</v>
      </c>
      <c r="J47" s="469">
        <v>17552.0</v>
      </c>
      <c r="K47" s="469">
        <v>88855.0</v>
      </c>
      <c r="L47" s="469">
        <v>5453172.0</v>
      </c>
      <c r="M47" s="469">
        <v>537252.0</v>
      </c>
      <c r="N47" s="475">
        <v>0.0</v>
      </c>
      <c r="O47" s="475">
        <v>0.0</v>
      </c>
      <c r="P47" s="469">
        <v>-51736.0</v>
      </c>
      <c r="Q47" s="469"/>
      <c r="R47" s="476">
        <v>37469.0</v>
      </c>
      <c r="S47" s="477">
        <v>4862983.0</v>
      </c>
      <c r="T47" s="477">
        <v>3231503.0</v>
      </c>
      <c r="U47" s="477">
        <v>110359.0</v>
      </c>
      <c r="V47" s="477">
        <v>28914.0</v>
      </c>
      <c r="W47" s="478">
        <v>0.0</v>
      </c>
      <c r="X47" s="477">
        <v>1492180.0</v>
      </c>
      <c r="Y47" s="478">
        <v>0.0</v>
      </c>
      <c r="Z47" s="478">
        <v>0.0</v>
      </c>
      <c r="AA47" s="478">
        <v>27.0</v>
      </c>
    </row>
    <row r="48" ht="12.75" customHeight="1">
      <c r="A48" s="24"/>
      <c r="B48" s="24"/>
      <c r="C48" s="24"/>
      <c r="D48" s="24"/>
      <c r="E48" s="24"/>
      <c r="F48" s="24"/>
      <c r="G48" s="474">
        <v>37500.0</v>
      </c>
      <c r="H48" s="469">
        <v>7578217.0</v>
      </c>
      <c r="I48" s="469">
        <v>1809871.0</v>
      </c>
      <c r="J48" s="469">
        <v>17433.0</v>
      </c>
      <c r="K48" s="469">
        <v>79786.0</v>
      </c>
      <c r="L48" s="469">
        <v>5075005.0</v>
      </c>
      <c r="M48" s="469">
        <v>511065.0</v>
      </c>
      <c r="N48" s="475">
        <v>0.0</v>
      </c>
      <c r="O48" s="475">
        <v>0.0</v>
      </c>
      <c r="P48" s="469">
        <v>85056.0</v>
      </c>
      <c r="Q48" s="469"/>
      <c r="R48" s="476">
        <v>37500.0</v>
      </c>
      <c r="S48" s="477">
        <v>4696818.0</v>
      </c>
      <c r="T48" s="477">
        <v>3111289.0</v>
      </c>
      <c r="U48" s="477">
        <v>113488.0</v>
      </c>
      <c r="V48" s="477">
        <v>32990.0</v>
      </c>
      <c r="W48" s="478">
        <v>0.0</v>
      </c>
      <c r="X48" s="477">
        <v>1423146.0</v>
      </c>
      <c r="Y48" s="478">
        <v>0.0</v>
      </c>
      <c r="Z48" s="478">
        <v>0.0</v>
      </c>
      <c r="AA48" s="477">
        <v>15905.0</v>
      </c>
    </row>
    <row r="49" ht="12.75" customHeight="1">
      <c r="A49" s="24"/>
      <c r="B49" s="24"/>
      <c r="C49" s="24"/>
      <c r="D49" s="24"/>
      <c r="E49" s="24"/>
      <c r="F49" s="24"/>
      <c r="G49" s="474">
        <v>37530.0</v>
      </c>
      <c r="H49" s="469">
        <v>7565094.0</v>
      </c>
      <c r="I49" s="469">
        <v>1756300.0</v>
      </c>
      <c r="J49" s="469">
        <v>19082.0</v>
      </c>
      <c r="K49" s="469">
        <v>88168.0</v>
      </c>
      <c r="L49" s="469">
        <v>5063998.0</v>
      </c>
      <c r="M49" s="469">
        <v>494687.0</v>
      </c>
      <c r="N49" s="475">
        <v>0.0</v>
      </c>
      <c r="O49" s="469">
        <v>50015.0</v>
      </c>
      <c r="P49" s="469">
        <v>92845.0</v>
      </c>
      <c r="Q49" s="469"/>
      <c r="R49" s="476">
        <v>37530.0</v>
      </c>
      <c r="S49" s="477">
        <v>4212897.0</v>
      </c>
      <c r="T49" s="477">
        <v>2714143.0</v>
      </c>
      <c r="U49" s="477">
        <v>133235.0</v>
      </c>
      <c r="V49" s="477">
        <v>37155.0</v>
      </c>
      <c r="W49" s="478">
        <v>0.0</v>
      </c>
      <c r="X49" s="477">
        <v>1316164.0</v>
      </c>
      <c r="Y49" s="478">
        <v>0.0</v>
      </c>
      <c r="Z49" s="478">
        <v>0.0</v>
      </c>
      <c r="AA49" s="477">
        <v>12200.0</v>
      </c>
    </row>
    <row r="50" ht="12.75" customHeight="1">
      <c r="A50" s="24"/>
      <c r="B50" s="24"/>
      <c r="C50" s="24"/>
      <c r="D50" s="24"/>
      <c r="E50" s="24"/>
      <c r="F50" s="24"/>
      <c r="G50" s="474">
        <v>37561.0</v>
      </c>
      <c r="H50" s="469">
        <v>7516486.0</v>
      </c>
      <c r="I50" s="469">
        <v>1711705.0</v>
      </c>
      <c r="J50" s="469">
        <v>20721.0</v>
      </c>
      <c r="K50" s="469">
        <v>93433.0</v>
      </c>
      <c r="L50" s="469">
        <v>5134654.0</v>
      </c>
      <c r="M50" s="469">
        <v>485962.0</v>
      </c>
      <c r="N50" s="475">
        <v>0.0</v>
      </c>
      <c r="O50" s="475">
        <v>0.0</v>
      </c>
      <c r="P50" s="469">
        <v>70012.0</v>
      </c>
      <c r="Q50" s="469"/>
      <c r="R50" s="476">
        <v>37561.0</v>
      </c>
      <c r="S50" s="477">
        <v>4046653.0</v>
      </c>
      <c r="T50" s="477">
        <v>2612570.0</v>
      </c>
      <c r="U50" s="477">
        <v>170839.0</v>
      </c>
      <c r="V50" s="477">
        <v>38349.0</v>
      </c>
      <c r="W50" s="478">
        <v>0.0</v>
      </c>
      <c r="X50" s="477">
        <v>1223946.0</v>
      </c>
      <c r="Y50" s="478">
        <v>0.0</v>
      </c>
      <c r="Z50" s="478">
        <v>0.0</v>
      </c>
      <c r="AA50" s="478">
        <v>949.0</v>
      </c>
    </row>
    <row r="51" ht="12.75" customHeight="1">
      <c r="A51" s="24"/>
      <c r="B51" s="24"/>
      <c r="C51" s="24"/>
      <c r="D51" s="24"/>
      <c r="E51" s="24"/>
      <c r="F51" s="24"/>
      <c r="G51" s="474">
        <v>37591.0</v>
      </c>
      <c r="H51" s="469">
        <v>7787436.0</v>
      </c>
      <c r="I51" s="469">
        <v>1723192.0</v>
      </c>
      <c r="J51" s="469">
        <v>22374.0</v>
      </c>
      <c r="K51" s="469">
        <v>93845.0</v>
      </c>
      <c r="L51" s="469">
        <v>5234269.0</v>
      </c>
      <c r="M51" s="469">
        <v>498661.0</v>
      </c>
      <c r="N51" s="475">
        <v>0.0</v>
      </c>
      <c r="O51" s="469">
        <v>126558.0</v>
      </c>
      <c r="P51" s="469">
        <v>88535.0</v>
      </c>
      <c r="Q51" s="469"/>
      <c r="R51" s="476">
        <v>37591.0</v>
      </c>
      <c r="S51" s="477">
        <v>4166411.0</v>
      </c>
      <c r="T51" s="477">
        <v>2662555.0</v>
      </c>
      <c r="U51" s="477">
        <v>187373.0</v>
      </c>
      <c r="V51" s="477">
        <v>41686.0</v>
      </c>
      <c r="W51" s="478">
        <v>0.0</v>
      </c>
      <c r="X51" s="477">
        <v>1257296.0</v>
      </c>
      <c r="Y51" s="478">
        <v>0.0</v>
      </c>
      <c r="Z51" s="478">
        <v>0.0</v>
      </c>
      <c r="AA51" s="477">
        <v>17501.0</v>
      </c>
    </row>
    <row r="52" ht="12.75" customHeight="1">
      <c r="A52" s="24"/>
      <c r="B52" s="24"/>
      <c r="C52" s="24"/>
      <c r="D52" s="24"/>
      <c r="E52" s="24"/>
      <c r="F52" s="24"/>
      <c r="G52" s="470"/>
      <c r="H52" s="470"/>
      <c r="I52" s="470"/>
      <c r="J52" s="470"/>
      <c r="K52" s="470"/>
      <c r="L52" s="470"/>
      <c r="M52" s="470"/>
      <c r="N52" s="470"/>
      <c r="O52" s="470"/>
      <c r="P52" s="470"/>
      <c r="Q52" s="470"/>
      <c r="R52" s="471"/>
      <c r="S52" s="471"/>
      <c r="T52" s="471"/>
      <c r="U52" s="471"/>
      <c r="V52" s="471"/>
      <c r="W52" s="471"/>
      <c r="X52" s="471"/>
      <c r="Y52" s="471"/>
      <c r="Z52" s="471"/>
      <c r="AA52" s="471"/>
    </row>
    <row r="53" ht="12.75" customHeight="1">
      <c r="A53" s="24"/>
      <c r="B53" s="24"/>
      <c r="C53" s="24"/>
      <c r="D53" s="24"/>
      <c r="E53" s="24"/>
      <c r="F53" s="24"/>
      <c r="G53" s="474">
        <v>37622.0</v>
      </c>
      <c r="H53" s="469">
        <v>7706052.0</v>
      </c>
      <c r="I53" s="469">
        <v>1681534.0</v>
      </c>
      <c r="J53" s="469">
        <v>22178.0</v>
      </c>
      <c r="K53" s="469">
        <v>97114.0</v>
      </c>
      <c r="L53" s="469">
        <v>5404887.0</v>
      </c>
      <c r="M53" s="469">
        <v>487796.0</v>
      </c>
      <c r="N53" s="475">
        <v>0.0</v>
      </c>
      <c r="O53" s="475">
        <v>0.0</v>
      </c>
      <c r="P53" s="469">
        <v>12544.0</v>
      </c>
      <c r="Q53" s="469"/>
      <c r="R53" s="476">
        <v>37622.0</v>
      </c>
      <c r="S53" s="477">
        <v>4074507.0</v>
      </c>
      <c r="T53" s="477">
        <v>2626134.0</v>
      </c>
      <c r="U53" s="477">
        <v>184486.0</v>
      </c>
      <c r="V53" s="477">
        <v>37519.0</v>
      </c>
      <c r="W53" s="478">
        <v>0.0</v>
      </c>
      <c r="X53" s="477">
        <v>1225977.0</v>
      </c>
      <c r="Y53" s="478">
        <v>0.0</v>
      </c>
      <c r="Z53" s="478">
        <v>0.0</v>
      </c>
      <c r="AA53" s="478">
        <v>391.0</v>
      </c>
    </row>
    <row r="54" ht="12.75" customHeight="1">
      <c r="A54" s="24"/>
      <c r="B54" s="24"/>
      <c r="C54" s="24"/>
      <c r="D54" s="24"/>
      <c r="E54" s="24"/>
      <c r="F54" s="24"/>
      <c r="G54" s="474">
        <v>37653.0</v>
      </c>
      <c r="H54" s="469">
        <v>6937710.0</v>
      </c>
      <c r="I54" s="469">
        <v>1496608.0</v>
      </c>
      <c r="J54" s="469">
        <v>20339.0</v>
      </c>
      <c r="K54" s="469">
        <v>88794.0</v>
      </c>
      <c r="L54" s="469">
        <v>4706082.0</v>
      </c>
      <c r="M54" s="469">
        <v>437102.0</v>
      </c>
      <c r="N54" s="475">
        <v>0.0</v>
      </c>
      <c r="O54" s="469">
        <v>115188.0</v>
      </c>
      <c r="P54" s="469">
        <v>73596.0</v>
      </c>
      <c r="Q54" s="469"/>
      <c r="R54" s="476">
        <v>37653.0</v>
      </c>
      <c r="S54" s="477">
        <v>3537881.0</v>
      </c>
      <c r="T54" s="477">
        <v>2252244.0</v>
      </c>
      <c r="U54" s="477">
        <v>180597.0</v>
      </c>
      <c r="V54" s="477">
        <v>30922.0</v>
      </c>
      <c r="W54" s="478">
        <v>0.0</v>
      </c>
      <c r="X54" s="477">
        <v>1072566.0</v>
      </c>
      <c r="Y54" s="478">
        <v>0.0</v>
      </c>
      <c r="Z54" s="478">
        <v>0.0</v>
      </c>
      <c r="AA54" s="477">
        <v>1552.0</v>
      </c>
    </row>
    <row r="55" ht="12.75" customHeight="1">
      <c r="A55" s="24"/>
      <c r="B55" s="24"/>
      <c r="C55" s="24"/>
      <c r="D55" s="24"/>
      <c r="E55" s="24"/>
      <c r="F55" s="24"/>
      <c r="G55" s="474">
        <v>37681.0</v>
      </c>
      <c r="H55" s="469">
        <v>7567954.0</v>
      </c>
      <c r="I55" s="469">
        <v>1611999.0</v>
      </c>
      <c r="J55" s="469">
        <v>20835.0</v>
      </c>
      <c r="K55" s="469">
        <v>88720.0</v>
      </c>
      <c r="L55" s="469">
        <v>5064435.0</v>
      </c>
      <c r="M55" s="469">
        <v>467945.0</v>
      </c>
      <c r="N55" s="475">
        <v>0.0</v>
      </c>
      <c r="O55" s="469">
        <v>199716.0</v>
      </c>
      <c r="P55" s="469">
        <v>114304.0</v>
      </c>
      <c r="Q55" s="469"/>
      <c r="R55" s="476">
        <v>37681.0</v>
      </c>
      <c r="S55" s="477">
        <v>3972414.0</v>
      </c>
      <c r="T55" s="477">
        <v>2556166.0</v>
      </c>
      <c r="U55" s="477">
        <v>184136.0</v>
      </c>
      <c r="V55" s="477">
        <v>34952.0</v>
      </c>
      <c r="W55" s="478">
        <v>0.0</v>
      </c>
      <c r="X55" s="477">
        <v>1182172.0</v>
      </c>
      <c r="Y55" s="478">
        <v>0.0</v>
      </c>
      <c r="Z55" s="478">
        <v>0.0</v>
      </c>
      <c r="AA55" s="477">
        <v>14988.0</v>
      </c>
    </row>
    <row r="56" ht="12.75" customHeight="1">
      <c r="A56" s="24"/>
      <c r="B56" s="24"/>
      <c r="C56" s="24"/>
      <c r="D56" s="24"/>
      <c r="E56" s="24"/>
      <c r="F56" s="24"/>
      <c r="G56" s="474">
        <v>37712.0</v>
      </c>
      <c r="H56" s="469">
        <v>7416232.0</v>
      </c>
      <c r="I56" s="469">
        <v>1582852.0</v>
      </c>
      <c r="J56" s="469">
        <v>18076.0</v>
      </c>
      <c r="K56" s="469">
        <v>88492.0</v>
      </c>
      <c r="L56" s="469">
        <v>5184192.0</v>
      </c>
      <c r="M56" s="469">
        <v>457448.0</v>
      </c>
      <c r="N56" s="475">
        <v>0.0</v>
      </c>
      <c r="O56" s="469">
        <v>1120.0</v>
      </c>
      <c r="P56" s="469">
        <v>84050.0</v>
      </c>
      <c r="Q56" s="24"/>
      <c r="R56" s="476">
        <v>37712.0</v>
      </c>
      <c r="S56" s="477">
        <v>3913154.0</v>
      </c>
      <c r="T56" s="477">
        <v>2527754.0</v>
      </c>
      <c r="U56" s="477">
        <v>186867.0</v>
      </c>
      <c r="V56" s="477">
        <v>30837.0</v>
      </c>
      <c r="W56" s="478">
        <v>0.0</v>
      </c>
      <c r="X56" s="477">
        <v>1166426.0</v>
      </c>
      <c r="Y56" s="478">
        <v>0.0</v>
      </c>
      <c r="Z56" s="478">
        <v>0.0</v>
      </c>
      <c r="AA56" s="477">
        <v>1270.0</v>
      </c>
    </row>
    <row r="57" ht="12.75" customHeight="1">
      <c r="A57" s="24"/>
      <c r="B57" s="24"/>
      <c r="C57" s="24"/>
      <c r="D57" s="24"/>
      <c r="E57" s="24"/>
      <c r="F57" s="24"/>
      <c r="G57" s="474">
        <v>37742.0</v>
      </c>
      <c r="H57" s="469">
        <v>7562774.0</v>
      </c>
      <c r="I57" s="469">
        <v>1615739.0</v>
      </c>
      <c r="J57" s="469">
        <v>18043.0</v>
      </c>
      <c r="K57" s="469">
        <v>90129.0</v>
      </c>
      <c r="L57" s="469">
        <v>5326054.0</v>
      </c>
      <c r="M57" s="469">
        <v>458770.0</v>
      </c>
      <c r="N57" s="475">
        <v>0.0</v>
      </c>
      <c r="O57" s="475">
        <v>0.0</v>
      </c>
      <c r="P57" s="469">
        <v>54038.0</v>
      </c>
      <c r="Q57" s="24"/>
      <c r="R57" s="476">
        <v>37742.0</v>
      </c>
      <c r="S57" s="477">
        <v>3973289.0</v>
      </c>
      <c r="T57" s="477">
        <v>2583108.0</v>
      </c>
      <c r="U57" s="477">
        <v>171635.0</v>
      </c>
      <c r="V57" s="477">
        <v>28999.0</v>
      </c>
      <c r="W57" s="478">
        <v>0.0</v>
      </c>
      <c r="X57" s="477">
        <v>1188840.0</v>
      </c>
      <c r="Y57" s="478">
        <v>0.0</v>
      </c>
      <c r="Z57" s="478">
        <v>0.0</v>
      </c>
      <c r="AA57" s="478">
        <v>707.0</v>
      </c>
    </row>
    <row r="58" ht="12.75" customHeight="1">
      <c r="A58" s="24"/>
      <c r="B58" s="24"/>
      <c r="C58" s="24"/>
      <c r="D58" s="24"/>
      <c r="E58" s="24"/>
      <c r="F58" s="24"/>
      <c r="G58" s="474">
        <v>37773.0</v>
      </c>
      <c r="H58" s="469">
        <v>7127294.0</v>
      </c>
      <c r="I58" s="469">
        <v>1551452.0</v>
      </c>
      <c r="J58" s="469">
        <v>16786.0</v>
      </c>
      <c r="K58" s="469">
        <v>83274.0</v>
      </c>
      <c r="L58" s="469">
        <v>4956959.0</v>
      </c>
      <c r="M58" s="469">
        <v>442612.0</v>
      </c>
      <c r="N58" s="475">
        <v>0.0</v>
      </c>
      <c r="O58" s="475">
        <v>0.0</v>
      </c>
      <c r="P58" s="469">
        <v>76211.0</v>
      </c>
      <c r="Q58" s="24"/>
      <c r="R58" s="476">
        <v>37773.0</v>
      </c>
      <c r="S58" s="477">
        <v>3795948.0</v>
      </c>
      <c r="T58" s="477">
        <v>2461159.0</v>
      </c>
      <c r="U58" s="477">
        <v>172823.0</v>
      </c>
      <c r="V58" s="477">
        <v>26735.0</v>
      </c>
      <c r="W58" s="478">
        <v>0.0</v>
      </c>
      <c r="X58" s="477">
        <v>1135199.0</v>
      </c>
      <c r="Y58" s="478">
        <v>0.0</v>
      </c>
      <c r="Z58" s="478">
        <v>0.0</v>
      </c>
      <c r="AA58" s="478">
        <v>32.0</v>
      </c>
    </row>
    <row r="59" ht="12.75" customHeight="1">
      <c r="A59" s="24"/>
      <c r="B59" s="24"/>
      <c r="C59" s="24"/>
      <c r="D59" s="24"/>
      <c r="E59" s="24"/>
      <c r="F59" s="24"/>
      <c r="G59" s="474">
        <v>37803.0</v>
      </c>
      <c r="H59" s="469">
        <v>7308855.0</v>
      </c>
      <c r="I59" s="469">
        <v>1573679.0</v>
      </c>
      <c r="J59" s="469">
        <v>16195.0</v>
      </c>
      <c r="K59" s="469">
        <v>88025.0</v>
      </c>
      <c r="L59" s="469">
        <v>5039359.0</v>
      </c>
      <c r="M59" s="469">
        <v>451912.0</v>
      </c>
      <c r="N59" s="475">
        <v>0.0</v>
      </c>
      <c r="O59" s="469">
        <v>22015.0</v>
      </c>
      <c r="P59" s="469">
        <v>117671.0</v>
      </c>
      <c r="Q59" s="24"/>
      <c r="R59" s="476">
        <v>37803.0</v>
      </c>
      <c r="S59" s="477">
        <v>3840438.0</v>
      </c>
      <c r="T59" s="477">
        <v>2512752.0</v>
      </c>
      <c r="U59" s="477">
        <v>170235.0</v>
      </c>
      <c r="V59" s="477">
        <v>20927.0</v>
      </c>
      <c r="W59" s="478">
        <v>0.0</v>
      </c>
      <c r="X59" s="477">
        <v>1134186.0</v>
      </c>
      <c r="Y59" s="478">
        <v>0.0</v>
      </c>
      <c r="Z59" s="478">
        <v>0.0</v>
      </c>
      <c r="AA59" s="477">
        <v>2338.0</v>
      </c>
    </row>
    <row r="60" ht="12.75" customHeight="1">
      <c r="A60" s="24"/>
      <c r="B60" s="24"/>
      <c r="C60" s="24"/>
      <c r="D60" s="24"/>
      <c r="E60" s="24"/>
      <c r="F60" s="24"/>
      <c r="G60" s="474">
        <v>37834.0</v>
      </c>
      <c r="H60" s="469">
        <v>7302802.0</v>
      </c>
      <c r="I60" s="469">
        <v>1527974.0</v>
      </c>
      <c r="J60" s="469">
        <v>13607.0</v>
      </c>
      <c r="K60" s="469">
        <v>84343.0</v>
      </c>
      <c r="L60" s="469">
        <v>5143758.0</v>
      </c>
      <c r="M60" s="469">
        <v>440390.0</v>
      </c>
      <c r="N60" s="475">
        <v>0.0</v>
      </c>
      <c r="O60" s="469">
        <v>13664.0</v>
      </c>
      <c r="P60" s="469">
        <v>79067.0</v>
      </c>
      <c r="Q60" s="24"/>
      <c r="R60" s="476">
        <v>37834.0</v>
      </c>
      <c r="S60" s="477">
        <v>3735121.0</v>
      </c>
      <c r="T60" s="477">
        <v>2420143.0</v>
      </c>
      <c r="U60" s="477">
        <v>159031.0</v>
      </c>
      <c r="V60" s="477">
        <v>16397.0</v>
      </c>
      <c r="W60" s="478">
        <v>0.0</v>
      </c>
      <c r="X60" s="477">
        <v>1120114.0</v>
      </c>
      <c r="Y60" s="478">
        <v>0.0</v>
      </c>
      <c r="Z60" s="478">
        <v>0.0</v>
      </c>
      <c r="AA60" s="477">
        <v>19436.0</v>
      </c>
    </row>
    <row r="61" ht="12.75" customHeight="1">
      <c r="A61" s="24"/>
      <c r="B61" s="24"/>
      <c r="C61" s="24"/>
      <c r="D61" s="24"/>
      <c r="E61" s="24"/>
      <c r="F61" s="24"/>
      <c r="G61" s="474">
        <v>37865.0</v>
      </c>
      <c r="H61" s="469">
        <v>7066189.0</v>
      </c>
      <c r="I61" s="469">
        <v>1573267.0</v>
      </c>
      <c r="J61" s="469">
        <v>17409.0</v>
      </c>
      <c r="K61" s="469">
        <v>71357.0</v>
      </c>
      <c r="L61" s="469">
        <v>4518596.0</v>
      </c>
      <c r="M61" s="469">
        <v>316258.0</v>
      </c>
      <c r="N61" s="475">
        <v>0.0</v>
      </c>
      <c r="O61" s="469">
        <v>492749.0</v>
      </c>
      <c r="P61" s="469">
        <v>76552.0</v>
      </c>
      <c r="Q61" s="24"/>
      <c r="R61" s="476">
        <v>37865.0</v>
      </c>
      <c r="S61" s="477">
        <v>3466746.0</v>
      </c>
      <c r="T61" s="477">
        <v>2264332.0</v>
      </c>
      <c r="U61" s="477">
        <v>157347.0</v>
      </c>
      <c r="V61" s="477">
        <v>18271.0</v>
      </c>
      <c r="W61" s="478">
        <v>0.0</v>
      </c>
      <c r="X61" s="477">
        <v>1026747.0</v>
      </c>
      <c r="Y61" s="478">
        <v>0.0</v>
      </c>
      <c r="Z61" s="478">
        <v>0.0</v>
      </c>
      <c r="AA61" s="478">
        <v>49.0</v>
      </c>
    </row>
    <row r="62" ht="12.75" customHeight="1">
      <c r="A62" s="24"/>
      <c r="B62" s="24"/>
      <c r="C62" s="24"/>
      <c r="D62" s="24"/>
      <c r="E62" s="24"/>
      <c r="F62" s="24"/>
      <c r="G62" s="474">
        <v>37895.0</v>
      </c>
      <c r="H62" s="469">
        <v>7323303.0</v>
      </c>
      <c r="I62" s="469">
        <v>1483935.0</v>
      </c>
      <c r="J62" s="469">
        <v>15786.0</v>
      </c>
      <c r="K62" s="469">
        <v>92167.0</v>
      </c>
      <c r="L62" s="469">
        <v>5053112.0</v>
      </c>
      <c r="M62" s="469">
        <v>429968.0</v>
      </c>
      <c r="N62" s="475">
        <v>0.0</v>
      </c>
      <c r="O62" s="469">
        <v>198982.0</v>
      </c>
      <c r="P62" s="469">
        <v>49352.0</v>
      </c>
      <c r="Q62" s="24"/>
      <c r="R62" s="476">
        <v>37895.0</v>
      </c>
      <c r="S62" s="477">
        <v>3431126.0</v>
      </c>
      <c r="T62" s="477">
        <v>2239635.0</v>
      </c>
      <c r="U62" s="477">
        <v>155920.0</v>
      </c>
      <c r="V62" s="477">
        <v>21629.0</v>
      </c>
      <c r="W62" s="478">
        <v>0.0</v>
      </c>
      <c r="X62" s="477">
        <v>1011242.0</v>
      </c>
      <c r="Y62" s="478">
        <v>0.0</v>
      </c>
      <c r="Z62" s="478">
        <v>0.0</v>
      </c>
      <c r="AA62" s="477">
        <v>2700.0</v>
      </c>
    </row>
    <row r="63" ht="12.75" customHeight="1">
      <c r="A63" s="24"/>
      <c r="B63" s="24"/>
      <c r="C63" s="24"/>
      <c r="D63" s="24"/>
      <c r="E63" s="24"/>
      <c r="F63" s="24"/>
      <c r="G63" s="474">
        <v>37926.0</v>
      </c>
      <c r="H63" s="469">
        <v>7161405.0</v>
      </c>
      <c r="I63" s="469">
        <v>1433333.0</v>
      </c>
      <c r="J63" s="469">
        <v>17027.0</v>
      </c>
      <c r="K63" s="469">
        <v>98850.0</v>
      </c>
      <c r="L63" s="469">
        <v>5081542.0</v>
      </c>
      <c r="M63" s="469">
        <v>420563.0</v>
      </c>
      <c r="N63" s="475">
        <v>0.0</v>
      </c>
      <c r="O63" s="469">
        <v>4851.0</v>
      </c>
      <c r="P63" s="469">
        <v>105239.0</v>
      </c>
      <c r="Q63" s="24"/>
      <c r="R63" s="476">
        <v>37926.0</v>
      </c>
      <c r="S63" s="477">
        <v>3223318.0</v>
      </c>
      <c r="T63" s="477">
        <v>2054855.0</v>
      </c>
      <c r="U63" s="477">
        <v>157969.0</v>
      </c>
      <c r="V63" s="477">
        <v>27939.0</v>
      </c>
      <c r="W63" s="478">
        <v>0.0</v>
      </c>
      <c r="X63" s="477">
        <v>982540.0</v>
      </c>
      <c r="Y63" s="478">
        <v>0.0</v>
      </c>
      <c r="Z63" s="478">
        <v>0.0</v>
      </c>
      <c r="AA63" s="478">
        <v>15.0</v>
      </c>
    </row>
    <row r="64" ht="12.75" customHeight="1">
      <c r="A64" s="24"/>
      <c r="B64" s="24"/>
      <c r="C64" s="24"/>
      <c r="D64" s="24"/>
      <c r="E64" s="24"/>
      <c r="F64" s="24"/>
      <c r="G64" s="474">
        <v>37956.0</v>
      </c>
      <c r="H64" s="469">
        <v>7294025.0</v>
      </c>
      <c r="I64" s="469">
        <v>1448889.0</v>
      </c>
      <c r="J64" s="469">
        <v>17262.0</v>
      </c>
      <c r="K64" s="469">
        <v>101986.0</v>
      </c>
      <c r="L64" s="469">
        <v>5325185.0</v>
      </c>
      <c r="M64" s="469">
        <v>429387.0</v>
      </c>
      <c r="N64" s="475">
        <v>0.0</v>
      </c>
      <c r="O64" s="475">
        <v>0.0</v>
      </c>
      <c r="P64" s="469">
        <v>-28684.0</v>
      </c>
      <c r="Q64" s="24"/>
      <c r="R64" s="476">
        <v>37956.0</v>
      </c>
      <c r="S64" s="477">
        <v>3470033.0</v>
      </c>
      <c r="T64" s="477">
        <v>2090505.0</v>
      </c>
      <c r="U64" s="477">
        <v>168908.0</v>
      </c>
      <c r="V64" s="477">
        <v>23656.0</v>
      </c>
      <c r="W64" s="478">
        <v>0.0</v>
      </c>
      <c r="X64" s="477">
        <v>1186828.0</v>
      </c>
      <c r="Y64" s="478">
        <v>0.0</v>
      </c>
      <c r="Z64" s="478">
        <v>0.0</v>
      </c>
      <c r="AA64" s="478">
        <v>136.0</v>
      </c>
    </row>
    <row r="65" ht="12.75" customHeight="1">
      <c r="A65" s="24"/>
      <c r="B65" s="24"/>
      <c r="C65" s="24"/>
      <c r="D65" s="24"/>
      <c r="E65" s="24"/>
      <c r="F65" s="24"/>
      <c r="G65" s="470"/>
      <c r="H65" s="470"/>
      <c r="I65" s="470"/>
      <c r="J65" s="470"/>
      <c r="K65" s="470"/>
      <c r="L65" s="470"/>
      <c r="M65" s="470"/>
      <c r="N65" s="470"/>
      <c r="O65" s="470"/>
      <c r="P65" s="470"/>
      <c r="Q65" s="24"/>
      <c r="R65" s="471"/>
      <c r="S65" s="471"/>
      <c r="T65" s="471"/>
      <c r="U65" s="471"/>
      <c r="V65" s="471"/>
      <c r="W65" s="471"/>
      <c r="X65" s="471"/>
      <c r="Y65" s="471"/>
      <c r="Z65" s="471"/>
      <c r="AA65" s="471"/>
    </row>
    <row r="66" ht="12.75" customHeight="1">
      <c r="A66" s="24"/>
      <c r="B66" s="24"/>
      <c r="C66" s="24"/>
      <c r="D66" s="24"/>
      <c r="E66" s="24"/>
      <c r="F66" s="24"/>
      <c r="G66" s="474">
        <v>37987.0</v>
      </c>
      <c r="H66" s="469">
        <v>7325567.0</v>
      </c>
      <c r="I66" s="469">
        <v>1461914.0</v>
      </c>
      <c r="J66" s="469">
        <v>17884.0</v>
      </c>
      <c r="K66" s="469">
        <v>104664.0</v>
      </c>
      <c r="L66" s="469">
        <v>5365315.0</v>
      </c>
      <c r="M66" s="469">
        <v>432750.0</v>
      </c>
      <c r="N66" s="475">
        <v>0.0</v>
      </c>
      <c r="O66" s="475">
        <v>0.0</v>
      </c>
      <c r="P66" s="469">
        <v>-56960.0</v>
      </c>
      <c r="Q66" s="24"/>
      <c r="R66" s="476">
        <v>37987.0</v>
      </c>
      <c r="S66" s="477">
        <v>3354980.0</v>
      </c>
      <c r="T66" s="477">
        <v>2043962.0</v>
      </c>
      <c r="U66" s="477">
        <v>172541.0</v>
      </c>
      <c r="V66" s="477">
        <v>22578.0</v>
      </c>
      <c r="W66" s="478">
        <v>0.0</v>
      </c>
      <c r="X66" s="477">
        <v>1098618.0</v>
      </c>
      <c r="Y66" s="478">
        <v>0.0</v>
      </c>
      <c r="Z66" s="478">
        <v>0.0</v>
      </c>
      <c r="AA66" s="477">
        <v>17281.0</v>
      </c>
    </row>
    <row r="67" ht="12.75" customHeight="1">
      <c r="A67" s="24"/>
      <c r="B67" s="24"/>
      <c r="C67" s="24"/>
      <c r="D67" s="24"/>
      <c r="E67" s="24"/>
      <c r="F67" s="24"/>
      <c r="G67" s="474">
        <v>38018.0</v>
      </c>
      <c r="H67" s="469">
        <v>6844461.0</v>
      </c>
      <c r="I67" s="469">
        <v>1391809.0</v>
      </c>
      <c r="J67" s="469">
        <v>16650.0</v>
      </c>
      <c r="K67" s="469">
        <v>92913.0</v>
      </c>
      <c r="L67" s="469">
        <v>4825730.0</v>
      </c>
      <c r="M67" s="469">
        <v>412987.0</v>
      </c>
      <c r="N67" s="475">
        <v>0.0</v>
      </c>
      <c r="O67" s="469">
        <v>133222.0</v>
      </c>
      <c r="P67" s="469">
        <v>-28851.0</v>
      </c>
      <c r="Q67" s="24"/>
      <c r="R67" s="476">
        <v>38018.0</v>
      </c>
      <c r="S67" s="477">
        <v>3066061.0</v>
      </c>
      <c r="T67" s="477">
        <v>1890508.0</v>
      </c>
      <c r="U67" s="477">
        <v>161861.0</v>
      </c>
      <c r="V67" s="477">
        <v>24161.0</v>
      </c>
      <c r="W67" s="478">
        <v>0.0</v>
      </c>
      <c r="X67" s="477">
        <v>984535.0</v>
      </c>
      <c r="Y67" s="478">
        <v>0.0</v>
      </c>
      <c r="Z67" s="478">
        <v>0.0</v>
      </c>
      <c r="AA67" s="477">
        <v>4996.0</v>
      </c>
    </row>
    <row r="68" ht="12.75" customHeight="1">
      <c r="A68" s="24"/>
      <c r="B68" s="24"/>
      <c r="C68" s="24"/>
      <c r="D68" s="24"/>
      <c r="E68" s="24"/>
      <c r="F68" s="24"/>
      <c r="G68" s="474">
        <v>38047.0</v>
      </c>
      <c r="H68" s="469">
        <v>7366322.0</v>
      </c>
      <c r="I68" s="469">
        <v>1522259.0</v>
      </c>
      <c r="J68" s="469">
        <v>16901.0</v>
      </c>
      <c r="K68" s="469">
        <v>97943.0</v>
      </c>
      <c r="L68" s="469">
        <v>5379450.0</v>
      </c>
      <c r="M68" s="469">
        <v>448328.0</v>
      </c>
      <c r="N68" s="475">
        <v>0.0</v>
      </c>
      <c r="O68" s="475">
        <v>0.0</v>
      </c>
      <c r="P68" s="469">
        <v>-98557.0</v>
      </c>
      <c r="Q68" s="24"/>
      <c r="R68" s="476">
        <v>38047.0</v>
      </c>
      <c r="S68" s="477">
        <v>3247110.0</v>
      </c>
      <c r="T68" s="477">
        <v>1974555.0</v>
      </c>
      <c r="U68" s="477">
        <v>174995.0</v>
      </c>
      <c r="V68" s="477">
        <v>25956.0</v>
      </c>
      <c r="W68" s="478">
        <v>0.0</v>
      </c>
      <c r="X68" s="477">
        <v>1056740.0</v>
      </c>
      <c r="Y68" s="478">
        <v>0.0</v>
      </c>
      <c r="Z68" s="478">
        <v>0.0</v>
      </c>
      <c r="AA68" s="477">
        <v>14864.0</v>
      </c>
    </row>
    <row r="69" ht="12.75" customHeight="1">
      <c r="A69" s="24"/>
      <c r="B69" s="24"/>
      <c r="C69" s="24"/>
      <c r="D69" s="24"/>
      <c r="E69" s="24"/>
      <c r="F69" s="24"/>
      <c r="G69" s="474">
        <v>38078.0</v>
      </c>
      <c r="H69" s="469">
        <v>7091600.0</v>
      </c>
      <c r="I69" s="469">
        <v>1447514.0</v>
      </c>
      <c r="J69" s="469">
        <v>16105.0</v>
      </c>
      <c r="K69" s="469">
        <v>91742.0</v>
      </c>
      <c r="L69" s="469">
        <v>5003294.0</v>
      </c>
      <c r="M69" s="469">
        <v>425012.0</v>
      </c>
      <c r="N69" s="475">
        <v>0.0</v>
      </c>
      <c r="O69" s="469">
        <v>66550.0</v>
      </c>
      <c r="P69" s="469">
        <v>41381.0</v>
      </c>
      <c r="Q69" s="24"/>
      <c r="R69" s="476">
        <v>38078.0</v>
      </c>
      <c r="S69" s="477">
        <v>3011661.0</v>
      </c>
      <c r="T69" s="477">
        <v>1897053.0</v>
      </c>
      <c r="U69" s="477">
        <v>123811.0</v>
      </c>
      <c r="V69" s="477">
        <v>24655.0</v>
      </c>
      <c r="W69" s="478">
        <v>0.0</v>
      </c>
      <c r="X69" s="477">
        <v>950208.0</v>
      </c>
      <c r="Y69" s="478">
        <v>0.0</v>
      </c>
      <c r="Z69" s="478">
        <v>0.0</v>
      </c>
      <c r="AA69" s="477">
        <v>15934.0</v>
      </c>
    </row>
    <row r="70" ht="12.75" customHeight="1">
      <c r="A70" s="24"/>
      <c r="B70" s="24"/>
      <c r="C70" s="24"/>
      <c r="D70" s="24"/>
      <c r="E70" s="24"/>
      <c r="F70" s="24"/>
      <c r="G70" s="474">
        <v>38108.0</v>
      </c>
      <c r="H70" s="469">
        <v>7336137.0</v>
      </c>
      <c r="I70" s="469">
        <v>1474614.0</v>
      </c>
      <c r="J70" s="469">
        <v>15941.0</v>
      </c>
      <c r="K70" s="469">
        <v>92821.0</v>
      </c>
      <c r="L70" s="469">
        <v>5343010.0</v>
      </c>
      <c r="M70" s="469">
        <v>432503.0</v>
      </c>
      <c r="N70" s="475">
        <v>0.0</v>
      </c>
      <c r="O70" s="475">
        <v>0.0</v>
      </c>
      <c r="P70" s="469">
        <v>-22747.0</v>
      </c>
      <c r="Q70" s="24"/>
      <c r="R70" s="476">
        <v>38108.0</v>
      </c>
      <c r="S70" s="477">
        <v>3011661.0</v>
      </c>
      <c r="T70" s="477">
        <v>1897053.0</v>
      </c>
      <c r="U70" s="477">
        <v>123811.0</v>
      </c>
      <c r="V70" s="477">
        <v>24655.0</v>
      </c>
      <c r="W70" s="478">
        <v>0.0</v>
      </c>
      <c r="X70" s="477">
        <v>950208.0</v>
      </c>
      <c r="Y70" s="478">
        <v>0.0</v>
      </c>
      <c r="Z70" s="478">
        <v>0.0</v>
      </c>
      <c r="AA70" s="477">
        <v>15934.0</v>
      </c>
    </row>
    <row r="71" ht="12.75" customHeight="1">
      <c r="A71" s="24"/>
      <c r="B71" s="24"/>
      <c r="C71" s="24"/>
      <c r="D71" s="24"/>
      <c r="E71" s="24"/>
      <c r="F71" s="24"/>
      <c r="G71" s="474">
        <v>38139.0</v>
      </c>
      <c r="H71" s="469">
        <v>7370648.0</v>
      </c>
      <c r="I71" s="469">
        <v>1447312.0</v>
      </c>
      <c r="J71" s="469">
        <v>14643.0</v>
      </c>
      <c r="K71" s="469">
        <v>81710.0</v>
      </c>
      <c r="L71" s="469">
        <v>4888342.0</v>
      </c>
      <c r="M71" s="469">
        <v>420879.0</v>
      </c>
      <c r="N71" s="475">
        <v>0.0</v>
      </c>
      <c r="O71" s="469">
        <v>461226.0</v>
      </c>
      <c r="P71" s="469">
        <v>56536.0</v>
      </c>
      <c r="Q71" s="24"/>
      <c r="R71" s="476">
        <v>38139.0</v>
      </c>
      <c r="S71" s="477">
        <v>2974213.0</v>
      </c>
      <c r="T71" s="477">
        <v>1809084.0</v>
      </c>
      <c r="U71" s="477">
        <v>134706.0</v>
      </c>
      <c r="V71" s="477">
        <v>22849.0</v>
      </c>
      <c r="W71" s="478">
        <v>0.0</v>
      </c>
      <c r="X71" s="477">
        <v>995234.0</v>
      </c>
      <c r="Y71" s="478">
        <v>0.0</v>
      </c>
      <c r="Z71" s="478">
        <v>0.0</v>
      </c>
      <c r="AA71" s="477">
        <v>12340.0</v>
      </c>
    </row>
    <row r="72" ht="12.75" customHeight="1">
      <c r="A72" s="24"/>
      <c r="B72" s="24"/>
      <c r="C72" s="24"/>
      <c r="D72" s="24"/>
      <c r="E72" s="24"/>
      <c r="F72" s="24"/>
      <c r="G72" s="474">
        <v>38169.0</v>
      </c>
      <c r="H72" s="469">
        <v>7617826.0</v>
      </c>
      <c r="I72" s="469">
        <v>1476752.0</v>
      </c>
      <c r="J72" s="469">
        <v>14698.0</v>
      </c>
      <c r="K72" s="469">
        <v>8636.0</v>
      </c>
      <c r="L72" s="469">
        <v>5221054.0</v>
      </c>
      <c r="M72" s="469">
        <v>430661.0</v>
      </c>
      <c r="N72" s="475">
        <v>0.0</v>
      </c>
      <c r="O72" s="469">
        <v>394408.0</v>
      </c>
      <c r="P72" s="469">
        <v>-6283.0</v>
      </c>
      <c r="Q72" s="24"/>
      <c r="R72" s="476">
        <v>38169.0</v>
      </c>
      <c r="S72" s="477">
        <v>3110693.0</v>
      </c>
      <c r="T72" s="477">
        <v>1920993.0</v>
      </c>
      <c r="U72" s="477">
        <v>127856.0</v>
      </c>
      <c r="V72" s="477">
        <v>20208.0</v>
      </c>
      <c r="W72" s="478">
        <v>0.0</v>
      </c>
      <c r="X72" s="477">
        <v>1032415.0</v>
      </c>
      <c r="Y72" s="478">
        <v>0.0</v>
      </c>
      <c r="Z72" s="478">
        <v>0.0</v>
      </c>
      <c r="AA72" s="477">
        <v>9222.0</v>
      </c>
    </row>
    <row r="73" ht="12.75" customHeight="1">
      <c r="A73" s="24"/>
      <c r="B73" s="24"/>
      <c r="C73" s="24"/>
      <c r="D73" s="24"/>
      <c r="E73" s="24"/>
      <c r="F73" s="24"/>
      <c r="G73" s="474">
        <v>38200.0</v>
      </c>
      <c r="H73" s="469">
        <v>7617481.0</v>
      </c>
      <c r="I73" s="469">
        <v>1442524.0</v>
      </c>
      <c r="J73" s="469">
        <v>14551.0</v>
      </c>
      <c r="K73" s="469">
        <v>85522.0</v>
      </c>
      <c r="L73" s="469">
        <v>5040363.0</v>
      </c>
      <c r="M73" s="469">
        <v>420524.0</v>
      </c>
      <c r="N73" s="475">
        <v>0.0</v>
      </c>
      <c r="O73" s="469">
        <v>565302.0</v>
      </c>
      <c r="P73" s="469">
        <v>48695.0</v>
      </c>
      <c r="Q73" s="24"/>
      <c r="R73" s="476">
        <v>38200.0</v>
      </c>
      <c r="S73" s="477">
        <v>3086338.0</v>
      </c>
      <c r="T73" s="477">
        <v>1922798.0</v>
      </c>
      <c r="U73" s="477">
        <v>142478.0</v>
      </c>
      <c r="V73" s="477">
        <v>20420.0</v>
      </c>
      <c r="W73" s="478">
        <v>0.0</v>
      </c>
      <c r="X73" s="477">
        <v>996910.0</v>
      </c>
      <c r="Y73" s="478">
        <v>0.0</v>
      </c>
      <c r="Z73" s="478">
        <v>0.0</v>
      </c>
      <c r="AA73" s="477">
        <v>3732.0</v>
      </c>
    </row>
    <row r="74" ht="12.75" customHeight="1">
      <c r="A74" s="24"/>
      <c r="B74" s="24"/>
      <c r="C74" s="24"/>
      <c r="D74" s="24"/>
      <c r="E74" s="24"/>
      <c r="F74" s="24"/>
      <c r="G74" s="474">
        <v>38231.0</v>
      </c>
      <c r="H74" s="469">
        <v>7256326.0</v>
      </c>
      <c r="I74" s="469">
        <v>1359544.0</v>
      </c>
      <c r="J74" s="469">
        <v>14437.0</v>
      </c>
      <c r="K74" s="469">
        <v>78982.0</v>
      </c>
      <c r="L74" s="469">
        <v>4825060.0</v>
      </c>
      <c r="M74" s="469">
        <v>395780.0</v>
      </c>
      <c r="N74" s="475">
        <v>0.0</v>
      </c>
      <c r="O74" s="469">
        <v>610627.0</v>
      </c>
      <c r="P74" s="469">
        <v>-28104.0</v>
      </c>
      <c r="Q74" s="24"/>
      <c r="R74" s="476">
        <v>38231.0</v>
      </c>
      <c r="S74" s="477">
        <v>2945893.0</v>
      </c>
      <c r="T74" s="477">
        <v>1776113.0</v>
      </c>
      <c r="U74" s="477">
        <v>143201.0</v>
      </c>
      <c r="V74" s="477">
        <v>19591.0</v>
      </c>
      <c r="W74" s="478">
        <v>0.0</v>
      </c>
      <c r="X74" s="477">
        <v>1002518.0</v>
      </c>
      <c r="Y74" s="478">
        <v>0.0</v>
      </c>
      <c r="Z74" s="478">
        <v>0.0</v>
      </c>
      <c r="AA74" s="477">
        <v>4470.0</v>
      </c>
    </row>
    <row r="75" ht="12.75" customHeight="1">
      <c r="A75" s="24"/>
      <c r="B75" s="24"/>
      <c r="C75" s="24"/>
      <c r="D75" s="24"/>
      <c r="E75" s="24"/>
      <c r="F75" s="24"/>
      <c r="G75" s="474">
        <v>38261.0</v>
      </c>
      <c r="H75" s="469">
        <v>7534974.0</v>
      </c>
      <c r="I75" s="469">
        <v>1381175.0</v>
      </c>
      <c r="J75" s="469">
        <v>16634.0</v>
      </c>
      <c r="K75" s="469">
        <v>88752.0</v>
      </c>
      <c r="L75" s="469">
        <v>5319314.0</v>
      </c>
      <c r="M75" s="469">
        <v>387503.0</v>
      </c>
      <c r="N75" s="475">
        <v>0.0</v>
      </c>
      <c r="O75" s="469">
        <v>347337.0</v>
      </c>
      <c r="P75" s="469">
        <v>-5744.0</v>
      </c>
      <c r="Q75" s="24"/>
      <c r="R75" s="476">
        <v>38261.0</v>
      </c>
      <c r="S75" s="477">
        <v>2841250.0</v>
      </c>
      <c r="T75" s="477">
        <v>1797475.0</v>
      </c>
      <c r="U75" s="477">
        <v>144400.0</v>
      </c>
      <c r="V75" s="477">
        <v>20922.0</v>
      </c>
      <c r="W75" s="478">
        <v>0.0</v>
      </c>
      <c r="X75" s="477">
        <v>876724.0</v>
      </c>
      <c r="Y75" s="478">
        <v>0.0</v>
      </c>
      <c r="Z75" s="478">
        <v>0.0</v>
      </c>
      <c r="AA75" s="477">
        <v>1729.0</v>
      </c>
    </row>
    <row r="76" ht="12.75" customHeight="1">
      <c r="A76" s="24"/>
      <c r="B76" s="24"/>
      <c r="C76" s="24"/>
      <c r="D76" s="24"/>
      <c r="E76" s="24"/>
      <c r="F76" s="24"/>
      <c r="G76" s="474">
        <v>38292.0</v>
      </c>
      <c r="H76" s="469">
        <v>7296181.0</v>
      </c>
      <c r="I76" s="469">
        <v>1297198.0</v>
      </c>
      <c r="J76" s="469">
        <v>16373.0</v>
      </c>
      <c r="K76" s="469">
        <v>91761.0</v>
      </c>
      <c r="L76" s="469">
        <v>5174985.0</v>
      </c>
      <c r="M76" s="469">
        <v>386011.0</v>
      </c>
      <c r="N76" s="475">
        <v>0.0</v>
      </c>
      <c r="O76" s="469">
        <v>388951.0</v>
      </c>
      <c r="P76" s="469">
        <v>-59100.0</v>
      </c>
      <c r="Q76" s="24"/>
      <c r="R76" s="476">
        <v>38292.0</v>
      </c>
      <c r="S76" s="477">
        <v>2682259.0</v>
      </c>
      <c r="T76" s="477">
        <v>1666182.0</v>
      </c>
      <c r="U76" s="477">
        <v>152084.0</v>
      </c>
      <c r="V76" s="477">
        <v>21240.0</v>
      </c>
      <c r="W76" s="478">
        <v>0.0</v>
      </c>
      <c r="X76" s="477">
        <v>842744.0</v>
      </c>
      <c r="Y76" s="478">
        <v>0.0</v>
      </c>
      <c r="Z76" s="478">
        <v>0.0</v>
      </c>
      <c r="AA76" s="478">
        <v>10.0</v>
      </c>
    </row>
    <row r="77" ht="12.75" customHeight="1">
      <c r="A77" s="24"/>
      <c r="B77" s="24"/>
      <c r="C77" s="24"/>
      <c r="D77" s="24"/>
      <c r="E77" s="24"/>
      <c r="F77" s="24"/>
      <c r="G77" s="474">
        <v>38322.0</v>
      </c>
      <c r="H77" s="469">
        <v>7525546.0</v>
      </c>
      <c r="I77" s="469">
        <v>1320172.0</v>
      </c>
      <c r="J77" s="469">
        <v>17026.0</v>
      </c>
      <c r="K77" s="469">
        <v>105073.0</v>
      </c>
      <c r="L77" s="469">
        <v>5457410.0</v>
      </c>
      <c r="M77" s="469">
        <v>386018.0</v>
      </c>
      <c r="N77" s="475">
        <v>0.0</v>
      </c>
      <c r="O77" s="469">
        <v>227094.0</v>
      </c>
      <c r="P77" s="469">
        <v>12753.0</v>
      </c>
      <c r="Q77" s="24"/>
      <c r="R77" s="476">
        <v>38322.0</v>
      </c>
      <c r="S77" s="477">
        <v>2623938.0</v>
      </c>
      <c r="T77" s="477">
        <v>1657069.0</v>
      </c>
      <c r="U77" s="477">
        <v>122864.0</v>
      </c>
      <c r="V77" s="477">
        <v>22721.0</v>
      </c>
      <c r="W77" s="478">
        <v>0.0</v>
      </c>
      <c r="X77" s="477">
        <v>818292.0</v>
      </c>
      <c r="Y77" s="478">
        <v>0.0</v>
      </c>
      <c r="Z77" s="478">
        <v>0.0</v>
      </c>
      <c r="AA77" s="477">
        <v>2993.0</v>
      </c>
    </row>
    <row r="78" ht="12.75" customHeight="1">
      <c r="A78" s="24"/>
      <c r="B78" s="24"/>
      <c r="C78" s="24"/>
      <c r="D78" s="24"/>
      <c r="E78" s="24"/>
      <c r="F78" s="24"/>
      <c r="G78" s="470"/>
      <c r="H78" s="470"/>
      <c r="I78" s="470"/>
      <c r="J78" s="470"/>
      <c r="K78" s="470"/>
      <c r="L78" s="470"/>
      <c r="M78" s="470"/>
      <c r="N78" s="470"/>
      <c r="O78" s="470"/>
      <c r="P78" s="470"/>
      <c r="Q78" s="24"/>
      <c r="R78" s="471"/>
      <c r="S78" s="471"/>
      <c r="T78" s="471"/>
      <c r="U78" s="471"/>
      <c r="V78" s="471"/>
      <c r="W78" s="471"/>
      <c r="X78" s="471"/>
      <c r="Y78" s="471"/>
      <c r="Z78" s="471"/>
      <c r="AA78" s="471"/>
    </row>
    <row r="79" ht="12.75" customHeight="1">
      <c r="A79" s="24"/>
      <c r="B79" s="24"/>
      <c r="C79" s="24"/>
      <c r="D79" s="24"/>
      <c r="E79" s="24"/>
      <c r="F79" s="24"/>
      <c r="G79" s="474">
        <v>38353.0</v>
      </c>
      <c r="H79" s="469">
        <v>7473258.0</v>
      </c>
      <c r="I79" s="469">
        <v>1293150.0</v>
      </c>
      <c r="J79" s="469">
        <v>16940.0</v>
      </c>
      <c r="K79" s="469">
        <v>109523.0</v>
      </c>
      <c r="L79" s="469">
        <v>5385009.0</v>
      </c>
      <c r="M79" s="469">
        <v>385868.0</v>
      </c>
      <c r="N79" s="475">
        <v>0.0</v>
      </c>
      <c r="O79" s="469">
        <v>276995.0</v>
      </c>
      <c r="P79" s="469">
        <v>5774.0</v>
      </c>
      <c r="Q79" s="24"/>
      <c r="R79" s="476">
        <v>38353.0</v>
      </c>
      <c r="S79" s="477">
        <v>2624772.0</v>
      </c>
      <c r="T79" s="477">
        <v>1642688.0</v>
      </c>
      <c r="U79" s="477">
        <v>140719.0</v>
      </c>
      <c r="V79" s="477">
        <v>22736.0</v>
      </c>
      <c r="W79" s="478">
        <v>0.0</v>
      </c>
      <c r="X79" s="477">
        <v>814512.0</v>
      </c>
      <c r="Y79" s="478">
        <v>0.0</v>
      </c>
      <c r="Z79" s="478">
        <v>0.0</v>
      </c>
      <c r="AA79" s="477">
        <v>4116.0</v>
      </c>
    </row>
    <row r="80" ht="12.75" customHeight="1">
      <c r="A80" s="24"/>
      <c r="B80" s="24"/>
      <c r="C80" s="24"/>
      <c r="D80" s="24"/>
      <c r="E80" s="24"/>
      <c r="F80" s="24"/>
      <c r="G80" s="474">
        <v>38384.0</v>
      </c>
      <c r="H80" s="469">
        <v>6669484.0</v>
      </c>
      <c r="I80" s="469">
        <v>1167369.0</v>
      </c>
      <c r="J80" s="469">
        <v>15089.0</v>
      </c>
      <c r="K80" s="469">
        <v>91892.0</v>
      </c>
      <c r="L80" s="469">
        <v>4665471.0</v>
      </c>
      <c r="M80" s="469">
        <v>349014.0</v>
      </c>
      <c r="N80" s="475">
        <v>0.0</v>
      </c>
      <c r="O80" s="469">
        <v>377791.0</v>
      </c>
      <c r="P80" s="469">
        <v>2861.0</v>
      </c>
      <c r="Q80" s="24"/>
      <c r="R80" s="476">
        <v>38384.0</v>
      </c>
      <c r="S80" s="477">
        <v>2427277.0</v>
      </c>
      <c r="T80" s="477">
        <v>1528508.0</v>
      </c>
      <c r="U80" s="477">
        <v>135176.0</v>
      </c>
      <c r="V80" s="477">
        <v>21085.0</v>
      </c>
      <c r="W80" s="478">
        <v>0.0</v>
      </c>
      <c r="X80" s="477">
        <v>742483.0</v>
      </c>
      <c r="Y80" s="478">
        <v>0.0</v>
      </c>
      <c r="Z80" s="478">
        <v>0.0</v>
      </c>
      <c r="AA80" s="478">
        <v>25.0</v>
      </c>
    </row>
    <row r="81" ht="12.75" customHeight="1">
      <c r="A81" s="24"/>
      <c r="B81" s="24"/>
      <c r="C81" s="24"/>
      <c r="D81" s="24"/>
      <c r="E81" s="24"/>
      <c r="F81" s="24"/>
      <c r="G81" s="474">
        <v>38412.0</v>
      </c>
      <c r="H81" s="469">
        <v>6080284.0</v>
      </c>
      <c r="I81" s="469">
        <v>1135716.0</v>
      </c>
      <c r="J81" s="469">
        <v>17185.0</v>
      </c>
      <c r="K81" s="469">
        <v>81005.0</v>
      </c>
      <c r="L81" s="469">
        <v>4256718.0</v>
      </c>
      <c r="M81" s="469">
        <v>324954.0</v>
      </c>
      <c r="N81" s="475">
        <v>0.0</v>
      </c>
      <c r="O81" s="469">
        <v>324687.0</v>
      </c>
      <c r="P81" s="469">
        <v>-59981.0</v>
      </c>
      <c r="Q81" s="24"/>
      <c r="R81" s="476">
        <v>38412.0</v>
      </c>
      <c r="S81" s="477">
        <v>2473936.0</v>
      </c>
      <c r="T81" s="477">
        <v>1587102.0</v>
      </c>
      <c r="U81" s="477">
        <v>142201.0</v>
      </c>
      <c r="V81" s="477">
        <v>22888.0</v>
      </c>
      <c r="W81" s="478">
        <v>0.0</v>
      </c>
      <c r="X81" s="477">
        <v>721676.0</v>
      </c>
      <c r="Y81" s="478">
        <v>0.0</v>
      </c>
      <c r="Z81" s="478">
        <v>0.0</v>
      </c>
      <c r="AA81" s="478">
        <v>68.0</v>
      </c>
    </row>
    <row r="82" ht="12.75" customHeight="1">
      <c r="A82" s="24"/>
      <c r="B82" s="24"/>
      <c r="C82" s="24"/>
      <c r="D82" s="24"/>
      <c r="E82" s="24"/>
      <c r="F82" s="24"/>
      <c r="G82" s="474">
        <v>38443.0</v>
      </c>
      <c r="H82" s="469">
        <v>5070141.0</v>
      </c>
      <c r="I82" s="469">
        <v>1005919.0</v>
      </c>
      <c r="J82" s="469">
        <v>16364.0</v>
      </c>
      <c r="K82" s="469">
        <v>56962.0</v>
      </c>
      <c r="L82" s="469">
        <v>4189177.0</v>
      </c>
      <c r="M82" s="469">
        <v>288899.0</v>
      </c>
      <c r="N82" s="475">
        <v>0.0</v>
      </c>
      <c r="O82" s="475">
        <v>0.0</v>
      </c>
      <c r="P82" s="469">
        <v>-487179.0</v>
      </c>
      <c r="Q82" s="24"/>
      <c r="R82" s="476">
        <v>38443.0</v>
      </c>
      <c r="S82" s="477">
        <v>2332954.0</v>
      </c>
      <c r="T82" s="477">
        <v>1509327.0</v>
      </c>
      <c r="U82" s="477">
        <v>114052.0</v>
      </c>
      <c r="V82" s="477">
        <v>22848.0</v>
      </c>
      <c r="W82" s="478">
        <v>0.0</v>
      </c>
      <c r="X82" s="477">
        <v>686122.0</v>
      </c>
      <c r="Y82" s="478">
        <v>0.0</v>
      </c>
      <c r="Z82" s="478">
        <v>0.0</v>
      </c>
      <c r="AA82" s="478">
        <v>606.0</v>
      </c>
    </row>
    <row r="83" ht="12.75" customHeight="1">
      <c r="A83" s="24"/>
      <c r="B83" s="24"/>
      <c r="C83" s="24"/>
      <c r="D83" s="24"/>
      <c r="E83" s="24"/>
      <c r="F83" s="24"/>
      <c r="G83" s="474">
        <v>38473.0</v>
      </c>
      <c r="H83" s="469">
        <v>7357167.0</v>
      </c>
      <c r="I83" s="469">
        <v>1267441.0</v>
      </c>
      <c r="J83" s="469">
        <v>16078.0</v>
      </c>
      <c r="K83" s="469">
        <v>91235.0</v>
      </c>
      <c r="L83" s="469">
        <v>5072394.0</v>
      </c>
      <c r="M83" s="469">
        <v>378744.0</v>
      </c>
      <c r="N83" s="475">
        <v>0.0</v>
      </c>
      <c r="O83" s="469">
        <v>475916.0</v>
      </c>
      <c r="P83" s="469">
        <v>55358.0</v>
      </c>
      <c r="Q83" s="24"/>
      <c r="R83" s="476">
        <v>38473.0</v>
      </c>
      <c r="S83" s="477">
        <v>2367958.0</v>
      </c>
      <c r="T83" s="477">
        <v>1571949.0</v>
      </c>
      <c r="U83" s="477">
        <v>99126.0</v>
      </c>
      <c r="V83" s="477">
        <v>23691.0</v>
      </c>
      <c r="W83" s="478">
        <v>0.0</v>
      </c>
      <c r="X83" s="477">
        <v>673160.0</v>
      </c>
      <c r="Y83" s="478">
        <v>0.0</v>
      </c>
      <c r="Z83" s="478">
        <v>0.0</v>
      </c>
      <c r="AA83" s="478">
        <v>33.0</v>
      </c>
    </row>
    <row r="84" ht="12.75" customHeight="1">
      <c r="A84" s="24"/>
      <c r="B84" s="24"/>
      <c r="C84" s="24"/>
      <c r="D84" s="24"/>
      <c r="E84" s="24"/>
      <c r="F84" s="24"/>
      <c r="G84" s="474">
        <v>38504.0</v>
      </c>
      <c r="H84" s="469">
        <v>6979216.0</v>
      </c>
      <c r="I84" s="469">
        <v>1179041.0</v>
      </c>
      <c r="J84" s="469">
        <v>13927.0</v>
      </c>
      <c r="K84" s="469">
        <v>73325.0</v>
      </c>
      <c r="L84" s="469">
        <v>4975049.0</v>
      </c>
      <c r="M84" s="469">
        <v>345711.0</v>
      </c>
      <c r="N84" s="475">
        <v>0.0</v>
      </c>
      <c r="O84" s="469">
        <v>352173.0</v>
      </c>
      <c r="P84" s="469">
        <v>39991.0</v>
      </c>
      <c r="Q84" s="24"/>
      <c r="R84" s="476">
        <v>38504.0</v>
      </c>
      <c r="S84" s="477">
        <v>2368064.0</v>
      </c>
      <c r="T84" s="477">
        <v>1552223.0</v>
      </c>
      <c r="U84" s="477">
        <v>97626.0</v>
      </c>
      <c r="V84" s="477">
        <v>21762.0</v>
      </c>
      <c r="W84" s="478">
        <v>0.0</v>
      </c>
      <c r="X84" s="477">
        <v>690594.0</v>
      </c>
      <c r="Y84" s="478">
        <v>0.0</v>
      </c>
      <c r="Z84" s="478">
        <v>0.0</v>
      </c>
      <c r="AA84" s="477">
        <v>5859.0</v>
      </c>
    </row>
    <row r="85" ht="12.75" customHeight="1">
      <c r="A85" s="24"/>
      <c r="B85" s="24"/>
      <c r="C85" s="24"/>
      <c r="D85" s="24"/>
      <c r="E85" s="24"/>
      <c r="F85" s="24"/>
      <c r="G85" s="474">
        <v>38534.0</v>
      </c>
      <c r="H85" s="469">
        <v>7257783.0</v>
      </c>
      <c r="I85" s="469">
        <v>1241279.0</v>
      </c>
      <c r="J85" s="469">
        <v>13464.0</v>
      </c>
      <c r="K85" s="469">
        <v>88766.0</v>
      </c>
      <c r="L85" s="469">
        <v>5025163.0</v>
      </c>
      <c r="M85" s="469">
        <v>372454.0</v>
      </c>
      <c r="N85" s="475">
        <v>0.0</v>
      </c>
      <c r="O85" s="469">
        <v>474234.0</v>
      </c>
      <c r="P85" s="469">
        <v>42424.0</v>
      </c>
      <c r="Q85" s="24"/>
      <c r="R85" s="476">
        <v>38534.0</v>
      </c>
      <c r="S85" s="477">
        <v>2569619.0</v>
      </c>
      <c r="T85" s="477">
        <v>1690193.0</v>
      </c>
      <c r="U85" s="477">
        <v>105487.0</v>
      </c>
      <c r="V85" s="477">
        <v>20421.0</v>
      </c>
      <c r="W85" s="478">
        <v>0.0</v>
      </c>
      <c r="X85" s="477">
        <v>751563.0</v>
      </c>
      <c r="Y85" s="478">
        <v>0.0</v>
      </c>
      <c r="Z85" s="478">
        <v>0.0</v>
      </c>
      <c r="AA85" s="477">
        <v>1955.0</v>
      </c>
    </row>
    <row r="86" ht="12.75" customHeight="1">
      <c r="A86" s="24"/>
      <c r="B86" s="24"/>
      <c r="C86" s="24"/>
      <c r="D86" s="24"/>
      <c r="E86" s="24"/>
      <c r="F86" s="24"/>
      <c r="G86" s="474">
        <v>38565.0</v>
      </c>
      <c r="H86" s="469">
        <v>7208979.0</v>
      </c>
      <c r="I86" s="469">
        <v>1201690.0</v>
      </c>
      <c r="J86" s="469">
        <v>13507.0</v>
      </c>
      <c r="K86" s="469">
        <v>89395.0</v>
      </c>
      <c r="L86" s="469">
        <v>5113740.0</v>
      </c>
      <c r="M86" s="469">
        <v>362723.0</v>
      </c>
      <c r="N86" s="475">
        <v>0.0</v>
      </c>
      <c r="O86" s="469">
        <v>340282.0</v>
      </c>
      <c r="P86" s="469">
        <v>87642.0</v>
      </c>
      <c r="Q86" s="24"/>
      <c r="R86" s="476">
        <v>38565.0</v>
      </c>
      <c r="S86" s="477">
        <v>3230919.0</v>
      </c>
      <c r="T86" s="477">
        <v>2124203.0</v>
      </c>
      <c r="U86" s="477">
        <v>121905.0</v>
      </c>
      <c r="V86" s="477">
        <v>20879.0</v>
      </c>
      <c r="W86" s="478">
        <v>0.0</v>
      </c>
      <c r="X86" s="477">
        <v>963859.0</v>
      </c>
      <c r="Y86" s="478">
        <v>0.0</v>
      </c>
      <c r="Z86" s="478">
        <v>0.0</v>
      </c>
      <c r="AA86" s="478">
        <v>73.0</v>
      </c>
    </row>
    <row r="87" ht="12.75" customHeight="1">
      <c r="A87" s="24"/>
      <c r="B87" s="24"/>
      <c r="C87" s="24"/>
      <c r="D87" s="24"/>
      <c r="E87" s="24"/>
      <c r="F87" s="24"/>
      <c r="G87" s="474">
        <v>38596.0</v>
      </c>
      <c r="H87" s="469">
        <v>6908337.0</v>
      </c>
      <c r="I87" s="469">
        <v>1136055.0</v>
      </c>
      <c r="J87" s="469">
        <v>9823.0</v>
      </c>
      <c r="K87" s="469">
        <v>77974.0</v>
      </c>
      <c r="L87" s="469">
        <v>4815599.0</v>
      </c>
      <c r="M87" s="469">
        <v>311285.0</v>
      </c>
      <c r="N87" s="475">
        <v>0.0</v>
      </c>
      <c r="O87" s="469">
        <v>476753.0</v>
      </c>
      <c r="P87" s="469">
        <v>80847.0</v>
      </c>
      <c r="Q87" s="24"/>
      <c r="R87" s="476">
        <v>38596.0</v>
      </c>
      <c r="S87" s="477">
        <v>1737713.0</v>
      </c>
      <c r="T87" s="477">
        <v>1137232.0</v>
      </c>
      <c r="U87" s="477">
        <v>155187.0</v>
      </c>
      <c r="V87" s="477">
        <v>17464.0</v>
      </c>
      <c r="W87" s="478">
        <v>0.0</v>
      </c>
      <c r="X87" s="477">
        <v>411172.0</v>
      </c>
      <c r="Y87" s="478">
        <v>0.0</v>
      </c>
      <c r="Z87" s="478">
        <v>0.0</v>
      </c>
      <c r="AA87" s="477">
        <v>16657.0</v>
      </c>
    </row>
    <row r="88" ht="12.75" customHeight="1">
      <c r="A88" s="24"/>
      <c r="B88" s="24"/>
      <c r="C88" s="24"/>
      <c r="D88" s="24"/>
      <c r="E88" s="24"/>
      <c r="F88" s="24"/>
      <c r="G88" s="474">
        <v>38626.0</v>
      </c>
      <c r="H88" s="469">
        <v>7297914.0</v>
      </c>
      <c r="I88" s="469">
        <v>1162631.0</v>
      </c>
      <c r="J88" s="469">
        <v>14167.0</v>
      </c>
      <c r="K88" s="469">
        <v>86194.0</v>
      </c>
      <c r="L88" s="469">
        <v>4436323.0</v>
      </c>
      <c r="M88" s="469">
        <v>352390.0</v>
      </c>
      <c r="N88" s="475">
        <v>0.0</v>
      </c>
      <c r="O88" s="469">
        <v>1153196.0</v>
      </c>
      <c r="P88" s="469">
        <v>93014.0</v>
      </c>
      <c r="Q88" s="24"/>
      <c r="R88" s="476">
        <v>38626.0</v>
      </c>
      <c r="S88" s="477">
        <v>2142330.0</v>
      </c>
      <c r="T88" s="477">
        <v>1416758.0</v>
      </c>
      <c r="U88" s="477">
        <v>79981.0</v>
      </c>
      <c r="V88" s="477">
        <v>22096.0</v>
      </c>
      <c r="W88" s="478">
        <v>0.0</v>
      </c>
      <c r="X88" s="477">
        <v>607582.0</v>
      </c>
      <c r="Y88" s="478">
        <v>0.0</v>
      </c>
      <c r="Z88" s="478">
        <v>0.0</v>
      </c>
      <c r="AA88" s="477">
        <v>15913.0</v>
      </c>
    </row>
    <row r="89" ht="12.75" customHeight="1">
      <c r="A89" s="24"/>
      <c r="B89" s="24"/>
      <c r="C89" s="24"/>
      <c r="D89" s="24"/>
      <c r="E89" s="24"/>
      <c r="F89" s="24"/>
      <c r="G89" s="474">
        <v>38657.0</v>
      </c>
      <c r="H89" s="469">
        <v>7057138.0</v>
      </c>
      <c r="I89" s="469">
        <v>1090981.0</v>
      </c>
      <c r="J89" s="469">
        <v>15276.0</v>
      </c>
      <c r="K89" s="469">
        <v>92754.0</v>
      </c>
      <c r="L89" s="469">
        <v>5023661.0</v>
      </c>
      <c r="M89" s="469">
        <v>337109.0</v>
      </c>
      <c r="N89" s="475">
        <v>0.0</v>
      </c>
      <c r="O89" s="469">
        <v>444321.0</v>
      </c>
      <c r="P89" s="469">
        <v>53038.0</v>
      </c>
      <c r="Q89" s="24"/>
      <c r="R89" s="476">
        <v>38657.0</v>
      </c>
      <c r="S89" s="477">
        <v>1914042.0</v>
      </c>
      <c r="T89" s="477">
        <v>1249950.0</v>
      </c>
      <c r="U89" s="477">
        <v>78743.0</v>
      </c>
      <c r="V89" s="477">
        <v>23332.0</v>
      </c>
      <c r="W89" s="478">
        <v>0.0</v>
      </c>
      <c r="X89" s="477">
        <v>557758.0</v>
      </c>
      <c r="Y89" s="478">
        <v>0.0</v>
      </c>
      <c r="Z89" s="478">
        <v>0.0</v>
      </c>
      <c r="AA89" s="477">
        <v>4260.0</v>
      </c>
    </row>
    <row r="90" ht="12.75" customHeight="1">
      <c r="A90" s="24"/>
      <c r="B90" s="24"/>
      <c r="C90" s="24"/>
      <c r="D90" s="24"/>
      <c r="E90" s="24"/>
      <c r="F90" s="24"/>
      <c r="G90" s="474">
        <v>38687.0</v>
      </c>
      <c r="H90" s="469">
        <v>7288683.0</v>
      </c>
      <c r="I90" s="469">
        <v>1087091.0</v>
      </c>
      <c r="J90" s="469">
        <v>17215.0</v>
      </c>
      <c r="K90" s="469">
        <v>102531.0</v>
      </c>
      <c r="L90" s="469">
        <v>4717795.0</v>
      </c>
      <c r="M90" s="469">
        <v>341901.0</v>
      </c>
      <c r="N90" s="475">
        <v>0.0</v>
      </c>
      <c r="O90" s="469">
        <v>951118.0</v>
      </c>
      <c r="P90" s="469">
        <v>71030.0</v>
      </c>
      <c r="Q90" s="24"/>
      <c r="R90" s="476">
        <v>38687.0</v>
      </c>
      <c r="S90" s="477">
        <v>1959291.0</v>
      </c>
      <c r="T90" s="477">
        <v>1278041.0</v>
      </c>
      <c r="U90" s="477">
        <v>87247.0</v>
      </c>
      <c r="V90" s="477">
        <v>23083.0</v>
      </c>
      <c r="W90" s="478">
        <v>0.0</v>
      </c>
      <c r="X90" s="477">
        <v>563037.0</v>
      </c>
      <c r="Y90" s="478">
        <v>0.0</v>
      </c>
      <c r="Z90" s="478">
        <v>0.0</v>
      </c>
      <c r="AA90" s="477">
        <v>7883.0</v>
      </c>
    </row>
    <row r="91" ht="12.75" customHeight="1">
      <c r="A91" s="24"/>
      <c r="B91" s="24"/>
      <c r="C91" s="24"/>
      <c r="D91" s="24"/>
      <c r="E91" s="24"/>
      <c r="F91" s="24"/>
      <c r="G91" s="470"/>
      <c r="H91" s="470"/>
      <c r="I91" s="470"/>
      <c r="J91" s="470"/>
      <c r="K91" s="470"/>
      <c r="L91" s="470"/>
      <c r="M91" s="470"/>
      <c r="N91" s="470"/>
      <c r="O91" s="470"/>
      <c r="P91" s="470"/>
      <c r="Q91" s="24"/>
      <c r="R91" s="471"/>
      <c r="S91" s="471"/>
      <c r="T91" s="471"/>
      <c r="U91" s="471"/>
      <c r="V91" s="471"/>
      <c r="W91" s="471"/>
      <c r="X91" s="471"/>
      <c r="Y91" s="471"/>
      <c r="Z91" s="471"/>
      <c r="AA91" s="471"/>
    </row>
    <row r="92" ht="12.75" customHeight="1">
      <c r="A92" s="24"/>
      <c r="B92" s="24"/>
      <c r="C92" s="24"/>
      <c r="D92" s="24"/>
      <c r="E92" s="24"/>
      <c r="F92" s="24"/>
      <c r="G92" s="474">
        <v>38718.0</v>
      </c>
      <c r="H92" s="469">
        <v>7219515.0</v>
      </c>
      <c r="I92" s="469">
        <v>1079028.0</v>
      </c>
      <c r="J92" s="469">
        <v>17139.0</v>
      </c>
      <c r="K92" s="469">
        <v>93815.0</v>
      </c>
      <c r="L92" s="469">
        <v>4955736.0</v>
      </c>
      <c r="M92" s="469">
        <v>333473.0</v>
      </c>
      <c r="N92" s="475">
        <v>0.0</v>
      </c>
      <c r="O92" s="469">
        <v>67806.0</v>
      </c>
      <c r="P92" s="469">
        <v>62299.0</v>
      </c>
      <c r="Q92" s="24"/>
      <c r="R92" s="476">
        <v>38718.0</v>
      </c>
      <c r="S92" s="477">
        <v>1773699.0</v>
      </c>
      <c r="T92" s="477">
        <v>1142362.0</v>
      </c>
      <c r="U92" s="477">
        <v>88332.0</v>
      </c>
      <c r="V92" s="477">
        <v>24574.0</v>
      </c>
      <c r="W92" s="478">
        <v>0.0</v>
      </c>
      <c r="X92" s="477">
        <v>508705.0</v>
      </c>
      <c r="Y92" s="478">
        <v>0.0</v>
      </c>
      <c r="Z92" s="478">
        <v>0.0</v>
      </c>
      <c r="AA92" s="477">
        <v>9727.0</v>
      </c>
    </row>
    <row r="93" ht="12.75" customHeight="1">
      <c r="A93" s="24"/>
      <c r="B93" s="24"/>
      <c r="C93" s="24"/>
      <c r="D93" s="24"/>
      <c r="E93" s="24"/>
      <c r="F93" s="24"/>
      <c r="G93" s="474">
        <v>38749.0</v>
      </c>
      <c r="H93" s="469">
        <v>6418603.0</v>
      </c>
      <c r="I93" s="469">
        <v>982189.0</v>
      </c>
      <c r="J93" s="469">
        <v>15701.0</v>
      </c>
      <c r="K93" s="469">
        <v>91406.0</v>
      </c>
      <c r="L93" s="469">
        <v>4704672.0</v>
      </c>
      <c r="M93" s="469">
        <v>308158.0</v>
      </c>
      <c r="N93" s="475">
        <v>0.0</v>
      </c>
      <c r="O93" s="469">
        <v>217742.0</v>
      </c>
      <c r="P93" s="469">
        <v>98735.0</v>
      </c>
      <c r="Q93" s="24"/>
      <c r="R93" s="476">
        <v>38749.0</v>
      </c>
      <c r="S93" s="477">
        <v>1584242.0</v>
      </c>
      <c r="T93" s="477">
        <v>1003826.0</v>
      </c>
      <c r="U93" s="477">
        <v>72866.0</v>
      </c>
      <c r="V93" s="477">
        <v>21499.0</v>
      </c>
      <c r="W93" s="478">
        <v>0.0</v>
      </c>
      <c r="X93" s="477">
        <v>455094.0</v>
      </c>
      <c r="Y93" s="478">
        <v>0.0</v>
      </c>
      <c r="Z93" s="478">
        <v>0.0</v>
      </c>
      <c r="AA93" s="477">
        <v>30957.0</v>
      </c>
    </row>
    <row r="94" ht="12.75" customHeight="1">
      <c r="A94" s="24"/>
      <c r="B94" s="24"/>
      <c r="C94" s="24"/>
      <c r="D94" s="24"/>
      <c r="E94" s="24"/>
      <c r="F94" s="24"/>
      <c r="G94" s="474">
        <v>38777.0</v>
      </c>
      <c r="H94" s="469">
        <v>6905324.0</v>
      </c>
      <c r="I94" s="469">
        <v>1036909.0</v>
      </c>
      <c r="J94" s="469">
        <v>16661.0</v>
      </c>
      <c r="K94" s="469">
        <v>100842.0</v>
      </c>
      <c r="L94" s="469">
        <v>5232448.0</v>
      </c>
      <c r="M94" s="469">
        <v>327713.0</v>
      </c>
      <c r="N94" s="475">
        <v>0.0</v>
      </c>
      <c r="O94" s="469">
        <v>35158.0</v>
      </c>
      <c r="P94" s="469">
        <v>155595.0</v>
      </c>
      <c r="Q94" s="24"/>
      <c r="R94" s="476">
        <v>38777.0</v>
      </c>
      <c r="S94" s="477">
        <v>2124857.0</v>
      </c>
      <c r="T94" s="477">
        <v>1394456.0</v>
      </c>
      <c r="U94" s="477">
        <v>73863.0</v>
      </c>
      <c r="V94" s="477">
        <v>21532.0</v>
      </c>
      <c r="W94" s="478">
        <v>0.0</v>
      </c>
      <c r="X94" s="477">
        <v>634861.0</v>
      </c>
      <c r="Y94" s="478">
        <v>0.0</v>
      </c>
      <c r="Z94" s="478">
        <v>0.0</v>
      </c>
      <c r="AA94" s="478">
        <v>144.0</v>
      </c>
    </row>
    <row r="95" ht="12.75" customHeight="1">
      <c r="A95" s="24"/>
      <c r="B95" s="24"/>
      <c r="C95" s="24"/>
      <c r="D95" s="24"/>
      <c r="E95" s="24"/>
      <c r="F95" s="24"/>
      <c r="G95" s="474">
        <v>38808.0</v>
      </c>
      <c r="H95" s="469">
        <v>5216658.0</v>
      </c>
      <c r="I95" s="469">
        <v>841028.0</v>
      </c>
      <c r="J95" s="469">
        <v>14847.0</v>
      </c>
      <c r="K95" s="469">
        <v>61521.0</v>
      </c>
      <c r="L95" s="469">
        <v>3518373.0</v>
      </c>
      <c r="M95" s="469">
        <v>258555.0</v>
      </c>
      <c r="N95" s="475">
        <v>0.0</v>
      </c>
      <c r="O95" s="469">
        <v>490744.0</v>
      </c>
      <c r="P95" s="469">
        <v>31589.0</v>
      </c>
      <c r="Q95" s="24"/>
      <c r="R95" s="476">
        <v>38808.0</v>
      </c>
      <c r="S95" s="477">
        <v>2072440.0</v>
      </c>
      <c r="T95" s="477">
        <v>1362087.0</v>
      </c>
      <c r="U95" s="477">
        <v>70983.0</v>
      </c>
      <c r="V95" s="477">
        <v>18958.0</v>
      </c>
      <c r="W95" s="478">
        <v>0.0</v>
      </c>
      <c r="X95" s="477">
        <v>620385.0</v>
      </c>
      <c r="Y95" s="478">
        <v>0.0</v>
      </c>
      <c r="Z95" s="478">
        <v>0.0</v>
      </c>
      <c r="AA95" s="478">
        <v>27.0</v>
      </c>
    </row>
    <row r="96" ht="12.75" customHeight="1">
      <c r="A96" s="24"/>
      <c r="B96" s="24"/>
      <c r="C96" s="24"/>
      <c r="D96" s="24"/>
      <c r="E96" s="24"/>
      <c r="F96" s="24"/>
      <c r="G96" s="474">
        <v>38838.0</v>
      </c>
      <c r="H96" s="469">
        <v>7240994.0</v>
      </c>
      <c r="I96" s="469">
        <v>1038211.0</v>
      </c>
      <c r="J96" s="469">
        <v>15231.0</v>
      </c>
      <c r="K96" s="469">
        <v>81216.0</v>
      </c>
      <c r="L96" s="469">
        <v>4830736.0</v>
      </c>
      <c r="M96" s="469">
        <v>332612.0</v>
      </c>
      <c r="N96" s="475">
        <v>0.0</v>
      </c>
      <c r="O96" s="469">
        <v>877837.0</v>
      </c>
      <c r="P96" s="469">
        <v>65153.0</v>
      </c>
      <c r="Q96" s="24"/>
      <c r="R96" s="476">
        <v>38838.0</v>
      </c>
      <c r="S96" s="477">
        <v>2085607.0</v>
      </c>
      <c r="T96" s="477">
        <v>1384157.0</v>
      </c>
      <c r="U96" s="477">
        <v>65414.0</v>
      </c>
      <c r="V96" s="477">
        <v>17359.0</v>
      </c>
      <c r="W96" s="478">
        <v>0.0</v>
      </c>
      <c r="X96" s="477">
        <v>617724.0</v>
      </c>
      <c r="Y96" s="478">
        <v>0.0</v>
      </c>
      <c r="Z96" s="478">
        <v>0.0</v>
      </c>
      <c r="AA96" s="478">
        <v>954.0</v>
      </c>
    </row>
    <row r="97" ht="12.75" customHeight="1">
      <c r="A97" s="24"/>
      <c r="B97" s="24"/>
      <c r="C97" s="24"/>
      <c r="D97" s="24"/>
      <c r="E97" s="24"/>
      <c r="F97" s="24"/>
      <c r="G97" s="474">
        <v>38869.0</v>
      </c>
      <c r="H97" s="469">
        <v>7003150.0</v>
      </c>
      <c r="I97" s="469">
        <v>983922.0</v>
      </c>
      <c r="J97" s="469">
        <v>13207.0</v>
      </c>
      <c r="K97" s="469">
        <v>88020.0</v>
      </c>
      <c r="L97" s="469">
        <v>5015455.0</v>
      </c>
      <c r="M97" s="469">
        <v>320176.0</v>
      </c>
      <c r="N97" s="475">
        <v>0.0</v>
      </c>
      <c r="O97" s="469">
        <v>550416.0</v>
      </c>
      <c r="P97" s="469">
        <v>31955.0</v>
      </c>
      <c r="Q97" s="24"/>
      <c r="R97" s="476">
        <v>38869.0</v>
      </c>
      <c r="S97" s="477">
        <v>1616974.0</v>
      </c>
      <c r="T97" s="477">
        <v>1068578.0</v>
      </c>
      <c r="U97" s="477">
        <v>51873.0</v>
      </c>
      <c r="V97" s="477">
        <v>15894.0</v>
      </c>
      <c r="W97" s="478">
        <v>0.0</v>
      </c>
      <c r="X97" s="477">
        <v>437394.0</v>
      </c>
      <c r="Y97" s="478">
        <v>0.0</v>
      </c>
      <c r="Z97" s="478">
        <v>0.0</v>
      </c>
      <c r="AA97" s="477">
        <v>43235.0</v>
      </c>
    </row>
    <row r="98" ht="12.75" customHeight="1">
      <c r="A98" s="24"/>
      <c r="B98" s="24"/>
      <c r="C98" s="24"/>
      <c r="D98" s="24"/>
      <c r="E98" s="24"/>
      <c r="F98" s="24"/>
      <c r="G98" s="474">
        <v>38899.0</v>
      </c>
      <c r="H98" s="469">
        <v>6991416.0</v>
      </c>
      <c r="I98" s="469">
        <v>996903.0</v>
      </c>
      <c r="J98" s="469">
        <v>12393.0</v>
      </c>
      <c r="K98" s="469">
        <v>77813.0</v>
      </c>
      <c r="L98" s="469">
        <v>4218204.0</v>
      </c>
      <c r="M98" s="469">
        <v>322119.0</v>
      </c>
      <c r="N98" s="475">
        <v>0.0</v>
      </c>
      <c r="O98" s="469">
        <v>1272607.0</v>
      </c>
      <c r="P98" s="469">
        <v>91676.0</v>
      </c>
      <c r="Q98" s="24"/>
      <c r="R98" s="476">
        <v>38899.0</v>
      </c>
      <c r="S98" s="477">
        <v>2054339.0</v>
      </c>
      <c r="T98" s="477">
        <v>1365469.0</v>
      </c>
      <c r="U98" s="477">
        <v>62155.0</v>
      </c>
      <c r="V98" s="477">
        <v>16617.0</v>
      </c>
      <c r="W98" s="478">
        <v>0.0</v>
      </c>
      <c r="X98" s="477">
        <v>602660.0</v>
      </c>
      <c r="Y98" s="478">
        <v>0.0</v>
      </c>
      <c r="Z98" s="478">
        <v>0.0</v>
      </c>
      <c r="AA98" s="477">
        <v>7438.0</v>
      </c>
    </row>
    <row r="99" ht="12.75" customHeight="1">
      <c r="A99" s="24"/>
      <c r="B99" s="24"/>
      <c r="C99" s="24"/>
      <c r="D99" s="24"/>
      <c r="E99" s="24"/>
      <c r="F99" s="24"/>
      <c r="G99" s="474">
        <v>38930.0</v>
      </c>
      <c r="H99" s="469">
        <v>7066667.0</v>
      </c>
      <c r="I99" s="469">
        <v>984434.0</v>
      </c>
      <c r="J99" s="469">
        <v>12665.0</v>
      </c>
      <c r="K99" s="469">
        <v>81575.0</v>
      </c>
      <c r="L99" s="469">
        <v>4825350.0</v>
      </c>
      <c r="M99" s="469">
        <v>316207.0</v>
      </c>
      <c r="N99" s="475">
        <v>0.0</v>
      </c>
      <c r="O99" s="469">
        <v>754756.0</v>
      </c>
      <c r="P99" s="469">
        <v>91680.0</v>
      </c>
      <c r="Q99" s="24"/>
      <c r="R99" s="476">
        <v>38930.0</v>
      </c>
      <c r="S99" s="477">
        <v>1898950.0</v>
      </c>
      <c r="T99" s="477">
        <v>1254193.0</v>
      </c>
      <c r="U99" s="477">
        <v>66548.0</v>
      </c>
      <c r="V99" s="477">
        <v>13983.0</v>
      </c>
      <c r="W99" s="478">
        <v>0.0</v>
      </c>
      <c r="X99" s="477">
        <v>556952.0</v>
      </c>
      <c r="Y99" s="478">
        <v>0.0</v>
      </c>
      <c r="Z99" s="478">
        <v>0.0</v>
      </c>
      <c r="AA99" s="477">
        <v>7274.0</v>
      </c>
    </row>
    <row r="100" ht="12.75" customHeight="1">
      <c r="A100" s="24"/>
      <c r="B100" s="24"/>
      <c r="C100" s="24"/>
      <c r="D100" s="24"/>
      <c r="E100" s="24"/>
      <c r="F100" s="24"/>
      <c r="G100" s="474">
        <v>38961.0</v>
      </c>
      <c r="H100" s="469">
        <v>7033530.0</v>
      </c>
      <c r="I100" s="469">
        <v>945565.0</v>
      </c>
      <c r="J100" s="469">
        <v>13093.0</v>
      </c>
      <c r="K100" s="469">
        <v>89411.0</v>
      </c>
      <c r="L100" s="469">
        <v>5081967.0</v>
      </c>
      <c r="M100" s="469">
        <v>303523.0</v>
      </c>
      <c r="N100" s="475">
        <v>0.0</v>
      </c>
      <c r="O100" s="469">
        <v>472229.0</v>
      </c>
      <c r="P100" s="469">
        <v>127742.0</v>
      </c>
      <c r="Q100" s="24"/>
      <c r="R100" s="476">
        <v>38961.0</v>
      </c>
      <c r="S100" s="477">
        <v>1835440.0</v>
      </c>
      <c r="T100" s="477">
        <v>1197119.0</v>
      </c>
      <c r="U100" s="477">
        <v>67310.0</v>
      </c>
      <c r="V100" s="477">
        <v>14469.0</v>
      </c>
      <c r="W100" s="478">
        <v>0.0</v>
      </c>
      <c r="X100" s="477">
        <v>556434.0</v>
      </c>
      <c r="Y100" s="478">
        <v>0.0</v>
      </c>
      <c r="Z100" s="478">
        <v>0.0</v>
      </c>
      <c r="AA100" s="478">
        <v>109.0</v>
      </c>
    </row>
    <row r="101" ht="12.75" customHeight="1">
      <c r="A101" s="24"/>
      <c r="B101" s="24"/>
      <c r="C101" s="24"/>
      <c r="D101" s="24"/>
      <c r="E101" s="24"/>
      <c r="F101" s="24"/>
      <c r="G101" s="474">
        <v>38991.0</v>
      </c>
      <c r="H101" s="469">
        <v>7104785.0</v>
      </c>
      <c r="I101" s="469">
        <v>940172.0</v>
      </c>
      <c r="J101" s="469">
        <v>14531.0</v>
      </c>
      <c r="K101" s="469">
        <v>89092.0</v>
      </c>
      <c r="L101" s="469">
        <v>4468953.0</v>
      </c>
      <c r="M101" s="469">
        <v>309111.0</v>
      </c>
      <c r="N101" s="475">
        <v>0.0</v>
      </c>
      <c r="O101" s="469">
        <v>1192177.0</v>
      </c>
      <c r="P101" s="469">
        <v>90750.0</v>
      </c>
      <c r="Q101" s="24"/>
      <c r="R101" s="476">
        <v>38991.0</v>
      </c>
      <c r="S101" s="477">
        <v>1778159.0</v>
      </c>
      <c r="T101" s="477">
        <v>1156051.0</v>
      </c>
      <c r="U101" s="477">
        <v>73552.0</v>
      </c>
      <c r="V101" s="477">
        <v>15899.0</v>
      </c>
      <c r="W101" s="478">
        <v>0.0</v>
      </c>
      <c r="X101" s="477">
        <v>497566.0</v>
      </c>
      <c r="Y101" s="478">
        <v>0.0</v>
      </c>
      <c r="Z101" s="478">
        <v>0.0</v>
      </c>
      <c r="AA101" s="477">
        <v>35091.0</v>
      </c>
    </row>
    <row r="102" ht="12.75" customHeight="1">
      <c r="A102" s="24"/>
      <c r="B102" s="24"/>
      <c r="C102" s="24"/>
      <c r="D102" s="24"/>
      <c r="E102" s="24"/>
      <c r="F102" s="24"/>
      <c r="G102" s="474">
        <v>39022.0</v>
      </c>
      <c r="H102" s="469">
        <v>6264371.0</v>
      </c>
      <c r="I102" s="469">
        <v>837123.0</v>
      </c>
      <c r="J102" s="469">
        <v>14554.0</v>
      </c>
      <c r="K102" s="469">
        <v>88544.0</v>
      </c>
      <c r="L102" s="469">
        <v>3926672.0</v>
      </c>
      <c r="M102" s="469">
        <v>278155.0</v>
      </c>
      <c r="N102" s="475">
        <v>0.0</v>
      </c>
      <c r="O102" s="469">
        <v>1070566.0</v>
      </c>
      <c r="P102" s="469">
        <v>48759.0</v>
      </c>
      <c r="Q102" s="24"/>
      <c r="R102" s="476">
        <v>39022.0</v>
      </c>
      <c r="S102" s="477">
        <v>1797614.0</v>
      </c>
      <c r="T102" s="477">
        <v>1164222.0</v>
      </c>
      <c r="U102" s="477">
        <v>69203.0</v>
      </c>
      <c r="V102" s="477">
        <v>15012.0</v>
      </c>
      <c r="W102" s="478">
        <v>0.0</v>
      </c>
      <c r="X102" s="477">
        <v>546941.0</v>
      </c>
      <c r="Y102" s="478">
        <v>0.0</v>
      </c>
      <c r="Z102" s="478">
        <v>0.0</v>
      </c>
      <c r="AA102" s="477">
        <v>2237.0</v>
      </c>
    </row>
    <row r="103" ht="12.75" customHeight="1">
      <c r="A103" s="24"/>
      <c r="B103" s="24"/>
      <c r="C103" s="24"/>
      <c r="D103" s="24"/>
      <c r="E103" s="24"/>
      <c r="F103" s="24"/>
      <c r="G103" s="474">
        <v>39052.0</v>
      </c>
      <c r="H103" s="469">
        <v>6984506.0</v>
      </c>
      <c r="I103" s="469">
        <v>896587.0</v>
      </c>
      <c r="J103" s="469">
        <v>15276.0</v>
      </c>
      <c r="K103" s="469">
        <v>105109.0</v>
      </c>
      <c r="L103" s="469">
        <v>5229158.0</v>
      </c>
      <c r="M103" s="469">
        <v>302736.0</v>
      </c>
      <c r="N103" s="475">
        <v>0.0</v>
      </c>
      <c r="O103" s="469">
        <v>443339.0</v>
      </c>
      <c r="P103" s="469">
        <v>-7700.0</v>
      </c>
      <c r="Q103" s="24"/>
      <c r="R103" s="476">
        <v>39052.0</v>
      </c>
      <c r="S103" s="477">
        <v>1877851.0</v>
      </c>
      <c r="T103" s="477">
        <v>1183446.0</v>
      </c>
      <c r="U103" s="477">
        <v>74859.0</v>
      </c>
      <c r="V103" s="477">
        <v>15032.0</v>
      </c>
      <c r="W103" s="478">
        <v>0.0</v>
      </c>
      <c r="X103" s="477">
        <v>602149.0</v>
      </c>
      <c r="Y103" s="478">
        <v>0.0</v>
      </c>
      <c r="Z103" s="478">
        <v>0.0</v>
      </c>
      <c r="AA103" s="477">
        <v>2365.0</v>
      </c>
    </row>
    <row r="104" ht="12.75" customHeight="1">
      <c r="A104" s="24"/>
      <c r="B104" s="24"/>
      <c r="C104" s="24"/>
      <c r="D104" s="24"/>
      <c r="E104" s="24"/>
      <c r="F104" s="24"/>
      <c r="G104" s="470"/>
      <c r="H104" s="470"/>
      <c r="I104" s="470"/>
      <c r="J104" s="470"/>
      <c r="K104" s="470"/>
      <c r="L104" s="470"/>
      <c r="M104" s="470"/>
      <c r="N104" s="470"/>
      <c r="O104" s="470"/>
      <c r="P104" s="470"/>
      <c r="Q104" s="24"/>
      <c r="R104" s="471"/>
      <c r="S104" s="471"/>
      <c r="T104" s="471"/>
      <c r="U104" s="471"/>
      <c r="V104" s="471"/>
      <c r="W104" s="471"/>
      <c r="X104" s="471"/>
      <c r="Y104" s="471"/>
      <c r="Z104" s="471"/>
      <c r="AA104" s="471"/>
    </row>
    <row r="105" ht="12.75" customHeight="1">
      <c r="A105" s="24"/>
      <c r="B105" s="24"/>
      <c r="C105" s="24"/>
      <c r="D105" s="24"/>
      <c r="E105" s="24"/>
      <c r="F105" s="24"/>
      <c r="G105" s="474">
        <v>39083.0</v>
      </c>
      <c r="H105" s="469">
        <v>5965128.0</v>
      </c>
      <c r="I105" s="469">
        <v>760751.0</v>
      </c>
      <c r="J105" s="469">
        <v>15377.0</v>
      </c>
      <c r="K105" s="469">
        <v>69129.0</v>
      </c>
      <c r="L105" s="469">
        <v>3874712.0</v>
      </c>
      <c r="M105" s="469">
        <v>252716.0</v>
      </c>
      <c r="N105" s="475">
        <v>0.0</v>
      </c>
      <c r="O105" s="469">
        <v>941127.0</v>
      </c>
      <c r="P105" s="469">
        <v>51314.0</v>
      </c>
      <c r="Q105" s="24"/>
      <c r="R105" s="476">
        <v>39083.0</v>
      </c>
      <c r="S105" s="477">
        <v>1866418.0</v>
      </c>
      <c r="T105" s="477">
        <v>1157522.0</v>
      </c>
      <c r="U105" s="477">
        <v>86943.0</v>
      </c>
      <c r="V105" s="477">
        <v>15477.0</v>
      </c>
      <c r="W105" s="478">
        <v>0.0</v>
      </c>
      <c r="X105" s="477">
        <v>602350.0</v>
      </c>
      <c r="Y105" s="478">
        <v>0.0</v>
      </c>
      <c r="Z105" s="478">
        <v>0.0</v>
      </c>
      <c r="AA105" s="477">
        <v>4125.0</v>
      </c>
    </row>
    <row r="106" ht="12.75" customHeight="1">
      <c r="A106" s="24"/>
      <c r="B106" s="24"/>
      <c r="C106" s="24"/>
      <c r="D106" s="24"/>
      <c r="E106" s="24"/>
      <c r="F106" s="24"/>
      <c r="G106" s="474">
        <v>39114.0</v>
      </c>
      <c r="H106" s="469">
        <v>6120716.0</v>
      </c>
      <c r="I106" s="469">
        <v>775470.0</v>
      </c>
      <c r="J106" s="469">
        <v>14409.0</v>
      </c>
      <c r="K106" s="469">
        <v>67165.0</v>
      </c>
      <c r="L106" s="469">
        <v>3651487.0</v>
      </c>
      <c r="M106" s="469">
        <v>261953.0</v>
      </c>
      <c r="N106" s="475">
        <v>0.0</v>
      </c>
      <c r="O106" s="469">
        <v>1345765.0</v>
      </c>
      <c r="P106" s="469">
        <v>4464.0</v>
      </c>
      <c r="Q106" s="24"/>
      <c r="R106" s="476">
        <v>39114.0</v>
      </c>
      <c r="S106" s="477">
        <v>1651531.0</v>
      </c>
      <c r="T106" s="477">
        <v>1028115.0</v>
      </c>
      <c r="U106" s="477">
        <v>69068.0</v>
      </c>
      <c r="V106" s="477">
        <v>12172.0</v>
      </c>
      <c r="W106" s="478">
        <v>0.0</v>
      </c>
      <c r="X106" s="477">
        <v>521056.0</v>
      </c>
      <c r="Y106" s="478">
        <v>0.0</v>
      </c>
      <c r="Z106" s="478">
        <v>0.0</v>
      </c>
      <c r="AA106" s="477">
        <v>21119.0</v>
      </c>
    </row>
    <row r="107" ht="12.75" customHeight="1">
      <c r="A107" s="24"/>
      <c r="B107" s="24"/>
      <c r="C107" s="24"/>
      <c r="D107" s="24"/>
      <c r="E107" s="24"/>
      <c r="F107" s="24"/>
      <c r="G107" s="474">
        <v>39142.0</v>
      </c>
      <c r="H107" s="469">
        <v>6867687.0</v>
      </c>
      <c r="I107" s="469">
        <v>876104.0</v>
      </c>
      <c r="J107" s="469">
        <v>14994.0</v>
      </c>
      <c r="K107" s="469">
        <v>73873.0</v>
      </c>
      <c r="L107" s="469">
        <v>4096757.0</v>
      </c>
      <c r="M107" s="469">
        <v>291729.0</v>
      </c>
      <c r="N107" s="475">
        <v>0.0</v>
      </c>
      <c r="O107" s="469">
        <v>1485137.0</v>
      </c>
      <c r="P107" s="469">
        <v>29093.0</v>
      </c>
      <c r="Q107" s="24"/>
      <c r="R107" s="476">
        <v>39142.0</v>
      </c>
      <c r="S107" s="477">
        <v>1784741.0</v>
      </c>
      <c r="T107" s="477">
        <v>1137395.0</v>
      </c>
      <c r="U107" s="477">
        <v>66132.0</v>
      </c>
      <c r="V107" s="477">
        <v>8997.0</v>
      </c>
      <c r="W107" s="478">
        <v>0.0</v>
      </c>
      <c r="X107" s="477">
        <v>524337.0</v>
      </c>
      <c r="Y107" s="478">
        <v>0.0</v>
      </c>
      <c r="Z107" s="478">
        <v>0.0</v>
      </c>
      <c r="AA107" s="477">
        <v>47880.0</v>
      </c>
    </row>
    <row r="108" ht="12.75" customHeight="1">
      <c r="A108" s="24"/>
      <c r="B108" s="24"/>
      <c r="C108" s="24"/>
      <c r="D108" s="24"/>
      <c r="E108" s="24"/>
      <c r="F108" s="24"/>
      <c r="G108" s="474">
        <v>39173.0</v>
      </c>
      <c r="H108" s="469">
        <v>6522860.0</v>
      </c>
      <c r="I108" s="469">
        <v>824456.0</v>
      </c>
      <c r="J108" s="469">
        <v>14178.0</v>
      </c>
      <c r="K108" s="469">
        <v>65160.0</v>
      </c>
      <c r="L108" s="469">
        <v>3924524.0</v>
      </c>
      <c r="M108" s="469">
        <v>276296.0</v>
      </c>
      <c r="N108" s="475">
        <v>0.0</v>
      </c>
      <c r="O108" s="469">
        <v>1376308.0</v>
      </c>
      <c r="P108" s="469">
        <v>41938.0</v>
      </c>
      <c r="Q108" s="24"/>
      <c r="R108" s="476">
        <v>39173.0</v>
      </c>
      <c r="S108" s="477">
        <v>1728251.0</v>
      </c>
      <c r="T108" s="477">
        <v>1093134.0</v>
      </c>
      <c r="U108" s="477">
        <v>70838.0</v>
      </c>
      <c r="V108" s="477">
        <v>11260.0</v>
      </c>
      <c r="W108" s="478">
        <v>0.0</v>
      </c>
      <c r="X108" s="477">
        <v>548609.0</v>
      </c>
      <c r="Y108" s="478">
        <v>0.0</v>
      </c>
      <c r="Z108" s="478">
        <v>0.0</v>
      </c>
      <c r="AA108" s="477">
        <v>4410.0</v>
      </c>
    </row>
    <row r="109" ht="12.75" customHeight="1">
      <c r="A109" s="24"/>
      <c r="B109" s="24"/>
      <c r="C109" s="24"/>
      <c r="D109" s="24"/>
      <c r="E109" s="24"/>
      <c r="F109" s="24"/>
      <c r="G109" s="474">
        <v>39203.0</v>
      </c>
      <c r="H109" s="469">
        <v>6842515.0</v>
      </c>
      <c r="I109" s="469">
        <v>834021.0</v>
      </c>
      <c r="J109" s="469">
        <v>12571.0</v>
      </c>
      <c r="K109" s="469">
        <v>91075.0</v>
      </c>
      <c r="L109" s="469">
        <v>4858014.0</v>
      </c>
      <c r="M109" s="469">
        <v>286196.0</v>
      </c>
      <c r="N109" s="475">
        <v>0.0</v>
      </c>
      <c r="O109" s="469">
        <v>708363.0</v>
      </c>
      <c r="P109" s="469">
        <v>52275.0</v>
      </c>
      <c r="Q109" s="24"/>
      <c r="R109" s="476">
        <v>39203.0</v>
      </c>
      <c r="S109" s="477">
        <v>1782776.0</v>
      </c>
      <c r="T109" s="477">
        <v>1131750.0</v>
      </c>
      <c r="U109" s="477">
        <v>71721.0</v>
      </c>
      <c r="V109" s="477">
        <v>8878.0</v>
      </c>
      <c r="W109" s="478">
        <v>0.0</v>
      </c>
      <c r="X109" s="477">
        <v>569690.0</v>
      </c>
      <c r="Y109" s="478">
        <v>0.0</v>
      </c>
      <c r="Z109" s="478">
        <v>0.0</v>
      </c>
      <c r="AA109" s="478">
        <v>737.0</v>
      </c>
    </row>
    <row r="110" ht="12.75" customHeight="1">
      <c r="A110" s="24"/>
      <c r="B110" s="24"/>
      <c r="C110" s="24"/>
      <c r="D110" s="24"/>
      <c r="E110" s="24"/>
      <c r="F110" s="24"/>
      <c r="G110" s="474">
        <v>39234.0</v>
      </c>
      <c r="H110" s="469">
        <v>6681014.0</v>
      </c>
      <c r="I110" s="469">
        <v>820000.0</v>
      </c>
      <c r="J110" s="469">
        <v>12269.0</v>
      </c>
      <c r="K110" s="469">
        <v>84725.0</v>
      </c>
      <c r="L110" s="469">
        <v>4952303.0</v>
      </c>
      <c r="M110" s="469">
        <v>281129.0</v>
      </c>
      <c r="N110" s="475">
        <v>0.0</v>
      </c>
      <c r="O110" s="469">
        <v>485104.0</v>
      </c>
      <c r="P110" s="469">
        <v>45486.0</v>
      </c>
      <c r="Q110" s="24"/>
      <c r="R110" s="476">
        <v>39234.0</v>
      </c>
      <c r="S110" s="477">
        <v>1618568.0</v>
      </c>
      <c r="T110" s="477">
        <v>1021478.0</v>
      </c>
      <c r="U110" s="477">
        <v>71760.0</v>
      </c>
      <c r="V110" s="477">
        <v>6777.0</v>
      </c>
      <c r="W110" s="478">
        <v>0.0</v>
      </c>
      <c r="X110" s="477">
        <v>515474.0</v>
      </c>
      <c r="Y110" s="478">
        <v>0.0</v>
      </c>
      <c r="Z110" s="478">
        <v>0.0</v>
      </c>
      <c r="AA110" s="477">
        <v>3079.0</v>
      </c>
    </row>
    <row r="111" ht="12.75" customHeight="1">
      <c r="A111" s="24"/>
      <c r="B111" s="24"/>
      <c r="C111" s="24"/>
      <c r="D111" s="24"/>
      <c r="E111" s="24"/>
      <c r="F111" s="24"/>
      <c r="G111" s="474">
        <v>39264.0</v>
      </c>
      <c r="H111" s="469">
        <v>6896727.0</v>
      </c>
      <c r="I111" s="469">
        <v>834420.0</v>
      </c>
      <c r="J111" s="469">
        <v>12127.0</v>
      </c>
      <c r="K111" s="469">
        <v>86062.0</v>
      </c>
      <c r="L111" s="469">
        <v>5010724.0</v>
      </c>
      <c r="M111" s="469">
        <v>286256.0</v>
      </c>
      <c r="N111" s="475">
        <v>0.0</v>
      </c>
      <c r="O111" s="469">
        <v>601169.0</v>
      </c>
      <c r="P111" s="469">
        <v>65968.0</v>
      </c>
      <c r="Q111" s="24"/>
      <c r="R111" s="476">
        <v>39264.0</v>
      </c>
      <c r="S111" s="477">
        <v>1609197.0</v>
      </c>
      <c r="T111" s="477">
        <v>1014930.0</v>
      </c>
      <c r="U111" s="477">
        <v>73774.0</v>
      </c>
      <c r="V111" s="477">
        <v>6571.0</v>
      </c>
      <c r="W111" s="478">
        <v>0.0</v>
      </c>
      <c r="X111" s="477">
        <v>512835.0</v>
      </c>
      <c r="Y111" s="478">
        <v>0.0</v>
      </c>
      <c r="Z111" s="478">
        <v>0.0</v>
      </c>
      <c r="AA111" s="477">
        <v>1086.0</v>
      </c>
    </row>
    <row r="112" ht="12.75" customHeight="1">
      <c r="A112" s="24"/>
      <c r="B112" s="24"/>
      <c r="C112" s="24"/>
      <c r="D112" s="24"/>
      <c r="E112" s="24"/>
      <c r="F112" s="24"/>
      <c r="G112" s="474">
        <v>39295.0</v>
      </c>
      <c r="H112" s="469">
        <v>6571133.0</v>
      </c>
      <c r="I112" s="469">
        <v>766644.0</v>
      </c>
      <c r="J112" s="469">
        <v>11871.0</v>
      </c>
      <c r="K112" s="469">
        <v>76612.0</v>
      </c>
      <c r="L112" s="469">
        <v>4543579.0</v>
      </c>
      <c r="M112" s="469">
        <v>264141.0</v>
      </c>
      <c r="N112" s="475">
        <v>0.0</v>
      </c>
      <c r="O112" s="469">
        <v>813514.0</v>
      </c>
      <c r="P112" s="469">
        <v>94772.0</v>
      </c>
      <c r="Q112" s="24"/>
      <c r="R112" s="476">
        <v>39295.0</v>
      </c>
      <c r="S112" s="477">
        <v>1584284.0</v>
      </c>
      <c r="T112" s="477">
        <v>1000404.0</v>
      </c>
      <c r="U112" s="477">
        <v>75592.0</v>
      </c>
      <c r="V112" s="477">
        <v>6785.0</v>
      </c>
      <c r="W112" s="478">
        <v>0.0</v>
      </c>
      <c r="X112" s="477">
        <v>498157.0</v>
      </c>
      <c r="Y112" s="478">
        <v>0.0</v>
      </c>
      <c r="Z112" s="478">
        <v>0.0</v>
      </c>
      <c r="AA112" s="477">
        <v>3346.0</v>
      </c>
    </row>
    <row r="113" ht="12.75" customHeight="1">
      <c r="A113" s="24"/>
      <c r="B113" s="24"/>
      <c r="C113" s="24"/>
      <c r="D113" s="24"/>
      <c r="E113" s="24"/>
      <c r="F113" s="24"/>
      <c r="G113" s="474">
        <v>39326.0</v>
      </c>
      <c r="H113" s="469">
        <v>6509896.0</v>
      </c>
      <c r="I113" s="469">
        <v>733421.0</v>
      </c>
      <c r="J113" s="469">
        <v>11399.0</v>
      </c>
      <c r="K113" s="469">
        <v>77672.0</v>
      </c>
      <c r="L113" s="469">
        <v>4907979.0</v>
      </c>
      <c r="M113" s="469">
        <v>256805.0</v>
      </c>
      <c r="N113" s="475">
        <v>0.0</v>
      </c>
      <c r="O113" s="469">
        <v>391032.0</v>
      </c>
      <c r="P113" s="469">
        <v>131589.0</v>
      </c>
      <c r="Q113" s="24"/>
      <c r="R113" s="476">
        <v>39326.0</v>
      </c>
      <c r="S113" s="477">
        <v>146827.0</v>
      </c>
      <c r="T113" s="477">
        <v>94993.0</v>
      </c>
      <c r="U113" s="477">
        <v>2664.0</v>
      </c>
      <c r="V113" s="477">
        <v>5090.0</v>
      </c>
      <c r="W113" s="478">
        <v>0.0</v>
      </c>
      <c r="X113" s="477">
        <v>42712.0</v>
      </c>
      <c r="Y113" s="478">
        <v>0.0</v>
      </c>
      <c r="Z113" s="478">
        <v>0.0</v>
      </c>
      <c r="AA113" s="477">
        <v>1368.0</v>
      </c>
    </row>
    <row r="114" ht="12.75" customHeight="1">
      <c r="A114" s="24"/>
      <c r="B114" s="24"/>
      <c r="C114" s="24"/>
      <c r="D114" s="24"/>
      <c r="E114" s="24"/>
      <c r="F114" s="24"/>
      <c r="G114" s="474">
        <v>39356.0</v>
      </c>
      <c r="H114" s="469">
        <v>6510000.0</v>
      </c>
      <c r="I114" s="469">
        <v>733000.0</v>
      </c>
      <c r="J114" s="469">
        <v>11000.0</v>
      </c>
      <c r="K114" s="469">
        <v>78000.0</v>
      </c>
      <c r="L114" s="469">
        <v>4908000.0</v>
      </c>
      <c r="M114" s="469">
        <v>257000.0</v>
      </c>
      <c r="N114" s="475">
        <v>0.0</v>
      </c>
      <c r="O114" s="469">
        <v>391000.0</v>
      </c>
      <c r="P114" s="469">
        <v>132000.0</v>
      </c>
      <c r="Q114" s="24"/>
      <c r="R114" s="476">
        <v>39356.0</v>
      </c>
      <c r="S114" s="478">
        <v>0.0</v>
      </c>
      <c r="T114" s="478">
        <v>0.0</v>
      </c>
      <c r="U114" s="478">
        <v>0.0</v>
      </c>
      <c r="V114" s="478">
        <v>0.0</v>
      </c>
      <c r="W114" s="478">
        <v>0.0</v>
      </c>
      <c r="X114" s="478">
        <v>0.0</v>
      </c>
      <c r="Y114" s="478">
        <v>0.0</v>
      </c>
      <c r="Z114" s="478">
        <v>0.0</v>
      </c>
      <c r="AA114" s="478">
        <v>0.0</v>
      </c>
    </row>
    <row r="115" ht="12.75" customHeight="1">
      <c r="A115" s="24"/>
      <c r="B115" s="24"/>
      <c r="C115" s="24"/>
      <c r="D115" s="24"/>
      <c r="E115" s="24"/>
      <c r="F115" s="24"/>
      <c r="G115" s="474">
        <v>39387.0</v>
      </c>
      <c r="H115" s="469">
        <v>6075652.0</v>
      </c>
      <c r="I115" s="469">
        <v>699260.0</v>
      </c>
      <c r="J115" s="469">
        <v>14538.0</v>
      </c>
      <c r="K115" s="469">
        <v>8669.0</v>
      </c>
      <c r="L115" s="469">
        <v>4776747.0</v>
      </c>
      <c r="M115" s="469">
        <v>229343.0</v>
      </c>
      <c r="N115" s="475">
        <v>0.0</v>
      </c>
      <c r="O115" s="469">
        <v>174438.0</v>
      </c>
      <c r="P115" s="469">
        <v>94657.0</v>
      </c>
      <c r="Q115" s="24"/>
      <c r="R115" s="476">
        <v>39387.0</v>
      </c>
      <c r="S115" s="478">
        <v>0.0</v>
      </c>
      <c r="T115" s="478">
        <v>0.0</v>
      </c>
      <c r="U115" s="478">
        <v>0.0</v>
      </c>
      <c r="V115" s="478">
        <v>0.0</v>
      </c>
      <c r="W115" s="478">
        <v>0.0</v>
      </c>
      <c r="X115" s="478">
        <v>0.0</v>
      </c>
      <c r="Y115" s="478">
        <v>0.0</v>
      </c>
      <c r="Z115" s="478">
        <v>0.0</v>
      </c>
      <c r="AA115" s="478">
        <v>0.0</v>
      </c>
    </row>
    <row r="116" ht="12.75" customHeight="1">
      <c r="A116" s="24"/>
      <c r="B116" s="24"/>
      <c r="C116" s="24"/>
      <c r="D116" s="24"/>
      <c r="E116" s="24"/>
      <c r="F116" s="24"/>
      <c r="G116" s="474">
        <v>39417.0</v>
      </c>
      <c r="H116" s="469">
        <v>6076000.0</v>
      </c>
      <c r="I116" s="469">
        <v>699000.0</v>
      </c>
      <c r="J116" s="469">
        <v>14000.0</v>
      </c>
      <c r="K116" s="469">
        <v>87000.0</v>
      </c>
      <c r="L116" s="469">
        <v>4777000.0</v>
      </c>
      <c r="M116" s="469">
        <v>229000.0</v>
      </c>
      <c r="N116" s="475">
        <v>0.0</v>
      </c>
      <c r="O116" s="469">
        <v>175000.0</v>
      </c>
      <c r="P116" s="469">
        <v>95000.0</v>
      </c>
      <c r="Q116" s="24"/>
      <c r="R116" s="476">
        <v>39417.0</v>
      </c>
      <c r="S116" s="478">
        <v>0.0</v>
      </c>
      <c r="T116" s="478">
        <v>0.0</v>
      </c>
      <c r="U116" s="478">
        <v>0.0</v>
      </c>
      <c r="V116" s="478">
        <v>0.0</v>
      </c>
      <c r="W116" s="478">
        <v>0.0</v>
      </c>
      <c r="X116" s="478">
        <v>0.0</v>
      </c>
      <c r="Y116" s="478">
        <v>0.0</v>
      </c>
      <c r="Z116" s="478">
        <v>0.0</v>
      </c>
      <c r="AA116" s="478">
        <v>0.0</v>
      </c>
    </row>
    <row r="117" ht="12.75" customHeight="1">
      <c r="A117" s="24"/>
      <c r="B117" s="24"/>
      <c r="C117" s="24"/>
      <c r="D117" s="24"/>
      <c r="E117" s="24"/>
      <c r="F117" s="24"/>
      <c r="G117" s="470"/>
      <c r="H117" s="470"/>
      <c r="I117" s="470"/>
      <c r="J117" s="470"/>
      <c r="K117" s="470"/>
      <c r="L117" s="470"/>
      <c r="M117" s="470"/>
      <c r="N117" s="470"/>
      <c r="O117" s="470"/>
      <c r="P117" s="470"/>
      <c r="Q117" s="24"/>
      <c r="R117" s="471"/>
      <c r="S117" s="481"/>
      <c r="T117" s="481"/>
      <c r="U117" s="481"/>
      <c r="V117" s="481"/>
      <c r="W117" s="481"/>
      <c r="X117" s="481"/>
      <c r="Y117" s="481"/>
      <c r="Z117" s="481"/>
      <c r="AA117" s="481"/>
    </row>
    <row r="118" ht="12.75" customHeight="1">
      <c r="A118" s="24"/>
      <c r="B118" s="24"/>
      <c r="C118" s="24"/>
      <c r="D118" s="24"/>
      <c r="E118" s="24"/>
      <c r="F118" s="24"/>
      <c r="G118" s="474">
        <v>39448.0</v>
      </c>
      <c r="H118" s="469">
        <v>6534015.0</v>
      </c>
      <c r="I118" s="469">
        <v>645064.0</v>
      </c>
      <c r="J118" s="469">
        <v>14932.0</v>
      </c>
      <c r="K118" s="469">
        <v>101320.0</v>
      </c>
      <c r="L118" s="469">
        <v>4978150.0</v>
      </c>
      <c r="M118" s="469">
        <v>241116.0</v>
      </c>
      <c r="N118" s="475">
        <v>0.0</v>
      </c>
      <c r="O118" s="469">
        <v>373011.0</v>
      </c>
      <c r="P118" s="469">
        <v>180422.0</v>
      </c>
      <c r="Q118" s="24"/>
      <c r="R118" s="476">
        <v>39448.0</v>
      </c>
      <c r="S118" s="482">
        <v>0.0</v>
      </c>
      <c r="T118" s="482">
        <v>0.0</v>
      </c>
      <c r="U118" s="482">
        <v>0.0</v>
      </c>
      <c r="V118" s="482">
        <v>0.0</v>
      </c>
      <c r="W118" s="482">
        <v>0.0</v>
      </c>
      <c r="X118" s="482">
        <v>0.0</v>
      </c>
      <c r="Y118" s="482">
        <v>0.0</v>
      </c>
      <c r="Z118" s="482">
        <v>0.0</v>
      </c>
      <c r="AA118" s="482">
        <v>0.0</v>
      </c>
    </row>
    <row r="119" ht="12.75" customHeight="1">
      <c r="A119" s="24"/>
      <c r="B119" s="24"/>
      <c r="C119" s="24"/>
      <c r="D119" s="24"/>
      <c r="E119" s="24"/>
      <c r="F119" s="24"/>
      <c r="G119" s="474">
        <v>39479.0</v>
      </c>
      <c r="H119" s="469">
        <v>6534000.0</v>
      </c>
      <c r="I119" s="469">
        <v>645000.0</v>
      </c>
      <c r="J119" s="469">
        <v>15000.0</v>
      </c>
      <c r="K119" s="469">
        <v>101000.0</v>
      </c>
      <c r="L119" s="469">
        <v>4978000.0</v>
      </c>
      <c r="M119" s="469">
        <v>241000.0</v>
      </c>
      <c r="N119" s="475">
        <v>0.0</v>
      </c>
      <c r="O119" s="469">
        <v>373000.0</v>
      </c>
      <c r="P119" s="469">
        <v>18000.0</v>
      </c>
      <c r="Q119" s="24"/>
      <c r="R119" s="476">
        <v>39479.0</v>
      </c>
      <c r="S119" s="482">
        <v>0.0</v>
      </c>
      <c r="T119" s="482">
        <v>0.0</v>
      </c>
      <c r="U119" s="482">
        <v>0.0</v>
      </c>
      <c r="V119" s="482">
        <v>0.0</v>
      </c>
      <c r="W119" s="482">
        <v>0.0</v>
      </c>
      <c r="X119" s="482">
        <v>0.0</v>
      </c>
      <c r="Y119" s="482">
        <v>0.0</v>
      </c>
      <c r="Z119" s="482">
        <v>0.0</v>
      </c>
      <c r="AA119" s="482">
        <v>0.0</v>
      </c>
    </row>
    <row r="120" ht="12.75" customHeight="1">
      <c r="A120" s="24"/>
      <c r="B120" s="24"/>
      <c r="C120" s="24"/>
      <c r="D120" s="24"/>
      <c r="E120" s="24"/>
      <c r="F120" s="24"/>
      <c r="G120" s="474">
        <v>39508.0</v>
      </c>
      <c r="H120" s="469">
        <v>6535259.0</v>
      </c>
      <c r="I120" s="469">
        <v>644186.0</v>
      </c>
      <c r="J120" s="469">
        <v>14317.0</v>
      </c>
      <c r="K120" s="469">
        <v>98370.0</v>
      </c>
      <c r="L120" s="469">
        <v>5256651.0</v>
      </c>
      <c r="M120" s="469">
        <v>234919.0</v>
      </c>
      <c r="N120" s="475">
        <v>0.0</v>
      </c>
      <c r="O120" s="469">
        <v>98818.0</v>
      </c>
      <c r="P120" s="469">
        <v>187998.0</v>
      </c>
      <c r="Q120" s="24"/>
      <c r="R120" s="476">
        <v>39508.0</v>
      </c>
      <c r="S120" s="482">
        <v>0.0</v>
      </c>
      <c r="T120" s="482">
        <v>0.0</v>
      </c>
      <c r="U120" s="482">
        <v>0.0</v>
      </c>
      <c r="V120" s="482">
        <v>0.0</v>
      </c>
      <c r="W120" s="482">
        <v>0.0</v>
      </c>
      <c r="X120" s="482">
        <v>0.0</v>
      </c>
      <c r="Y120" s="482">
        <v>0.0</v>
      </c>
      <c r="Z120" s="482">
        <v>0.0</v>
      </c>
      <c r="AA120" s="482">
        <v>0.0</v>
      </c>
    </row>
    <row r="121" ht="12.75" customHeight="1">
      <c r="A121" s="24"/>
      <c r="B121" s="24"/>
      <c r="C121" s="24"/>
      <c r="D121" s="24"/>
      <c r="E121" s="24"/>
      <c r="F121" s="24"/>
      <c r="G121" s="474">
        <v>39539.0</v>
      </c>
      <c r="H121" s="469">
        <v>6343046.0</v>
      </c>
      <c r="I121" s="469">
        <v>624141.0</v>
      </c>
      <c r="J121" s="469">
        <v>13385.0</v>
      </c>
      <c r="K121" s="469">
        <v>99359.0</v>
      </c>
      <c r="L121" s="469">
        <v>5096234.0</v>
      </c>
      <c r="M121" s="469">
        <v>228432.0</v>
      </c>
      <c r="N121" s="475">
        <v>0.0</v>
      </c>
      <c r="O121" s="469">
        <v>93469.0</v>
      </c>
      <c r="P121" s="469">
        <v>188028.0</v>
      </c>
      <c r="Q121" s="24"/>
      <c r="R121" s="476">
        <v>39539.0</v>
      </c>
      <c r="S121" s="482">
        <v>0.0</v>
      </c>
      <c r="T121" s="482">
        <v>0.0</v>
      </c>
      <c r="U121" s="482">
        <v>0.0</v>
      </c>
      <c r="V121" s="482">
        <v>0.0</v>
      </c>
      <c r="W121" s="482">
        <v>0.0</v>
      </c>
      <c r="X121" s="482">
        <v>0.0</v>
      </c>
      <c r="Y121" s="482">
        <v>0.0</v>
      </c>
      <c r="Z121" s="482">
        <v>0.0</v>
      </c>
      <c r="AA121" s="482">
        <v>0.0</v>
      </c>
    </row>
    <row r="122" ht="12.75" customHeight="1">
      <c r="A122" s="24"/>
      <c r="B122" s="24"/>
      <c r="C122" s="24"/>
      <c r="D122" s="24"/>
      <c r="E122" s="24"/>
      <c r="F122" s="24"/>
      <c r="G122" s="474">
        <v>39569.0</v>
      </c>
      <c r="H122" s="469">
        <v>6343000.0</v>
      </c>
      <c r="I122" s="469">
        <v>624000.0</v>
      </c>
      <c r="J122" s="469">
        <v>14000.0</v>
      </c>
      <c r="K122" s="469">
        <v>99000.0</v>
      </c>
      <c r="L122" s="469">
        <v>5096000.0</v>
      </c>
      <c r="M122" s="469">
        <v>228000.0</v>
      </c>
      <c r="N122" s="475">
        <v>0.0</v>
      </c>
      <c r="O122" s="469">
        <v>94000.0</v>
      </c>
      <c r="P122" s="469">
        <v>188000.0</v>
      </c>
      <c r="Q122" s="24"/>
      <c r="R122" s="476">
        <v>39569.0</v>
      </c>
      <c r="S122" s="482">
        <v>0.0</v>
      </c>
      <c r="T122" s="482">
        <v>0.0</v>
      </c>
      <c r="U122" s="482">
        <v>0.0</v>
      </c>
      <c r="V122" s="482">
        <v>0.0</v>
      </c>
      <c r="W122" s="482">
        <v>0.0</v>
      </c>
      <c r="X122" s="482">
        <v>0.0</v>
      </c>
      <c r="Y122" s="482">
        <v>0.0</v>
      </c>
      <c r="Z122" s="482">
        <v>0.0</v>
      </c>
      <c r="AA122" s="482">
        <v>0.0</v>
      </c>
    </row>
    <row r="123" ht="12.75" customHeight="1">
      <c r="A123" s="24"/>
      <c r="B123" s="24"/>
      <c r="C123" s="24"/>
      <c r="D123" s="24"/>
      <c r="E123" s="24"/>
      <c r="F123" s="24"/>
      <c r="G123" s="474">
        <v>39600.0</v>
      </c>
      <c r="H123" s="469">
        <v>6152197.0</v>
      </c>
      <c r="I123" s="469">
        <v>595310.0</v>
      </c>
      <c r="J123" s="469">
        <v>11038.0</v>
      </c>
      <c r="K123" s="469">
        <v>85741.0</v>
      </c>
      <c r="L123" s="469">
        <v>4852385.0</v>
      </c>
      <c r="M123" s="469">
        <v>218796.0</v>
      </c>
      <c r="N123" s="475">
        <v>0.0</v>
      </c>
      <c r="O123" s="469">
        <v>174808.0</v>
      </c>
      <c r="P123" s="469">
        <v>214119.0</v>
      </c>
      <c r="Q123" s="24"/>
      <c r="R123" s="476">
        <v>39600.0</v>
      </c>
      <c r="S123" s="482">
        <v>0.0</v>
      </c>
      <c r="T123" s="482">
        <v>0.0</v>
      </c>
      <c r="U123" s="482">
        <v>0.0</v>
      </c>
      <c r="V123" s="482">
        <v>0.0</v>
      </c>
      <c r="W123" s="482">
        <v>0.0</v>
      </c>
      <c r="X123" s="482">
        <v>0.0</v>
      </c>
      <c r="Y123" s="482">
        <v>0.0</v>
      </c>
      <c r="Z123" s="482">
        <v>0.0</v>
      </c>
      <c r="AA123" s="482">
        <v>0.0</v>
      </c>
    </row>
    <row r="124" ht="12.75" customHeight="1">
      <c r="A124" s="24"/>
      <c r="B124" s="24"/>
      <c r="C124" s="24"/>
      <c r="D124" s="24"/>
      <c r="E124" s="24"/>
      <c r="F124" s="24"/>
      <c r="G124" s="474">
        <v>39630.0</v>
      </c>
      <c r="H124" s="469">
        <v>6320568.0</v>
      </c>
      <c r="I124" s="469">
        <v>630587.0</v>
      </c>
      <c r="J124" s="469">
        <v>11969.0</v>
      </c>
      <c r="K124" s="469">
        <v>109335.0</v>
      </c>
      <c r="L124" s="469">
        <v>4912666.0</v>
      </c>
      <c r="M124" s="469">
        <v>193584.0</v>
      </c>
      <c r="N124" s="475">
        <v>0.0</v>
      </c>
      <c r="O124" s="469">
        <v>373209.0</v>
      </c>
      <c r="P124" s="469">
        <v>89218.0</v>
      </c>
      <c r="Q124" s="24"/>
      <c r="R124" s="476">
        <v>39630.0</v>
      </c>
      <c r="S124" s="482">
        <v>0.0</v>
      </c>
      <c r="T124" s="482">
        <v>0.0</v>
      </c>
      <c r="U124" s="482">
        <v>0.0</v>
      </c>
      <c r="V124" s="482">
        <v>0.0</v>
      </c>
      <c r="W124" s="482">
        <v>0.0</v>
      </c>
      <c r="X124" s="482">
        <v>0.0</v>
      </c>
      <c r="Y124" s="482">
        <v>0.0</v>
      </c>
      <c r="Z124" s="482">
        <v>0.0</v>
      </c>
      <c r="AA124" s="482">
        <v>0.0</v>
      </c>
    </row>
    <row r="125" ht="12.75" customHeight="1">
      <c r="A125" s="24"/>
      <c r="B125" s="24"/>
      <c r="C125" s="24"/>
      <c r="D125" s="24"/>
      <c r="E125" s="24"/>
      <c r="F125" s="24"/>
      <c r="G125" s="474">
        <v>39661.0</v>
      </c>
      <c r="H125" s="469">
        <v>6206678.0</v>
      </c>
      <c r="I125" s="469">
        <v>588730.0</v>
      </c>
      <c r="J125" s="469">
        <v>10391.0</v>
      </c>
      <c r="K125" s="469">
        <v>83061.0</v>
      </c>
      <c r="L125" s="469">
        <v>4833410.0</v>
      </c>
      <c r="M125" s="469">
        <v>211750.0</v>
      </c>
      <c r="N125" s="475">
        <v>0.0</v>
      </c>
      <c r="O125" s="469">
        <v>509222.0</v>
      </c>
      <c r="P125" s="469">
        <v>-29886.0</v>
      </c>
      <c r="Q125" s="24"/>
      <c r="R125" s="476">
        <v>39661.0</v>
      </c>
      <c r="S125" s="482">
        <v>0.0</v>
      </c>
      <c r="T125" s="482">
        <v>0.0</v>
      </c>
      <c r="U125" s="482">
        <v>0.0</v>
      </c>
      <c r="V125" s="482">
        <v>0.0</v>
      </c>
      <c r="W125" s="482">
        <v>0.0</v>
      </c>
      <c r="X125" s="482">
        <v>0.0</v>
      </c>
      <c r="Y125" s="482">
        <v>0.0</v>
      </c>
      <c r="Z125" s="482">
        <v>0.0</v>
      </c>
      <c r="AA125" s="482">
        <v>0.0</v>
      </c>
    </row>
    <row r="126" ht="12.75" customHeight="1">
      <c r="A126" s="24"/>
      <c r="B126" s="24"/>
      <c r="C126" s="24"/>
      <c r="D126" s="24"/>
      <c r="E126" s="24"/>
      <c r="F126" s="24"/>
      <c r="G126" s="474">
        <v>39692.0</v>
      </c>
      <c r="H126" s="469">
        <v>6316000.0</v>
      </c>
      <c r="I126" s="469">
        <v>588000.0</v>
      </c>
      <c r="J126" s="469">
        <v>10000.0</v>
      </c>
      <c r="K126" s="469">
        <v>83000.0</v>
      </c>
      <c r="L126" s="469">
        <v>4833000.0</v>
      </c>
      <c r="M126" s="469">
        <v>211000.0</v>
      </c>
      <c r="N126" s="475">
        <v>0.0</v>
      </c>
      <c r="O126" s="469">
        <v>509000.0</v>
      </c>
      <c r="P126" s="469">
        <v>82000.0</v>
      </c>
      <c r="Q126" s="24"/>
      <c r="R126" s="476">
        <v>39692.0</v>
      </c>
      <c r="S126" s="482">
        <v>0.0</v>
      </c>
      <c r="T126" s="482">
        <v>0.0</v>
      </c>
      <c r="U126" s="482">
        <v>0.0</v>
      </c>
      <c r="V126" s="482">
        <v>0.0</v>
      </c>
      <c r="W126" s="482">
        <v>0.0</v>
      </c>
      <c r="X126" s="482">
        <v>0.0</v>
      </c>
      <c r="Y126" s="482">
        <v>0.0</v>
      </c>
      <c r="Z126" s="482">
        <v>0.0</v>
      </c>
      <c r="AA126" s="482">
        <v>0.0</v>
      </c>
    </row>
    <row r="127" ht="12.75" customHeight="1">
      <c r="A127" s="24"/>
      <c r="B127" s="24"/>
      <c r="C127" s="24"/>
      <c r="D127" s="24"/>
      <c r="E127" s="24"/>
      <c r="F127" s="24"/>
      <c r="G127" s="474">
        <v>39722.0</v>
      </c>
      <c r="H127" s="469">
        <v>7222228.0</v>
      </c>
      <c r="I127" s="469">
        <v>1463131.0</v>
      </c>
      <c r="J127" s="469">
        <v>13106.0</v>
      </c>
      <c r="K127" s="469">
        <v>85090.0</v>
      </c>
      <c r="L127" s="469">
        <v>4736094.0</v>
      </c>
      <c r="M127" s="469">
        <v>289240.0</v>
      </c>
      <c r="N127" s="475">
        <v>0.0</v>
      </c>
      <c r="O127" s="469">
        <v>573268.0</v>
      </c>
      <c r="P127" s="469">
        <v>60381.0</v>
      </c>
      <c r="Q127" s="24"/>
      <c r="R127" s="476">
        <v>39722.0</v>
      </c>
      <c r="S127" s="482">
        <v>0.0</v>
      </c>
      <c r="T127" s="482">
        <v>0.0</v>
      </c>
      <c r="U127" s="482">
        <v>0.0</v>
      </c>
      <c r="V127" s="482">
        <v>0.0</v>
      </c>
      <c r="W127" s="482">
        <v>0.0</v>
      </c>
      <c r="X127" s="482">
        <v>0.0</v>
      </c>
      <c r="Y127" s="482">
        <v>0.0</v>
      </c>
      <c r="Z127" s="482">
        <v>0.0</v>
      </c>
      <c r="AA127" s="482">
        <v>0.0</v>
      </c>
    </row>
    <row r="128" ht="12.75" customHeight="1">
      <c r="A128" s="24"/>
      <c r="B128" s="24"/>
      <c r="C128" s="24"/>
      <c r="D128" s="24"/>
      <c r="E128" s="24"/>
      <c r="F128" s="24"/>
      <c r="G128" s="474">
        <v>39753.0</v>
      </c>
      <c r="H128" s="469">
        <v>6939897.0</v>
      </c>
      <c r="I128" s="469">
        <v>1493079.0</v>
      </c>
      <c r="J128" s="469">
        <v>13834.0</v>
      </c>
      <c r="K128" s="469">
        <v>87549.0</v>
      </c>
      <c r="L128" s="469">
        <v>4993142.0</v>
      </c>
      <c r="M128" s="469">
        <v>285544.0</v>
      </c>
      <c r="N128" s="475">
        <v>0.0</v>
      </c>
      <c r="O128" s="469">
        <v>106350.0</v>
      </c>
      <c r="P128" s="469">
        <v>-41812.0</v>
      </c>
      <c r="Q128" s="24"/>
      <c r="R128" s="476">
        <v>39753.0</v>
      </c>
      <c r="S128" s="482">
        <v>0.0</v>
      </c>
      <c r="T128" s="482">
        <v>0.0</v>
      </c>
      <c r="U128" s="482">
        <v>0.0</v>
      </c>
      <c r="V128" s="482">
        <v>0.0</v>
      </c>
      <c r="W128" s="482">
        <v>0.0</v>
      </c>
      <c r="X128" s="482">
        <v>0.0</v>
      </c>
      <c r="Y128" s="482">
        <v>0.0</v>
      </c>
      <c r="Z128" s="482">
        <v>0.0</v>
      </c>
      <c r="AA128" s="482">
        <v>0.0</v>
      </c>
    </row>
    <row r="129" ht="12.75" customHeight="1">
      <c r="A129" s="24"/>
      <c r="B129" s="24"/>
      <c r="C129" s="24"/>
      <c r="D129" s="24"/>
      <c r="E129" s="24"/>
      <c r="F129" s="24"/>
      <c r="G129" s="474">
        <v>39783.0</v>
      </c>
      <c r="H129" s="469">
        <v>7354910.0</v>
      </c>
      <c r="I129" s="469">
        <v>1566774.0</v>
      </c>
      <c r="J129" s="469">
        <v>15468.0</v>
      </c>
      <c r="K129" s="469">
        <v>95612.0</v>
      </c>
      <c r="L129" s="469">
        <v>5338250.0</v>
      </c>
      <c r="M129" s="469">
        <v>302908.0</v>
      </c>
      <c r="N129" s="475">
        <v>0.0</v>
      </c>
      <c r="O129" s="475">
        <v>0.0</v>
      </c>
      <c r="P129" s="469">
        <v>33558.0</v>
      </c>
      <c r="Q129" s="24"/>
      <c r="R129" s="476">
        <v>39783.0</v>
      </c>
      <c r="S129" s="482">
        <v>0.0</v>
      </c>
      <c r="T129" s="482">
        <v>0.0</v>
      </c>
      <c r="U129" s="482">
        <v>0.0</v>
      </c>
      <c r="V129" s="482">
        <v>0.0</v>
      </c>
      <c r="W129" s="482">
        <v>0.0</v>
      </c>
      <c r="X129" s="482">
        <v>0.0</v>
      </c>
      <c r="Y129" s="482">
        <v>0.0</v>
      </c>
      <c r="Z129" s="482">
        <v>0.0</v>
      </c>
      <c r="AA129" s="482">
        <v>0.0</v>
      </c>
    </row>
    <row r="130" ht="12.75" customHeight="1">
      <c r="A130" s="24"/>
      <c r="B130" s="24"/>
      <c r="C130" s="24"/>
      <c r="D130" s="24"/>
      <c r="E130" s="24"/>
      <c r="F130" s="24"/>
      <c r="G130" s="470"/>
      <c r="H130" s="470"/>
      <c r="I130" s="470"/>
      <c r="J130" s="470"/>
      <c r="K130" s="470"/>
      <c r="L130" s="470"/>
      <c r="M130" s="470"/>
      <c r="N130" s="470"/>
      <c r="O130" s="470"/>
      <c r="P130" s="470"/>
      <c r="Q130" s="24"/>
      <c r="R130" s="471"/>
      <c r="S130" s="481"/>
      <c r="T130" s="481"/>
      <c r="U130" s="481"/>
      <c r="V130" s="481"/>
      <c r="W130" s="481"/>
      <c r="X130" s="481"/>
      <c r="Y130" s="481"/>
      <c r="Z130" s="481"/>
      <c r="AA130" s="481"/>
    </row>
    <row r="131" ht="12.75" customHeight="1">
      <c r="A131" s="24"/>
      <c r="B131" s="24"/>
      <c r="C131" s="24"/>
      <c r="D131" s="24"/>
      <c r="E131" s="24"/>
      <c r="F131" s="24"/>
      <c r="G131" s="474">
        <v>39814.0</v>
      </c>
      <c r="H131" s="469">
        <v>7393329.0</v>
      </c>
      <c r="I131" s="469">
        <v>1609886.0</v>
      </c>
      <c r="J131" s="469">
        <v>15976.0</v>
      </c>
      <c r="K131" s="469">
        <v>94302.0</v>
      </c>
      <c r="L131" s="469">
        <v>5314738.0</v>
      </c>
      <c r="M131" s="469">
        <v>304437.0</v>
      </c>
      <c r="N131" s="475">
        <v>0.0</v>
      </c>
      <c r="O131" s="469">
        <v>5967.0</v>
      </c>
      <c r="P131" s="469">
        <v>48023.0</v>
      </c>
      <c r="Q131" s="24"/>
      <c r="R131" s="476">
        <v>39814.0</v>
      </c>
      <c r="S131" s="482">
        <v>0.0</v>
      </c>
      <c r="T131" s="482">
        <v>0.0</v>
      </c>
      <c r="U131" s="482">
        <v>0.0</v>
      </c>
      <c r="V131" s="482">
        <v>0.0</v>
      </c>
      <c r="W131" s="482">
        <v>0.0</v>
      </c>
      <c r="X131" s="482">
        <v>0.0</v>
      </c>
      <c r="Y131" s="482">
        <v>0.0</v>
      </c>
      <c r="Z131" s="482">
        <v>0.0</v>
      </c>
      <c r="AA131" s="482">
        <v>0.0</v>
      </c>
    </row>
    <row r="132" ht="12.75" customHeight="1">
      <c r="A132" s="24"/>
      <c r="B132" s="24"/>
      <c r="C132" s="24"/>
      <c r="D132" s="24"/>
      <c r="E132" s="24"/>
      <c r="F132" s="24"/>
      <c r="G132" s="474">
        <v>39845.0</v>
      </c>
      <c r="H132" s="469">
        <v>6276628.0</v>
      </c>
      <c r="I132" s="469">
        <v>1348143.0</v>
      </c>
      <c r="J132" s="469">
        <v>13808.0</v>
      </c>
      <c r="K132" s="469">
        <v>76663.0</v>
      </c>
      <c r="L132" s="469">
        <v>4496247.0</v>
      </c>
      <c r="M132" s="469">
        <v>253819.0</v>
      </c>
      <c r="N132" s="475">
        <v>0.0</v>
      </c>
      <c r="O132" s="475">
        <v>0.0</v>
      </c>
      <c r="P132" s="469">
        <v>87947.0</v>
      </c>
      <c r="Q132" s="24"/>
      <c r="R132" s="476">
        <v>39845.0</v>
      </c>
      <c r="S132" s="482">
        <v>0.0</v>
      </c>
      <c r="T132" s="482">
        <v>0.0</v>
      </c>
      <c r="U132" s="482">
        <v>0.0</v>
      </c>
      <c r="V132" s="482">
        <v>0.0</v>
      </c>
      <c r="W132" s="482">
        <v>0.0</v>
      </c>
      <c r="X132" s="482">
        <v>0.0</v>
      </c>
      <c r="Y132" s="482">
        <v>0.0</v>
      </c>
      <c r="Z132" s="482">
        <v>0.0</v>
      </c>
      <c r="AA132" s="482">
        <v>0.0</v>
      </c>
    </row>
    <row r="133" ht="12.75" customHeight="1">
      <c r="A133" s="24"/>
      <c r="B133" s="24"/>
      <c r="C133" s="24"/>
      <c r="D133" s="24"/>
      <c r="E133" s="24"/>
      <c r="F133" s="24"/>
      <c r="G133" s="474">
        <v>39873.0</v>
      </c>
      <c r="H133" s="469">
        <v>7319007.0</v>
      </c>
      <c r="I133" s="469">
        <v>156196.0</v>
      </c>
      <c r="J133" s="469">
        <v>15723.0</v>
      </c>
      <c r="K133" s="469">
        <v>92428.0</v>
      </c>
      <c r="L133" s="469">
        <v>5330076.0</v>
      </c>
      <c r="M133" s="469">
        <v>295044.0</v>
      </c>
      <c r="N133" s="475">
        <v>0.0</v>
      </c>
      <c r="O133" s="475">
        <v>0.0</v>
      </c>
      <c r="P133" s="469">
        <v>22540.0</v>
      </c>
      <c r="Q133" s="24"/>
      <c r="R133" s="476">
        <v>39873.0</v>
      </c>
      <c r="S133" s="482">
        <v>0.0</v>
      </c>
      <c r="T133" s="482">
        <v>0.0</v>
      </c>
      <c r="U133" s="482">
        <v>0.0</v>
      </c>
      <c r="V133" s="482">
        <v>0.0</v>
      </c>
      <c r="W133" s="482">
        <v>0.0</v>
      </c>
      <c r="X133" s="482">
        <v>0.0</v>
      </c>
      <c r="Y133" s="482">
        <v>0.0</v>
      </c>
      <c r="Z133" s="482">
        <v>0.0</v>
      </c>
      <c r="AA133" s="482">
        <v>0.0</v>
      </c>
    </row>
    <row r="134" ht="12.75" customHeight="1">
      <c r="A134" s="24"/>
      <c r="B134" s="24"/>
      <c r="C134" s="24"/>
      <c r="D134" s="24"/>
      <c r="E134" s="24"/>
      <c r="F134" s="24"/>
      <c r="G134" s="474">
        <v>39904.0</v>
      </c>
      <c r="H134" s="469">
        <v>6683170.0</v>
      </c>
      <c r="I134" s="469">
        <v>1672793.0</v>
      </c>
      <c r="J134" s="469">
        <v>14671.0</v>
      </c>
      <c r="K134" s="469">
        <v>72166.0</v>
      </c>
      <c r="L134" s="469">
        <v>4538935.0</v>
      </c>
      <c r="M134" s="469">
        <v>286878.0</v>
      </c>
      <c r="N134" s="475">
        <v>0.0</v>
      </c>
      <c r="O134" s="469">
        <v>55882.0</v>
      </c>
      <c r="P134" s="469">
        <v>41845.0</v>
      </c>
      <c r="Q134" s="24"/>
      <c r="R134" s="476">
        <v>39904.0</v>
      </c>
      <c r="S134" s="482">
        <v>0.0</v>
      </c>
      <c r="T134" s="482">
        <v>0.0</v>
      </c>
      <c r="U134" s="482">
        <v>0.0</v>
      </c>
      <c r="V134" s="482">
        <v>0.0</v>
      </c>
      <c r="W134" s="482">
        <v>0.0</v>
      </c>
      <c r="X134" s="482">
        <v>0.0</v>
      </c>
      <c r="Y134" s="482">
        <v>0.0</v>
      </c>
      <c r="Z134" s="482">
        <v>0.0</v>
      </c>
      <c r="AA134" s="482">
        <v>0.0</v>
      </c>
    </row>
    <row r="135" ht="12.75" customHeight="1">
      <c r="A135" s="24"/>
      <c r="B135" s="24"/>
      <c r="C135" s="24"/>
      <c r="D135" s="24"/>
      <c r="E135" s="24"/>
      <c r="F135" s="24"/>
      <c r="G135" s="474">
        <v>39934.0</v>
      </c>
      <c r="H135" s="469">
        <v>6846927.0</v>
      </c>
      <c r="I135" s="469">
        <v>1957820.0</v>
      </c>
      <c r="J135" s="469">
        <v>13712.0</v>
      </c>
      <c r="K135" s="469">
        <v>60112.0</v>
      </c>
      <c r="L135" s="469">
        <v>4266417.0</v>
      </c>
      <c r="M135" s="469">
        <v>308462.0</v>
      </c>
      <c r="N135" s="475">
        <v>0.0</v>
      </c>
      <c r="O135" s="469">
        <v>221059.0</v>
      </c>
      <c r="P135" s="469">
        <v>19990.0</v>
      </c>
      <c r="Q135" s="24"/>
      <c r="R135" s="476">
        <v>39934.0</v>
      </c>
      <c r="S135" s="482">
        <v>0.0</v>
      </c>
      <c r="T135" s="482">
        <v>0.0</v>
      </c>
      <c r="U135" s="482">
        <v>0.0</v>
      </c>
      <c r="V135" s="482">
        <v>0.0</v>
      </c>
      <c r="W135" s="482">
        <v>0.0</v>
      </c>
      <c r="X135" s="482">
        <v>0.0</v>
      </c>
      <c r="Y135" s="482">
        <v>0.0</v>
      </c>
      <c r="Z135" s="482">
        <v>0.0</v>
      </c>
      <c r="AA135" s="482">
        <v>0.0</v>
      </c>
    </row>
    <row r="136" ht="12.75" customHeight="1">
      <c r="A136" s="24"/>
      <c r="B136" s="24"/>
      <c r="C136" s="24"/>
      <c r="D136" s="24"/>
      <c r="E136" s="24"/>
      <c r="F136" s="24"/>
      <c r="G136" s="474">
        <v>39965.0</v>
      </c>
      <c r="H136" s="469">
        <v>6733396.0</v>
      </c>
      <c r="I136" s="469">
        <v>1879994.0</v>
      </c>
      <c r="J136" s="469">
        <v>11967.0</v>
      </c>
      <c r="K136" s="469">
        <v>66006.0</v>
      </c>
      <c r="L136" s="469">
        <v>4284383.0</v>
      </c>
      <c r="M136" s="469">
        <v>292894.0</v>
      </c>
      <c r="N136" s="475">
        <v>0.0</v>
      </c>
      <c r="O136" s="469">
        <v>241450.0</v>
      </c>
      <c r="P136" s="469">
        <v>-43298.0</v>
      </c>
      <c r="Q136" s="24"/>
      <c r="R136" s="476">
        <v>39965.0</v>
      </c>
      <c r="S136" s="482">
        <v>0.0</v>
      </c>
      <c r="T136" s="482">
        <v>0.0</v>
      </c>
      <c r="U136" s="482">
        <v>0.0</v>
      </c>
      <c r="V136" s="482">
        <v>0.0</v>
      </c>
      <c r="W136" s="482">
        <v>0.0</v>
      </c>
      <c r="X136" s="482">
        <v>0.0</v>
      </c>
      <c r="Y136" s="482">
        <v>0.0</v>
      </c>
      <c r="Z136" s="482">
        <v>0.0</v>
      </c>
      <c r="AA136" s="482">
        <v>0.0</v>
      </c>
    </row>
    <row r="137" ht="12.75" customHeight="1">
      <c r="A137" s="24"/>
      <c r="B137" s="24"/>
      <c r="C137" s="24"/>
      <c r="D137" s="24"/>
      <c r="E137" s="24"/>
      <c r="F137" s="24"/>
      <c r="G137" s="474">
        <v>39995.0</v>
      </c>
      <c r="H137" s="469">
        <v>4486457.0</v>
      </c>
      <c r="I137" s="469">
        <v>1224218.0</v>
      </c>
      <c r="J137" s="469">
        <v>8300.0</v>
      </c>
      <c r="K137" s="469">
        <v>49349.0</v>
      </c>
      <c r="L137" s="469">
        <v>2975497.0</v>
      </c>
      <c r="M137" s="469">
        <v>191086.0</v>
      </c>
      <c r="N137" s="475">
        <v>0.0</v>
      </c>
      <c r="O137" s="469">
        <v>3673.0</v>
      </c>
      <c r="P137" s="469">
        <v>34334.0</v>
      </c>
      <c r="Q137" s="24"/>
      <c r="R137" s="476">
        <v>39995.0</v>
      </c>
      <c r="S137" s="482">
        <v>0.0</v>
      </c>
      <c r="T137" s="482">
        <v>0.0</v>
      </c>
      <c r="U137" s="482">
        <v>0.0</v>
      </c>
      <c r="V137" s="482">
        <v>0.0</v>
      </c>
      <c r="W137" s="482">
        <v>0.0</v>
      </c>
      <c r="X137" s="482">
        <v>0.0</v>
      </c>
      <c r="Y137" s="482">
        <v>0.0</v>
      </c>
      <c r="Z137" s="482">
        <v>0.0</v>
      </c>
      <c r="AA137" s="482">
        <v>0.0</v>
      </c>
    </row>
    <row r="138" ht="12.75" customHeight="1">
      <c r="A138" s="24"/>
      <c r="B138" s="24"/>
      <c r="C138" s="24"/>
      <c r="D138" s="24"/>
      <c r="E138" s="24"/>
      <c r="F138" s="24"/>
      <c r="G138" s="474">
        <v>40026.0</v>
      </c>
      <c r="H138" s="469">
        <v>452872.0</v>
      </c>
      <c r="I138" s="469">
        <v>85376.0</v>
      </c>
      <c r="J138" s="469">
        <v>2617.0</v>
      </c>
      <c r="K138" s="475">
        <v>0.0</v>
      </c>
      <c r="L138" s="469">
        <v>128756.0</v>
      </c>
      <c r="M138" s="469">
        <v>12905.0</v>
      </c>
      <c r="N138" s="475">
        <v>0.0</v>
      </c>
      <c r="O138" s="469">
        <v>1918.0</v>
      </c>
      <c r="P138" s="469">
        <v>221300.0</v>
      </c>
      <c r="Q138" s="24"/>
      <c r="R138" s="476">
        <v>40026.0</v>
      </c>
      <c r="S138" s="482">
        <v>0.0</v>
      </c>
      <c r="T138" s="482">
        <v>0.0</v>
      </c>
      <c r="U138" s="482">
        <v>0.0</v>
      </c>
      <c r="V138" s="482">
        <v>0.0</v>
      </c>
      <c r="W138" s="482">
        <v>0.0</v>
      </c>
      <c r="X138" s="482">
        <v>0.0</v>
      </c>
      <c r="Y138" s="482">
        <v>0.0</v>
      </c>
      <c r="Z138" s="482">
        <v>0.0</v>
      </c>
      <c r="AA138" s="482">
        <v>0.0</v>
      </c>
    </row>
    <row r="139" ht="12.75" customHeight="1">
      <c r="A139" s="24"/>
      <c r="B139" s="24"/>
      <c r="C139" s="24"/>
      <c r="D139" s="24"/>
      <c r="E139" s="24"/>
      <c r="F139" s="24"/>
      <c r="G139" s="474">
        <v>40057.0</v>
      </c>
      <c r="H139" s="469">
        <v>6250121.0</v>
      </c>
      <c r="I139" s="469">
        <v>1429151.0</v>
      </c>
      <c r="J139" s="469">
        <v>11402.0</v>
      </c>
      <c r="K139" s="469">
        <v>67167.0</v>
      </c>
      <c r="L139" s="469">
        <v>4392007.0</v>
      </c>
      <c r="M139" s="469">
        <v>243730.0</v>
      </c>
      <c r="N139" s="475">
        <v>0.0</v>
      </c>
      <c r="O139" s="475">
        <v>0.0</v>
      </c>
      <c r="P139" s="469">
        <v>106665.0</v>
      </c>
      <c r="Q139" s="24"/>
      <c r="R139" s="476">
        <v>40057.0</v>
      </c>
      <c r="S139" s="482">
        <v>0.0</v>
      </c>
      <c r="T139" s="482">
        <v>0.0</v>
      </c>
      <c r="U139" s="482">
        <v>0.0</v>
      </c>
      <c r="V139" s="482">
        <v>0.0</v>
      </c>
      <c r="W139" s="482">
        <v>0.0</v>
      </c>
      <c r="X139" s="482">
        <v>0.0</v>
      </c>
      <c r="Y139" s="482">
        <v>0.0</v>
      </c>
      <c r="Z139" s="482">
        <v>0.0</v>
      </c>
      <c r="AA139" s="482">
        <v>0.0</v>
      </c>
    </row>
    <row r="140" ht="12.75" customHeight="1">
      <c r="A140" s="24"/>
      <c r="B140" s="24"/>
      <c r="C140" s="24"/>
      <c r="D140" s="24"/>
      <c r="E140" s="24"/>
      <c r="F140" s="24"/>
      <c r="G140" s="474">
        <v>40087.0</v>
      </c>
      <c r="H140" s="469">
        <v>6964281.0</v>
      </c>
      <c r="I140" s="469">
        <v>1498067.0</v>
      </c>
      <c r="J140" s="469">
        <v>14642.0</v>
      </c>
      <c r="K140" s="469">
        <v>86772.0</v>
      </c>
      <c r="L140" s="469">
        <v>4980844.0</v>
      </c>
      <c r="M140" s="469">
        <v>268846.0</v>
      </c>
      <c r="N140" s="475">
        <v>0.0</v>
      </c>
      <c r="O140" s="475">
        <v>0.0</v>
      </c>
      <c r="P140" s="469">
        <v>115110.0</v>
      </c>
      <c r="Q140" s="24"/>
      <c r="R140" s="476">
        <v>40087.0</v>
      </c>
      <c r="S140" s="482">
        <v>0.0</v>
      </c>
      <c r="T140" s="482">
        <v>0.0</v>
      </c>
      <c r="U140" s="482">
        <v>0.0</v>
      </c>
      <c r="V140" s="482">
        <v>0.0</v>
      </c>
      <c r="W140" s="482">
        <v>0.0</v>
      </c>
      <c r="X140" s="482">
        <v>0.0</v>
      </c>
      <c r="Y140" s="482">
        <v>0.0</v>
      </c>
      <c r="Z140" s="482">
        <v>0.0</v>
      </c>
      <c r="AA140" s="482">
        <v>0.0</v>
      </c>
    </row>
    <row r="141" ht="12.75" customHeight="1">
      <c r="A141" s="24"/>
      <c r="B141" s="24"/>
      <c r="C141" s="24"/>
      <c r="D141" s="24"/>
      <c r="E141" s="24"/>
      <c r="F141" s="24"/>
      <c r="G141" s="474">
        <v>40118.0</v>
      </c>
      <c r="H141" s="469">
        <v>7083477.0</v>
      </c>
      <c r="I141" s="469">
        <v>1774452.0</v>
      </c>
      <c r="J141" s="469">
        <v>14587.0</v>
      </c>
      <c r="K141" s="469">
        <v>82957.0</v>
      </c>
      <c r="L141" s="469">
        <v>4847161.0</v>
      </c>
      <c r="M141" s="469">
        <v>289109.0</v>
      </c>
      <c r="N141" s="475">
        <v>0.0</v>
      </c>
      <c r="O141" s="475">
        <v>0.0</v>
      </c>
      <c r="P141" s="469">
        <v>75211.0</v>
      </c>
      <c r="Q141" s="24"/>
      <c r="R141" s="476">
        <v>40118.0</v>
      </c>
      <c r="S141" s="482">
        <v>0.0</v>
      </c>
      <c r="T141" s="482">
        <v>0.0</v>
      </c>
      <c r="U141" s="482">
        <v>0.0</v>
      </c>
      <c r="V141" s="482">
        <v>0.0</v>
      </c>
      <c r="W141" s="482">
        <v>0.0</v>
      </c>
      <c r="X141" s="482">
        <v>0.0</v>
      </c>
      <c r="Y141" s="482">
        <v>0.0</v>
      </c>
      <c r="Z141" s="482">
        <v>0.0</v>
      </c>
      <c r="AA141" s="482">
        <v>0.0</v>
      </c>
    </row>
    <row r="142" ht="12.75" customHeight="1">
      <c r="A142" s="24"/>
      <c r="B142" s="24"/>
      <c r="C142" s="24"/>
      <c r="D142" s="24"/>
      <c r="E142" s="24"/>
      <c r="F142" s="24"/>
      <c r="G142" s="474">
        <v>40148.0</v>
      </c>
      <c r="H142" s="469">
        <v>7340389.0</v>
      </c>
      <c r="I142" s="469">
        <v>1943429.0</v>
      </c>
      <c r="J142" s="469">
        <v>16130.0</v>
      </c>
      <c r="K142" s="469">
        <v>89900.0</v>
      </c>
      <c r="L142" s="469">
        <v>4941048.0</v>
      </c>
      <c r="M142" s="469">
        <v>307865.0</v>
      </c>
      <c r="N142" s="475">
        <v>0.0</v>
      </c>
      <c r="O142" s="475">
        <v>0.0</v>
      </c>
      <c r="P142" s="469">
        <v>42017.0</v>
      </c>
      <c r="Q142" s="24"/>
      <c r="R142" s="476">
        <v>40148.0</v>
      </c>
      <c r="S142" s="482">
        <v>0.0</v>
      </c>
      <c r="T142" s="482">
        <v>0.0</v>
      </c>
      <c r="U142" s="482">
        <v>0.0</v>
      </c>
      <c r="V142" s="482">
        <v>0.0</v>
      </c>
      <c r="W142" s="482">
        <v>0.0</v>
      </c>
      <c r="X142" s="482">
        <v>0.0</v>
      </c>
      <c r="Y142" s="482">
        <v>0.0</v>
      </c>
      <c r="Z142" s="482">
        <v>0.0</v>
      </c>
      <c r="AA142" s="482">
        <v>0.0</v>
      </c>
    </row>
    <row r="143" ht="12.75" customHeight="1">
      <c r="A143" s="24"/>
      <c r="B143" s="24"/>
      <c r="C143" s="24"/>
      <c r="D143" s="24"/>
      <c r="E143" s="24"/>
      <c r="F143" s="24"/>
      <c r="G143" s="470"/>
      <c r="H143" s="470"/>
      <c r="I143" s="470"/>
      <c r="J143" s="470"/>
      <c r="K143" s="470"/>
      <c r="L143" s="470"/>
      <c r="M143" s="470"/>
      <c r="N143" s="470"/>
      <c r="O143" s="470"/>
      <c r="P143" s="470"/>
      <c r="Q143" s="24"/>
      <c r="R143" s="471"/>
      <c r="S143" s="481"/>
      <c r="T143" s="481"/>
      <c r="U143" s="481"/>
      <c r="V143" s="481"/>
      <c r="W143" s="481"/>
      <c r="X143" s="481"/>
      <c r="Y143" s="481"/>
      <c r="Z143" s="481"/>
      <c r="AA143" s="481"/>
    </row>
    <row r="144" ht="12.75" customHeight="1">
      <c r="A144" s="24"/>
      <c r="B144" s="24"/>
      <c r="C144" s="24"/>
      <c r="D144" s="24"/>
      <c r="E144" s="24"/>
      <c r="F144" s="24"/>
      <c r="G144" s="474">
        <v>40179.0</v>
      </c>
      <c r="H144" s="469">
        <v>7537386.0</v>
      </c>
      <c r="I144" s="469">
        <v>2042920.0</v>
      </c>
      <c r="J144" s="469">
        <v>15333.0</v>
      </c>
      <c r="K144" s="469">
        <v>90150.0</v>
      </c>
      <c r="L144" s="469">
        <v>5045925.0</v>
      </c>
      <c r="M144" s="469">
        <v>317497.0</v>
      </c>
      <c r="N144" s="475">
        <v>0.0</v>
      </c>
      <c r="O144" s="475">
        <v>0.0</v>
      </c>
      <c r="P144" s="469">
        <v>25561.0</v>
      </c>
      <c r="Q144" s="24"/>
      <c r="R144" s="476">
        <v>40179.0</v>
      </c>
      <c r="S144" s="482">
        <v>0.0</v>
      </c>
      <c r="T144" s="482">
        <v>0.0</v>
      </c>
      <c r="U144" s="482">
        <v>0.0</v>
      </c>
      <c r="V144" s="482">
        <v>0.0</v>
      </c>
      <c r="W144" s="482">
        <v>0.0</v>
      </c>
      <c r="X144" s="482">
        <v>0.0</v>
      </c>
      <c r="Y144" s="482">
        <v>0.0</v>
      </c>
      <c r="Z144" s="482">
        <v>0.0</v>
      </c>
      <c r="AA144" s="482">
        <v>0.0</v>
      </c>
    </row>
    <row r="145" ht="12.75" customHeight="1">
      <c r="A145" s="24"/>
      <c r="B145" s="24"/>
      <c r="C145" s="24"/>
      <c r="D145" s="24"/>
      <c r="E145" s="24"/>
      <c r="F145" s="24"/>
      <c r="G145" s="474">
        <v>40210.0</v>
      </c>
      <c r="H145" s="469">
        <v>6708667.0</v>
      </c>
      <c r="I145" s="469">
        <v>1805575.0</v>
      </c>
      <c r="J145" s="469">
        <v>14269.0</v>
      </c>
      <c r="K145" s="469">
        <v>80169.0</v>
      </c>
      <c r="L145" s="469">
        <v>4494010.0</v>
      </c>
      <c r="M145" s="469">
        <v>300887.0</v>
      </c>
      <c r="N145" s="475">
        <v>0.0</v>
      </c>
      <c r="O145" s="469">
        <v>45574.0</v>
      </c>
      <c r="P145" s="469">
        <v>-31817.0</v>
      </c>
      <c r="Q145" s="24"/>
      <c r="R145" s="476">
        <v>40210.0</v>
      </c>
      <c r="S145" s="482">
        <v>0.0</v>
      </c>
      <c r="T145" s="482">
        <v>0.0</v>
      </c>
      <c r="U145" s="482">
        <v>0.0</v>
      </c>
      <c r="V145" s="482">
        <v>0.0</v>
      </c>
      <c r="W145" s="482">
        <v>0.0</v>
      </c>
      <c r="X145" s="482">
        <v>0.0</v>
      </c>
      <c r="Y145" s="482">
        <v>0.0</v>
      </c>
      <c r="Z145" s="482">
        <v>0.0</v>
      </c>
      <c r="AA145" s="482">
        <v>0.0</v>
      </c>
    </row>
    <row r="146" ht="12.75" customHeight="1">
      <c r="A146" s="24"/>
      <c r="B146" s="24"/>
      <c r="C146" s="24"/>
      <c r="D146" s="24"/>
      <c r="E146" s="24"/>
      <c r="F146" s="24"/>
      <c r="G146" s="474">
        <v>40238.0</v>
      </c>
      <c r="H146" s="469">
        <v>7306054.0</v>
      </c>
      <c r="I146" s="469">
        <v>1963077.0</v>
      </c>
      <c r="J146" s="469">
        <v>15490.0</v>
      </c>
      <c r="K146" s="469">
        <v>86904.0</v>
      </c>
      <c r="L146" s="469">
        <v>4904700.0</v>
      </c>
      <c r="M146" s="469">
        <v>303486.0</v>
      </c>
      <c r="N146" s="475">
        <v>0.0</v>
      </c>
      <c r="O146" s="469">
        <v>33285.0</v>
      </c>
      <c r="P146" s="475">
        <v>-888.0</v>
      </c>
      <c r="Q146" s="24"/>
      <c r="R146" s="476">
        <v>40238.0</v>
      </c>
      <c r="S146" s="482">
        <v>0.0</v>
      </c>
      <c r="T146" s="482">
        <v>0.0</v>
      </c>
      <c r="U146" s="482">
        <v>0.0</v>
      </c>
      <c r="V146" s="482">
        <v>0.0</v>
      </c>
      <c r="W146" s="482">
        <v>0.0</v>
      </c>
      <c r="X146" s="482">
        <v>0.0</v>
      </c>
      <c r="Y146" s="482">
        <v>0.0</v>
      </c>
      <c r="Z146" s="482">
        <v>0.0</v>
      </c>
      <c r="AA146" s="482">
        <v>0.0</v>
      </c>
    </row>
    <row r="147" ht="12.75" customHeight="1">
      <c r="A147" s="24"/>
      <c r="B147" s="24"/>
      <c r="C147" s="24"/>
      <c r="D147" s="24"/>
      <c r="E147" s="24"/>
      <c r="F147" s="24"/>
      <c r="G147" s="474">
        <v>40269.0</v>
      </c>
      <c r="H147" s="469">
        <v>7199310.0</v>
      </c>
      <c r="I147" s="469">
        <v>1892488.0</v>
      </c>
      <c r="J147" s="469">
        <v>14589.0</v>
      </c>
      <c r="K147" s="469">
        <v>85076.0</v>
      </c>
      <c r="L147" s="469">
        <v>4878443.0</v>
      </c>
      <c r="M147" s="469">
        <v>297532.0</v>
      </c>
      <c r="N147" s="475">
        <v>0.0</v>
      </c>
      <c r="O147" s="469">
        <v>28149.0</v>
      </c>
      <c r="P147" s="469">
        <v>-2361.0</v>
      </c>
      <c r="Q147" s="24"/>
      <c r="R147" s="476">
        <v>40269.0</v>
      </c>
      <c r="S147" s="482">
        <v>0.0</v>
      </c>
      <c r="T147" s="482">
        <v>0.0</v>
      </c>
      <c r="U147" s="482">
        <v>0.0</v>
      </c>
      <c r="V147" s="482">
        <v>0.0</v>
      </c>
      <c r="W147" s="482">
        <v>0.0</v>
      </c>
      <c r="X147" s="482">
        <v>0.0</v>
      </c>
      <c r="Y147" s="482">
        <v>0.0</v>
      </c>
      <c r="Z147" s="482">
        <v>0.0</v>
      </c>
      <c r="AA147" s="482">
        <v>0.0</v>
      </c>
    </row>
    <row r="148" ht="12.75" customHeight="1">
      <c r="A148" s="24"/>
      <c r="B148" s="24"/>
      <c r="C148" s="24"/>
      <c r="D148" s="24"/>
      <c r="E148" s="24"/>
      <c r="F148" s="24"/>
      <c r="G148" s="474">
        <v>40299.0</v>
      </c>
      <c r="H148" s="469">
        <v>7352160.0</v>
      </c>
      <c r="I148" s="469">
        <v>1877246.0</v>
      </c>
      <c r="J148" s="469">
        <v>14222.0</v>
      </c>
      <c r="K148" s="469">
        <v>86761.0</v>
      </c>
      <c r="L148" s="469">
        <v>4998629.0</v>
      </c>
      <c r="M148" s="469">
        <v>299419.0</v>
      </c>
      <c r="N148" s="475">
        <v>0.0</v>
      </c>
      <c r="O148" s="469">
        <v>66991.0</v>
      </c>
      <c r="P148" s="469">
        <v>8893.0</v>
      </c>
      <c r="Q148" s="24"/>
      <c r="R148" s="476">
        <v>40299.0</v>
      </c>
      <c r="S148" s="482">
        <v>0.0</v>
      </c>
      <c r="T148" s="482">
        <v>0.0</v>
      </c>
      <c r="U148" s="482">
        <v>0.0</v>
      </c>
      <c r="V148" s="482">
        <v>0.0</v>
      </c>
      <c r="W148" s="482">
        <v>0.0</v>
      </c>
      <c r="X148" s="482">
        <v>0.0</v>
      </c>
      <c r="Y148" s="482">
        <v>0.0</v>
      </c>
      <c r="Z148" s="482">
        <v>0.0</v>
      </c>
      <c r="AA148" s="482">
        <v>0.0</v>
      </c>
    </row>
    <row r="149" ht="12.75" customHeight="1">
      <c r="A149" s="24"/>
      <c r="B149" s="24"/>
      <c r="C149" s="24"/>
      <c r="D149" s="24"/>
      <c r="E149" s="24"/>
      <c r="F149" s="24"/>
      <c r="G149" s="474">
        <v>40330.0</v>
      </c>
      <c r="H149" s="469">
        <v>7139658.0</v>
      </c>
      <c r="I149" s="469">
        <v>1844048.0</v>
      </c>
      <c r="J149" s="469">
        <v>11630.0</v>
      </c>
      <c r="K149" s="469">
        <v>78945.0</v>
      </c>
      <c r="L149" s="469">
        <v>4879367.0</v>
      </c>
      <c r="M149" s="469">
        <v>289213.0</v>
      </c>
      <c r="N149" s="475">
        <v>0.0</v>
      </c>
      <c r="O149" s="469">
        <v>32882.0</v>
      </c>
      <c r="P149" s="469">
        <v>3573.0</v>
      </c>
      <c r="Q149" s="24"/>
      <c r="R149" s="476">
        <v>40330.0</v>
      </c>
      <c r="S149" s="482">
        <v>0.0</v>
      </c>
      <c r="T149" s="482">
        <v>0.0</v>
      </c>
      <c r="U149" s="482">
        <v>0.0</v>
      </c>
      <c r="V149" s="482">
        <v>0.0</v>
      </c>
      <c r="W149" s="482">
        <v>0.0</v>
      </c>
      <c r="X149" s="482">
        <v>0.0</v>
      </c>
      <c r="Y149" s="482">
        <v>0.0</v>
      </c>
      <c r="Z149" s="482">
        <v>0.0</v>
      </c>
      <c r="AA149" s="482">
        <v>0.0</v>
      </c>
    </row>
    <row r="150" ht="12.75" customHeight="1">
      <c r="A150" s="24"/>
      <c r="B150" s="24"/>
      <c r="C150" s="24"/>
      <c r="D150" s="24"/>
      <c r="E150" s="24"/>
      <c r="F150" s="24"/>
      <c r="G150" s="474">
        <v>40360.0</v>
      </c>
      <c r="H150" s="469">
        <v>7339179.0</v>
      </c>
      <c r="I150" s="469">
        <v>1876973.0</v>
      </c>
      <c r="J150" s="469">
        <v>11397.0</v>
      </c>
      <c r="K150" s="469">
        <v>84944.0</v>
      </c>
      <c r="L150" s="469">
        <v>5046124.0</v>
      </c>
      <c r="M150" s="469">
        <v>296820.0</v>
      </c>
      <c r="N150" s="475">
        <v>0.0</v>
      </c>
      <c r="O150" s="469">
        <v>20560.0</v>
      </c>
      <c r="P150" s="469">
        <v>2361.0</v>
      </c>
      <c r="Q150" s="24"/>
      <c r="R150" s="476">
        <v>40360.0</v>
      </c>
      <c r="S150" s="482">
        <v>0.0</v>
      </c>
      <c r="T150" s="482">
        <v>0.0</v>
      </c>
      <c r="U150" s="482">
        <v>0.0</v>
      </c>
      <c r="V150" s="482">
        <v>0.0</v>
      </c>
      <c r="W150" s="482">
        <v>0.0</v>
      </c>
      <c r="X150" s="482">
        <v>0.0</v>
      </c>
      <c r="Y150" s="482">
        <v>0.0</v>
      </c>
      <c r="Z150" s="482">
        <v>0.0</v>
      </c>
      <c r="AA150" s="482">
        <v>0.0</v>
      </c>
    </row>
    <row r="151" ht="12.75" customHeight="1">
      <c r="A151" s="24"/>
      <c r="B151" s="24"/>
      <c r="C151" s="24"/>
      <c r="D151" s="24"/>
      <c r="E151" s="24"/>
      <c r="F151" s="24"/>
      <c r="G151" s="474">
        <v>40391.0</v>
      </c>
      <c r="H151" s="469">
        <v>7316539.0</v>
      </c>
      <c r="I151" s="469">
        <v>1866238.0</v>
      </c>
      <c r="J151" s="469">
        <v>11467.0</v>
      </c>
      <c r="K151" s="469">
        <v>83441.0</v>
      </c>
      <c r="L151" s="469">
        <v>5034971.0</v>
      </c>
      <c r="M151" s="469">
        <v>291777.0</v>
      </c>
      <c r="N151" s="475">
        <v>0.0</v>
      </c>
      <c r="O151" s="469">
        <v>40117.0</v>
      </c>
      <c r="P151" s="469">
        <v>-11472.0</v>
      </c>
      <c r="Q151" s="24"/>
      <c r="R151" s="476">
        <v>40391.0</v>
      </c>
      <c r="S151" s="482">
        <v>0.0</v>
      </c>
      <c r="T151" s="482">
        <v>0.0</v>
      </c>
      <c r="U151" s="482">
        <v>0.0</v>
      </c>
      <c r="V151" s="482">
        <v>0.0</v>
      </c>
      <c r="W151" s="482">
        <v>0.0</v>
      </c>
      <c r="X151" s="482">
        <v>0.0</v>
      </c>
      <c r="Y151" s="482">
        <v>0.0</v>
      </c>
      <c r="Z151" s="482">
        <v>0.0</v>
      </c>
      <c r="AA151" s="482">
        <v>0.0</v>
      </c>
    </row>
    <row r="152" ht="12.75" customHeight="1">
      <c r="A152" s="24"/>
      <c r="B152" s="24"/>
      <c r="C152" s="24"/>
      <c r="D152" s="24"/>
      <c r="E152" s="24"/>
      <c r="F152" s="24"/>
      <c r="G152" s="474">
        <v>40422.0</v>
      </c>
      <c r="H152" s="469">
        <v>7032497.0</v>
      </c>
      <c r="I152" s="469">
        <v>1787787.0</v>
      </c>
      <c r="J152" s="469">
        <v>11334.0</v>
      </c>
      <c r="K152" s="469">
        <v>76949.0</v>
      </c>
      <c r="L152" s="469">
        <v>4828827.0</v>
      </c>
      <c r="M152" s="469">
        <v>284297.0</v>
      </c>
      <c r="N152" s="475">
        <v>0.0</v>
      </c>
      <c r="O152" s="469">
        <v>10758.0</v>
      </c>
      <c r="P152" s="469">
        <v>32544.0</v>
      </c>
      <c r="Q152" s="24"/>
      <c r="R152" s="476">
        <v>40422.0</v>
      </c>
      <c r="S152" s="482">
        <v>0.0</v>
      </c>
      <c r="T152" s="482">
        <v>0.0</v>
      </c>
      <c r="U152" s="482">
        <v>0.0</v>
      </c>
      <c r="V152" s="482">
        <v>0.0</v>
      </c>
      <c r="W152" s="482">
        <v>0.0</v>
      </c>
      <c r="X152" s="482">
        <v>0.0</v>
      </c>
      <c r="Y152" s="482">
        <v>0.0</v>
      </c>
      <c r="Z152" s="482">
        <v>0.0</v>
      </c>
      <c r="AA152" s="482">
        <v>0.0</v>
      </c>
    </row>
    <row r="153" ht="12.75" customHeight="1">
      <c r="A153" s="24"/>
      <c r="B153" s="24"/>
      <c r="C153" s="24"/>
      <c r="D153" s="24"/>
      <c r="E153" s="24"/>
      <c r="F153" s="24"/>
      <c r="G153" s="474">
        <v>40452.0</v>
      </c>
      <c r="H153" s="469">
        <v>7178386.0</v>
      </c>
      <c r="I153" s="469">
        <v>1771208.0</v>
      </c>
      <c r="J153" s="469">
        <v>12749.0</v>
      </c>
      <c r="K153" s="469">
        <v>88625.0</v>
      </c>
      <c r="L153" s="469">
        <v>4970066.0</v>
      </c>
      <c r="M153" s="469">
        <v>287509.0</v>
      </c>
      <c r="N153" s="475">
        <v>0.0</v>
      </c>
      <c r="O153" s="469">
        <v>43596.0</v>
      </c>
      <c r="P153" s="469">
        <v>4634.0</v>
      </c>
      <c r="Q153" s="24"/>
      <c r="R153" s="476">
        <v>40452.0</v>
      </c>
      <c r="S153" s="482">
        <v>0.0</v>
      </c>
      <c r="T153" s="482">
        <v>0.0</v>
      </c>
      <c r="U153" s="482">
        <v>0.0</v>
      </c>
      <c r="V153" s="482">
        <v>0.0</v>
      </c>
      <c r="W153" s="482">
        <v>0.0</v>
      </c>
      <c r="X153" s="482">
        <v>0.0</v>
      </c>
      <c r="Y153" s="482">
        <v>0.0</v>
      </c>
      <c r="Z153" s="482">
        <v>0.0</v>
      </c>
      <c r="AA153" s="482">
        <v>0.0</v>
      </c>
    </row>
    <row r="154" ht="12.75" customHeight="1">
      <c r="A154" s="24"/>
      <c r="B154" s="24"/>
      <c r="C154" s="24"/>
      <c r="D154" s="24"/>
      <c r="E154" s="24"/>
      <c r="F154" s="24"/>
      <c r="G154" s="474">
        <v>40483.0</v>
      </c>
      <c r="H154" s="469">
        <v>6850022.0</v>
      </c>
      <c r="I154" s="469">
        <v>1668999.0</v>
      </c>
      <c r="J154" s="469">
        <v>13367.0</v>
      </c>
      <c r="K154" s="469">
        <v>83406.0</v>
      </c>
      <c r="L154" s="469">
        <v>4751999.0</v>
      </c>
      <c r="M154" s="469">
        <v>271852.0</v>
      </c>
      <c r="N154" s="475">
        <v>0.0</v>
      </c>
      <c r="O154" s="469">
        <v>39241.0</v>
      </c>
      <c r="P154" s="469">
        <v>21158.0</v>
      </c>
      <c r="Q154" s="24"/>
      <c r="R154" s="476">
        <v>40483.0</v>
      </c>
      <c r="S154" s="482">
        <v>0.0</v>
      </c>
      <c r="T154" s="482">
        <v>0.0</v>
      </c>
      <c r="U154" s="482">
        <v>0.0</v>
      </c>
      <c r="V154" s="482">
        <v>0.0</v>
      </c>
      <c r="W154" s="482">
        <v>0.0</v>
      </c>
      <c r="X154" s="482">
        <v>0.0</v>
      </c>
      <c r="Y154" s="482">
        <v>0.0</v>
      </c>
      <c r="Z154" s="482">
        <v>0.0</v>
      </c>
      <c r="AA154" s="482">
        <v>0.0</v>
      </c>
    </row>
    <row r="155" ht="12.75" customHeight="1">
      <c r="A155" s="24"/>
      <c r="B155" s="24"/>
      <c r="C155" s="24"/>
      <c r="D155" s="24"/>
      <c r="E155" s="24"/>
      <c r="F155" s="24"/>
      <c r="G155" s="474">
        <v>40513.0</v>
      </c>
      <c r="H155" s="475">
        <v>0.0</v>
      </c>
      <c r="I155" s="475">
        <v>0.0</v>
      </c>
      <c r="J155" s="475">
        <v>0.0</v>
      </c>
      <c r="K155" s="475">
        <v>0.0</v>
      </c>
      <c r="L155" s="475">
        <v>0.0</v>
      </c>
      <c r="M155" s="475">
        <v>0.0</v>
      </c>
      <c r="N155" s="475">
        <v>0.0</v>
      </c>
      <c r="O155" s="475">
        <v>0.0</v>
      </c>
      <c r="P155" s="475">
        <v>0.0</v>
      </c>
      <c r="Q155" s="24"/>
      <c r="R155" s="476">
        <v>40513.0</v>
      </c>
      <c r="S155" s="482">
        <v>0.0</v>
      </c>
      <c r="T155" s="482">
        <v>0.0</v>
      </c>
      <c r="U155" s="482">
        <v>0.0</v>
      </c>
      <c r="V155" s="482">
        <v>0.0</v>
      </c>
      <c r="W155" s="482">
        <v>0.0</v>
      </c>
      <c r="X155" s="482">
        <v>0.0</v>
      </c>
      <c r="Y155" s="482">
        <v>0.0</v>
      </c>
      <c r="Z155" s="482">
        <v>0.0</v>
      </c>
      <c r="AA155" s="482">
        <v>0.0</v>
      </c>
    </row>
    <row r="156" ht="12.75" customHeight="1">
      <c r="A156" s="24"/>
      <c r="B156" s="24"/>
      <c r="C156" s="24"/>
      <c r="D156" s="24"/>
      <c r="E156" s="24"/>
      <c r="F156" s="24"/>
      <c r="G156" s="470"/>
      <c r="H156" s="470"/>
      <c r="I156" s="470"/>
      <c r="J156" s="470"/>
      <c r="K156" s="470"/>
      <c r="L156" s="470"/>
      <c r="M156" s="470"/>
      <c r="N156" s="470"/>
      <c r="O156" s="470"/>
      <c r="P156" s="470"/>
      <c r="Q156" s="24"/>
      <c r="R156" s="471"/>
      <c r="S156" s="481"/>
      <c r="T156" s="481"/>
      <c r="U156" s="481"/>
      <c r="V156" s="481"/>
      <c r="W156" s="481"/>
      <c r="X156" s="481"/>
      <c r="Y156" s="481"/>
      <c r="Z156" s="481"/>
      <c r="AA156" s="481"/>
    </row>
    <row r="157" ht="12.75" customHeight="1">
      <c r="A157" s="24"/>
      <c r="B157" s="24"/>
      <c r="C157" s="24"/>
      <c r="D157" s="24"/>
      <c r="E157" s="24"/>
      <c r="F157" s="24"/>
      <c r="G157" s="474">
        <v>40544.0</v>
      </c>
      <c r="H157" s="469">
        <v>6873988.0</v>
      </c>
      <c r="I157" s="469">
        <v>1755132.0</v>
      </c>
      <c r="J157" s="469">
        <v>14530.0</v>
      </c>
      <c r="K157" s="469">
        <v>87331.0</v>
      </c>
      <c r="L157" s="469">
        <v>4620422.0</v>
      </c>
      <c r="M157" s="469">
        <v>162228.0</v>
      </c>
      <c r="N157" s="475">
        <v>0.0</v>
      </c>
      <c r="O157" s="469">
        <v>177528.0</v>
      </c>
      <c r="P157" s="469">
        <v>56817.0</v>
      </c>
      <c r="Q157" s="24"/>
      <c r="R157" s="476">
        <v>40544.0</v>
      </c>
      <c r="S157" s="482">
        <v>0.0</v>
      </c>
      <c r="T157" s="482">
        <v>0.0</v>
      </c>
      <c r="U157" s="482">
        <v>0.0</v>
      </c>
      <c r="V157" s="482">
        <v>0.0</v>
      </c>
      <c r="W157" s="482">
        <v>0.0</v>
      </c>
      <c r="X157" s="482">
        <v>0.0</v>
      </c>
      <c r="Y157" s="482">
        <v>0.0</v>
      </c>
      <c r="Z157" s="482">
        <v>0.0</v>
      </c>
      <c r="AA157" s="482">
        <v>0.0</v>
      </c>
    </row>
    <row r="158" ht="12.75" customHeight="1">
      <c r="A158" s="24"/>
      <c r="B158" s="24"/>
      <c r="C158" s="24"/>
      <c r="D158" s="24"/>
      <c r="E158" s="24"/>
      <c r="F158" s="24"/>
      <c r="G158" s="474">
        <v>40575.0</v>
      </c>
      <c r="H158" s="469">
        <v>6460939.0</v>
      </c>
      <c r="I158" s="469">
        <v>1677419.0</v>
      </c>
      <c r="J158" s="469">
        <v>13317.0</v>
      </c>
      <c r="K158" s="469">
        <v>8885.0</v>
      </c>
      <c r="L158" s="469">
        <v>4375292.0</v>
      </c>
      <c r="M158" s="469">
        <v>210830.0</v>
      </c>
      <c r="N158" s="475">
        <v>0.0</v>
      </c>
      <c r="O158" s="469">
        <v>43378.0</v>
      </c>
      <c r="P158" s="469">
        <v>56817.0</v>
      </c>
      <c r="Q158" s="24"/>
      <c r="R158" s="476">
        <v>40575.0</v>
      </c>
      <c r="S158" s="482">
        <v>0.0</v>
      </c>
      <c r="T158" s="482">
        <v>0.0</v>
      </c>
      <c r="U158" s="482">
        <v>0.0</v>
      </c>
      <c r="V158" s="482">
        <v>0.0</v>
      </c>
      <c r="W158" s="482">
        <v>0.0</v>
      </c>
      <c r="X158" s="482">
        <v>0.0</v>
      </c>
      <c r="Y158" s="482">
        <v>0.0</v>
      </c>
      <c r="Z158" s="482">
        <v>0.0</v>
      </c>
      <c r="AA158" s="482">
        <v>0.0</v>
      </c>
    </row>
    <row r="159" ht="12.75" customHeight="1">
      <c r="A159" s="24"/>
      <c r="B159" s="24"/>
      <c r="C159" s="24"/>
      <c r="D159" s="24"/>
      <c r="E159" s="24"/>
      <c r="F159" s="24"/>
      <c r="G159" s="474">
        <v>40603.0</v>
      </c>
      <c r="H159" s="469">
        <v>6506903.0</v>
      </c>
      <c r="I159" s="469">
        <v>1677419.0</v>
      </c>
      <c r="J159" s="469">
        <v>13144.0</v>
      </c>
      <c r="K159" s="469">
        <v>81827.0</v>
      </c>
      <c r="L159" s="469">
        <v>4360092.0</v>
      </c>
      <c r="M159" s="469">
        <v>118993.0</v>
      </c>
      <c r="N159" s="475">
        <v>0.0</v>
      </c>
      <c r="O159" s="469">
        <v>198610.0</v>
      </c>
      <c r="P159" s="469">
        <v>56817.0</v>
      </c>
      <c r="Q159" s="24"/>
      <c r="R159" s="476">
        <v>40603.0</v>
      </c>
      <c r="S159" s="482">
        <v>0.0</v>
      </c>
      <c r="T159" s="482">
        <v>0.0</v>
      </c>
      <c r="U159" s="482">
        <v>0.0</v>
      </c>
      <c r="V159" s="482">
        <v>0.0</v>
      </c>
      <c r="W159" s="482">
        <v>0.0</v>
      </c>
      <c r="X159" s="482">
        <v>0.0</v>
      </c>
      <c r="Y159" s="482">
        <v>0.0</v>
      </c>
      <c r="Z159" s="482">
        <v>0.0</v>
      </c>
      <c r="AA159" s="482">
        <v>0.0</v>
      </c>
    </row>
    <row r="160" ht="12.75" customHeight="1">
      <c r="A160" s="24"/>
      <c r="B160" s="24"/>
      <c r="C160" s="24"/>
      <c r="D160" s="24"/>
      <c r="E160" s="24"/>
      <c r="F160" s="24"/>
      <c r="G160" s="474">
        <v>40634.0</v>
      </c>
      <c r="H160" s="469">
        <v>5257576.0</v>
      </c>
      <c r="I160" s="469">
        <v>1207703.0</v>
      </c>
      <c r="J160" s="469">
        <v>12929.0</v>
      </c>
      <c r="K160" s="469">
        <v>62663.0</v>
      </c>
      <c r="L160" s="469">
        <v>3861728.0</v>
      </c>
      <c r="M160" s="469">
        <v>-124434.0</v>
      </c>
      <c r="N160" s="475">
        <v>0.0</v>
      </c>
      <c r="O160" s="475">
        <v>0.0</v>
      </c>
      <c r="P160" s="469">
        <v>236986.0</v>
      </c>
      <c r="Q160" s="24"/>
      <c r="R160" s="476">
        <v>40634.0</v>
      </c>
      <c r="S160" s="482">
        <v>0.0</v>
      </c>
      <c r="T160" s="482">
        <v>0.0</v>
      </c>
      <c r="U160" s="482">
        <v>0.0</v>
      </c>
      <c r="V160" s="482">
        <v>0.0</v>
      </c>
      <c r="W160" s="482">
        <v>0.0</v>
      </c>
      <c r="X160" s="482">
        <v>0.0</v>
      </c>
      <c r="Y160" s="482">
        <v>0.0</v>
      </c>
      <c r="Z160" s="482">
        <v>0.0</v>
      </c>
      <c r="AA160" s="482">
        <v>0.0</v>
      </c>
    </row>
    <row r="161" ht="12.75" customHeight="1">
      <c r="A161" s="24"/>
      <c r="B161" s="24"/>
      <c r="C161" s="24"/>
      <c r="D161" s="24"/>
      <c r="E161" s="24"/>
      <c r="F161" s="24"/>
      <c r="G161" s="474">
        <v>40664.0</v>
      </c>
      <c r="H161" s="469">
        <v>6669377.0</v>
      </c>
      <c r="I161" s="469">
        <v>1699712.0</v>
      </c>
      <c r="J161" s="469">
        <v>12590.0</v>
      </c>
      <c r="K161" s="469">
        <v>81367.0</v>
      </c>
      <c r="L161" s="469">
        <v>4571936.0</v>
      </c>
      <c r="M161" s="469">
        <v>105577.0</v>
      </c>
      <c r="N161" s="475">
        <v>0.0</v>
      </c>
      <c r="O161" s="469">
        <v>96146.0</v>
      </c>
      <c r="P161" s="469">
        <v>102049.0</v>
      </c>
      <c r="Q161" s="24"/>
      <c r="R161" s="476">
        <v>40664.0</v>
      </c>
      <c r="S161" s="482">
        <v>0.0</v>
      </c>
      <c r="T161" s="482">
        <v>0.0</v>
      </c>
      <c r="U161" s="482">
        <v>0.0</v>
      </c>
      <c r="V161" s="482">
        <v>0.0</v>
      </c>
      <c r="W161" s="482">
        <v>0.0</v>
      </c>
      <c r="X161" s="482">
        <v>0.0</v>
      </c>
      <c r="Y161" s="482">
        <v>0.0</v>
      </c>
      <c r="Z161" s="482">
        <v>0.0</v>
      </c>
      <c r="AA161" s="482">
        <v>0.0</v>
      </c>
    </row>
    <row r="162" ht="12.75" customHeight="1">
      <c r="A162" s="24"/>
      <c r="B162" s="24"/>
      <c r="C162" s="24"/>
      <c r="D162" s="24"/>
      <c r="E162" s="24"/>
      <c r="F162" s="24"/>
      <c r="G162" s="474">
        <v>40695.0</v>
      </c>
      <c r="H162" s="469">
        <v>6543227.0</v>
      </c>
      <c r="I162" s="469">
        <v>1620835.0</v>
      </c>
      <c r="J162" s="469">
        <v>11482.0</v>
      </c>
      <c r="K162" s="469">
        <v>75718.0</v>
      </c>
      <c r="L162" s="469">
        <v>4461231.0</v>
      </c>
      <c r="M162" s="469">
        <v>253120.0</v>
      </c>
      <c r="N162" s="475">
        <v>0.0</v>
      </c>
      <c r="O162" s="469">
        <v>28410.0</v>
      </c>
      <c r="P162" s="469">
        <v>92431.0</v>
      </c>
      <c r="Q162" s="24"/>
      <c r="R162" s="476">
        <v>40695.0</v>
      </c>
      <c r="S162" s="482">
        <v>0.0</v>
      </c>
      <c r="T162" s="482">
        <v>0.0</v>
      </c>
      <c r="U162" s="482">
        <v>0.0</v>
      </c>
      <c r="V162" s="482">
        <v>0.0</v>
      </c>
      <c r="W162" s="482">
        <v>0.0</v>
      </c>
      <c r="X162" s="482">
        <v>0.0</v>
      </c>
      <c r="Y162" s="482">
        <v>0.0</v>
      </c>
      <c r="Z162" s="482">
        <v>0.0</v>
      </c>
      <c r="AA162" s="482">
        <v>0.0</v>
      </c>
    </row>
    <row r="163" ht="12.75" customHeight="1">
      <c r="A163" s="24"/>
      <c r="B163" s="24"/>
      <c r="C163" s="24"/>
      <c r="D163" s="24"/>
      <c r="E163" s="24"/>
      <c r="F163" s="24"/>
      <c r="G163" s="474">
        <v>40725.0</v>
      </c>
      <c r="H163" s="469">
        <v>3938261.0</v>
      </c>
      <c r="I163" s="469">
        <v>1780379.0</v>
      </c>
      <c r="J163" s="469">
        <v>10912.0</v>
      </c>
      <c r="K163" s="469">
        <v>77579.0</v>
      </c>
      <c r="L163" s="469">
        <v>4778312.0</v>
      </c>
      <c r="M163" s="469">
        <v>251912.0</v>
      </c>
      <c r="N163" s="475">
        <v>0.0</v>
      </c>
      <c r="O163" s="475">
        <v>0.0</v>
      </c>
      <c r="P163" s="469">
        <v>39166.0</v>
      </c>
      <c r="Q163" s="24"/>
      <c r="R163" s="476">
        <v>40725.0</v>
      </c>
      <c r="S163" s="482">
        <v>0.0</v>
      </c>
      <c r="T163" s="482">
        <v>0.0</v>
      </c>
      <c r="U163" s="482">
        <v>0.0</v>
      </c>
      <c r="V163" s="482">
        <v>0.0</v>
      </c>
      <c r="W163" s="482">
        <v>0.0</v>
      </c>
      <c r="X163" s="482">
        <v>0.0</v>
      </c>
      <c r="Y163" s="482">
        <v>0.0</v>
      </c>
      <c r="Z163" s="482">
        <v>0.0</v>
      </c>
      <c r="AA163" s="482">
        <v>0.0</v>
      </c>
    </row>
    <row r="164" ht="12.75" customHeight="1">
      <c r="A164" s="24"/>
      <c r="B164" s="24"/>
      <c r="C164" s="24"/>
      <c r="D164" s="24"/>
      <c r="E164" s="24"/>
      <c r="F164" s="24"/>
      <c r="G164" s="474">
        <v>40756.0</v>
      </c>
      <c r="H164" s="469">
        <v>6997008.0</v>
      </c>
      <c r="I164" s="469">
        <v>1905836.0</v>
      </c>
      <c r="J164" s="469">
        <v>11029.0</v>
      </c>
      <c r="K164" s="469">
        <v>89910.0</v>
      </c>
      <c r="L164" s="469">
        <v>4832589.0</v>
      </c>
      <c r="M164" s="469">
        <v>138691.0</v>
      </c>
      <c r="N164" s="475">
        <v>0.0</v>
      </c>
      <c r="O164" s="475">
        <v>0.0</v>
      </c>
      <c r="P164" s="469">
        <v>18954.0</v>
      </c>
      <c r="Q164" s="24"/>
      <c r="R164" s="476">
        <v>40756.0</v>
      </c>
      <c r="S164" s="482">
        <v>0.0</v>
      </c>
      <c r="T164" s="482">
        <v>0.0</v>
      </c>
      <c r="U164" s="482">
        <v>0.0</v>
      </c>
      <c r="V164" s="482">
        <v>0.0</v>
      </c>
      <c r="W164" s="482">
        <v>0.0</v>
      </c>
      <c r="X164" s="482">
        <v>0.0</v>
      </c>
      <c r="Y164" s="482">
        <v>0.0</v>
      </c>
      <c r="Z164" s="482">
        <v>0.0</v>
      </c>
      <c r="AA164" s="482">
        <v>0.0</v>
      </c>
    </row>
    <row r="165" ht="12.75" customHeight="1">
      <c r="A165" s="24"/>
      <c r="B165" s="24"/>
      <c r="C165" s="24"/>
      <c r="D165" s="24"/>
      <c r="E165" s="24"/>
      <c r="F165" s="24"/>
      <c r="G165" s="474">
        <v>40787.0</v>
      </c>
      <c r="H165" s="469">
        <v>6772986.0</v>
      </c>
      <c r="I165" s="469">
        <v>1698673.0</v>
      </c>
      <c r="J165" s="469">
        <v>10967.0</v>
      </c>
      <c r="K165" s="469">
        <v>85569.0</v>
      </c>
      <c r="L165" s="469">
        <v>4713476.0</v>
      </c>
      <c r="M165" s="469">
        <v>243649.0</v>
      </c>
      <c r="N165" s="475">
        <v>0.0</v>
      </c>
      <c r="O165" s="475">
        <v>0.0</v>
      </c>
      <c r="P165" s="469">
        <v>20652.0</v>
      </c>
      <c r="Q165" s="24"/>
      <c r="R165" s="476">
        <v>40787.0</v>
      </c>
      <c r="S165" s="482">
        <v>0.0</v>
      </c>
      <c r="T165" s="482">
        <v>0.0</v>
      </c>
      <c r="U165" s="482">
        <v>0.0</v>
      </c>
      <c r="V165" s="482">
        <v>0.0</v>
      </c>
      <c r="W165" s="482">
        <v>0.0</v>
      </c>
      <c r="X165" s="482">
        <v>0.0</v>
      </c>
      <c r="Y165" s="482">
        <v>0.0</v>
      </c>
      <c r="Z165" s="482">
        <v>0.0</v>
      </c>
      <c r="AA165" s="482">
        <v>0.0</v>
      </c>
    </row>
    <row r="166" ht="12.75" customHeight="1">
      <c r="A166" s="24"/>
      <c r="B166" s="24"/>
      <c r="C166" s="24"/>
      <c r="D166" s="24"/>
      <c r="E166" s="24"/>
      <c r="F166" s="24"/>
      <c r="G166" s="474">
        <v>40817.0</v>
      </c>
      <c r="H166" s="469">
        <v>6999594.0</v>
      </c>
      <c r="I166" s="469">
        <v>1705954.0</v>
      </c>
      <c r="J166" s="469">
        <v>12260.0</v>
      </c>
      <c r="K166" s="469">
        <v>88148.0</v>
      </c>
      <c r="L166" s="469">
        <v>4963533.0</v>
      </c>
      <c r="M166" s="469">
        <v>192514.0</v>
      </c>
      <c r="N166" s="475">
        <v>0.0</v>
      </c>
      <c r="O166" s="475">
        <v>0.0</v>
      </c>
      <c r="P166" s="469">
        <v>37185.0</v>
      </c>
      <c r="Q166" s="24"/>
      <c r="R166" s="476">
        <v>40817.0</v>
      </c>
      <c r="S166" s="482">
        <v>0.0</v>
      </c>
      <c r="T166" s="482">
        <v>0.0</v>
      </c>
      <c r="U166" s="482">
        <v>0.0</v>
      </c>
      <c r="V166" s="482">
        <v>0.0</v>
      </c>
      <c r="W166" s="482">
        <v>0.0</v>
      </c>
      <c r="X166" s="482">
        <v>0.0</v>
      </c>
      <c r="Y166" s="482">
        <v>0.0</v>
      </c>
      <c r="Z166" s="482">
        <v>0.0</v>
      </c>
      <c r="AA166" s="482">
        <v>0.0</v>
      </c>
    </row>
    <row r="167" ht="12.75" customHeight="1">
      <c r="A167" s="24"/>
      <c r="B167" s="24"/>
      <c r="C167" s="24"/>
      <c r="D167" s="24"/>
      <c r="E167" s="24"/>
      <c r="F167" s="24"/>
      <c r="G167" s="474">
        <v>40848.0</v>
      </c>
      <c r="H167" s="469">
        <v>6912475.0</v>
      </c>
      <c r="I167" s="469">
        <v>1813257.0</v>
      </c>
      <c r="J167" s="469">
        <v>13406.0</v>
      </c>
      <c r="K167" s="469">
        <v>88889.0</v>
      </c>
      <c r="L167" s="469">
        <v>4813386.0</v>
      </c>
      <c r="M167" s="469">
        <v>160143.0</v>
      </c>
      <c r="N167" s="475">
        <v>0.0</v>
      </c>
      <c r="O167" s="475">
        <v>0.0</v>
      </c>
      <c r="P167" s="469">
        <v>23394.0</v>
      </c>
      <c r="Q167" s="24"/>
      <c r="R167" s="476">
        <v>40848.0</v>
      </c>
      <c r="S167" s="482">
        <v>0.0</v>
      </c>
      <c r="T167" s="482">
        <v>0.0</v>
      </c>
      <c r="U167" s="482">
        <v>0.0</v>
      </c>
      <c r="V167" s="482">
        <v>0.0</v>
      </c>
      <c r="W167" s="482">
        <v>0.0</v>
      </c>
      <c r="X167" s="482">
        <v>0.0</v>
      </c>
      <c r="Y167" s="482">
        <v>0.0</v>
      </c>
      <c r="Z167" s="482">
        <v>0.0</v>
      </c>
      <c r="AA167" s="482">
        <v>0.0</v>
      </c>
    </row>
    <row r="168" ht="12.75" customHeight="1">
      <c r="A168" s="24"/>
      <c r="B168" s="24"/>
      <c r="C168" s="24"/>
      <c r="D168" s="24"/>
      <c r="E168" s="24"/>
      <c r="F168" s="24"/>
      <c r="G168" s="474">
        <v>40878.0</v>
      </c>
      <c r="H168" s="469">
        <v>7280746.0</v>
      </c>
      <c r="I168" s="469">
        <v>1846184.0</v>
      </c>
      <c r="J168" s="469">
        <v>14213.0</v>
      </c>
      <c r="K168" s="469">
        <v>9530.0</v>
      </c>
      <c r="L168" s="469">
        <v>5130598.0</v>
      </c>
      <c r="M168" s="469">
        <v>161686.0</v>
      </c>
      <c r="N168" s="475">
        <v>0.0</v>
      </c>
      <c r="O168" s="475">
        <v>0.0</v>
      </c>
      <c r="P168" s="469">
        <v>32765.0</v>
      </c>
      <c r="Q168" s="24"/>
      <c r="R168" s="476">
        <v>40878.0</v>
      </c>
      <c r="S168" s="482">
        <v>0.0</v>
      </c>
      <c r="T168" s="482">
        <v>0.0</v>
      </c>
      <c r="U168" s="482">
        <v>0.0</v>
      </c>
      <c r="V168" s="482">
        <v>0.0</v>
      </c>
      <c r="W168" s="482">
        <v>0.0</v>
      </c>
      <c r="X168" s="482">
        <v>0.0</v>
      </c>
      <c r="Y168" s="482">
        <v>0.0</v>
      </c>
      <c r="Z168" s="482">
        <v>0.0</v>
      </c>
      <c r="AA168" s="482">
        <v>0.0</v>
      </c>
    </row>
    <row r="169" ht="12.75" customHeight="1">
      <c r="A169" s="24"/>
      <c r="B169" s="24"/>
      <c r="C169" s="24"/>
      <c r="D169" s="24"/>
      <c r="E169" s="24"/>
      <c r="F169" s="24"/>
      <c r="G169" s="470"/>
      <c r="H169" s="470"/>
      <c r="I169" s="470"/>
      <c r="J169" s="470"/>
      <c r="K169" s="470"/>
      <c r="L169" s="470"/>
      <c r="M169" s="470"/>
      <c r="N169" s="470"/>
      <c r="O169" s="470"/>
      <c r="P169" s="470"/>
      <c r="Q169" s="24"/>
      <c r="R169" s="471"/>
      <c r="S169" s="481"/>
      <c r="T169" s="481"/>
      <c r="U169" s="481"/>
      <c r="V169" s="481"/>
      <c r="W169" s="481"/>
      <c r="X169" s="481"/>
      <c r="Y169" s="481"/>
      <c r="Z169" s="481"/>
      <c r="AA169" s="481"/>
    </row>
    <row r="170" ht="12.75" customHeight="1">
      <c r="A170" s="24"/>
      <c r="B170" s="24"/>
      <c r="C170" s="24"/>
      <c r="D170" s="24"/>
      <c r="E170" s="24"/>
      <c r="F170" s="24"/>
      <c r="G170" s="474">
        <v>40909.0</v>
      </c>
      <c r="H170" s="469">
        <v>7314505.0</v>
      </c>
      <c r="I170" s="469">
        <v>1851147.0</v>
      </c>
      <c r="J170" s="469">
        <v>14257.0</v>
      </c>
      <c r="K170" s="469">
        <v>93512.0</v>
      </c>
      <c r="L170" s="469">
        <v>5157816.0</v>
      </c>
      <c r="M170" s="469">
        <v>165436.0</v>
      </c>
      <c r="N170" s="475">
        <v>0.0</v>
      </c>
      <c r="O170" s="475">
        <v>0.0</v>
      </c>
      <c r="P170" s="469">
        <v>32338.0</v>
      </c>
      <c r="Q170" s="24"/>
      <c r="R170" s="476">
        <v>40909.0</v>
      </c>
      <c r="S170" s="482">
        <v>0.0</v>
      </c>
      <c r="T170" s="482">
        <v>0.0</v>
      </c>
      <c r="U170" s="482">
        <v>0.0</v>
      </c>
      <c r="V170" s="482">
        <v>0.0</v>
      </c>
      <c r="W170" s="482">
        <v>0.0</v>
      </c>
      <c r="X170" s="482">
        <v>0.0</v>
      </c>
      <c r="Y170" s="482">
        <v>0.0</v>
      </c>
      <c r="Z170" s="482">
        <v>0.0</v>
      </c>
      <c r="AA170" s="482">
        <v>0.0</v>
      </c>
    </row>
    <row r="171" ht="12.75" customHeight="1">
      <c r="A171" s="24"/>
      <c r="B171" s="24"/>
      <c r="C171" s="24"/>
      <c r="D171" s="24"/>
      <c r="E171" s="24"/>
      <c r="F171" s="24"/>
      <c r="G171" s="474">
        <v>40940.0</v>
      </c>
      <c r="H171" s="469">
        <v>6790677.0</v>
      </c>
      <c r="I171" s="469">
        <v>1730822.0</v>
      </c>
      <c r="J171" s="469">
        <v>13709.0</v>
      </c>
      <c r="K171" s="469">
        <v>87718.0</v>
      </c>
      <c r="L171" s="469">
        <v>4805268.0</v>
      </c>
      <c r="M171" s="469">
        <v>136754.0</v>
      </c>
      <c r="N171" s="475">
        <v>0.0</v>
      </c>
      <c r="O171" s="475">
        <v>0.0</v>
      </c>
      <c r="P171" s="469">
        <v>16406.0</v>
      </c>
      <c r="Q171" s="24"/>
      <c r="R171" s="476">
        <v>40940.0</v>
      </c>
      <c r="S171" s="482">
        <v>0.0</v>
      </c>
      <c r="T171" s="482">
        <v>0.0</v>
      </c>
      <c r="U171" s="482">
        <v>0.0</v>
      </c>
      <c r="V171" s="482">
        <v>0.0</v>
      </c>
      <c r="W171" s="482">
        <v>0.0</v>
      </c>
      <c r="X171" s="482">
        <v>0.0</v>
      </c>
      <c r="Y171" s="482">
        <v>0.0</v>
      </c>
      <c r="Z171" s="482">
        <v>0.0</v>
      </c>
      <c r="AA171" s="482">
        <v>0.0</v>
      </c>
    </row>
    <row r="172" ht="12.75" customHeight="1">
      <c r="A172" s="24"/>
      <c r="B172" s="24"/>
      <c r="C172" s="24"/>
      <c r="D172" s="24"/>
      <c r="E172" s="24"/>
      <c r="F172" s="24"/>
      <c r="G172" s="474">
        <v>40969.0</v>
      </c>
      <c r="H172" s="469">
        <v>6756357.0</v>
      </c>
      <c r="I172" s="469">
        <v>1661925.0</v>
      </c>
      <c r="J172" s="469">
        <v>13462.0</v>
      </c>
      <c r="K172" s="469">
        <v>76291.0</v>
      </c>
      <c r="L172" s="469">
        <v>4621811.0</v>
      </c>
      <c r="M172" s="469">
        <v>208801.0</v>
      </c>
      <c r="N172" s="475">
        <v>0.0</v>
      </c>
      <c r="O172" s="475">
        <v>0.0</v>
      </c>
      <c r="P172" s="469">
        <v>174067.0</v>
      </c>
      <c r="Q172" s="24"/>
      <c r="R172" s="476">
        <v>40969.0</v>
      </c>
      <c r="S172" s="482">
        <v>0.0</v>
      </c>
      <c r="T172" s="482">
        <v>0.0</v>
      </c>
      <c r="U172" s="482">
        <v>0.0</v>
      </c>
      <c r="V172" s="482">
        <v>0.0</v>
      </c>
      <c r="W172" s="482">
        <v>0.0</v>
      </c>
      <c r="X172" s="482">
        <v>0.0</v>
      </c>
      <c r="Y172" s="482">
        <v>0.0</v>
      </c>
      <c r="Z172" s="482">
        <v>0.0</v>
      </c>
      <c r="AA172" s="482">
        <v>0.0</v>
      </c>
    </row>
    <row r="173" ht="12.75" customHeight="1">
      <c r="A173" s="24"/>
      <c r="B173" s="24"/>
      <c r="C173" s="24"/>
      <c r="D173" s="24"/>
      <c r="E173" s="24"/>
      <c r="F173" s="24"/>
      <c r="G173" s="474">
        <v>41000.0</v>
      </c>
      <c r="H173" s="469">
        <v>7013318.0</v>
      </c>
      <c r="I173" s="469">
        <v>1786465.0</v>
      </c>
      <c r="J173" s="469">
        <v>12780.0</v>
      </c>
      <c r="K173" s="469">
        <v>89008.0</v>
      </c>
      <c r="L173" s="469">
        <v>4959421.0</v>
      </c>
      <c r="M173" s="469">
        <v>145842.0</v>
      </c>
      <c r="N173" s="475">
        <v>0.0</v>
      </c>
      <c r="O173" s="475">
        <v>0.0</v>
      </c>
      <c r="P173" s="469">
        <v>19801.0</v>
      </c>
      <c r="Q173" s="24"/>
      <c r="R173" s="476">
        <v>41000.0</v>
      </c>
      <c r="S173" s="482">
        <v>0.0</v>
      </c>
      <c r="T173" s="482">
        <v>0.0</v>
      </c>
      <c r="U173" s="482">
        <v>0.0</v>
      </c>
      <c r="V173" s="482">
        <v>0.0</v>
      </c>
      <c r="W173" s="482">
        <v>0.0</v>
      </c>
      <c r="X173" s="482">
        <v>0.0</v>
      </c>
      <c r="Y173" s="482">
        <v>0.0</v>
      </c>
      <c r="Z173" s="482">
        <v>0.0</v>
      </c>
      <c r="AA173" s="482">
        <v>0.0</v>
      </c>
    </row>
    <row r="174" ht="12.75" customHeight="1">
      <c r="A174" s="24"/>
      <c r="B174" s="24"/>
      <c r="C174" s="24"/>
      <c r="D174" s="24"/>
      <c r="E174" s="24"/>
      <c r="F174" s="24"/>
      <c r="G174" s="474">
        <v>41030.0</v>
      </c>
      <c r="H174" s="469">
        <v>7127225.0</v>
      </c>
      <c r="I174" s="469">
        <v>1773020.0</v>
      </c>
      <c r="J174" s="469">
        <v>12424.0</v>
      </c>
      <c r="K174" s="469">
        <v>84877.0</v>
      </c>
      <c r="L174" s="469">
        <v>5066935.0</v>
      </c>
      <c r="M174" s="469">
        <v>161227.0</v>
      </c>
      <c r="N174" s="475">
        <v>0.0</v>
      </c>
      <c r="O174" s="475">
        <v>0.0</v>
      </c>
      <c r="P174" s="469">
        <v>28742.0</v>
      </c>
      <c r="Q174" s="24"/>
      <c r="R174" s="476">
        <v>41030.0</v>
      </c>
      <c r="S174" s="482">
        <v>0.0</v>
      </c>
      <c r="T174" s="482">
        <v>0.0</v>
      </c>
      <c r="U174" s="482">
        <v>0.0</v>
      </c>
      <c r="V174" s="482">
        <v>0.0</v>
      </c>
      <c r="W174" s="482">
        <v>0.0</v>
      </c>
      <c r="X174" s="482">
        <v>0.0</v>
      </c>
      <c r="Y174" s="482">
        <v>0.0</v>
      </c>
      <c r="Z174" s="482">
        <v>0.0</v>
      </c>
      <c r="AA174" s="482">
        <v>0.0</v>
      </c>
    </row>
    <row r="175" ht="12.75" customHeight="1">
      <c r="A175" s="24"/>
      <c r="B175" s="24"/>
      <c r="C175" s="24"/>
      <c r="D175" s="24"/>
      <c r="E175" s="24"/>
      <c r="F175" s="24"/>
      <c r="G175" s="474">
        <v>41061.0</v>
      </c>
      <c r="H175" s="469">
        <v>7031182.0</v>
      </c>
      <c r="I175" s="469">
        <v>1767290.0</v>
      </c>
      <c r="J175" s="469">
        <v>11332.0</v>
      </c>
      <c r="K175" s="469">
        <v>60542.0</v>
      </c>
      <c r="L175" s="469">
        <v>4724357.0</v>
      </c>
      <c r="M175" s="469">
        <v>438476.0</v>
      </c>
      <c r="N175" s="475">
        <v>0.0</v>
      </c>
      <c r="O175" s="475">
        <v>0.0</v>
      </c>
      <c r="P175" s="469">
        <v>29185.0</v>
      </c>
      <c r="Q175" s="24"/>
      <c r="R175" s="476">
        <v>41061.0</v>
      </c>
      <c r="S175" s="482">
        <v>0.0</v>
      </c>
      <c r="T175" s="482">
        <v>0.0</v>
      </c>
      <c r="U175" s="482">
        <v>0.0</v>
      </c>
      <c r="V175" s="482">
        <v>0.0</v>
      </c>
      <c r="W175" s="482">
        <v>0.0</v>
      </c>
      <c r="X175" s="482">
        <v>0.0</v>
      </c>
      <c r="Y175" s="482">
        <v>0.0</v>
      </c>
      <c r="Z175" s="482">
        <v>0.0</v>
      </c>
      <c r="AA175" s="482">
        <v>0.0</v>
      </c>
    </row>
    <row r="176" ht="12.75" customHeight="1">
      <c r="A176" s="24"/>
      <c r="B176" s="24"/>
      <c r="C176" s="24"/>
      <c r="D176" s="24"/>
      <c r="E176" s="24"/>
      <c r="F176" s="24"/>
      <c r="G176" s="474">
        <v>41091.0</v>
      </c>
      <c r="H176" s="469">
        <v>7166904.0</v>
      </c>
      <c r="I176" s="469">
        <v>1801329.0</v>
      </c>
      <c r="J176" s="469">
        <v>11536.0</v>
      </c>
      <c r="K176" s="469">
        <v>63231.0</v>
      </c>
      <c r="L176" s="469">
        <v>4676690.0</v>
      </c>
      <c r="M176" s="469">
        <v>589899.0</v>
      </c>
      <c r="N176" s="475">
        <v>0.0</v>
      </c>
      <c r="O176" s="475">
        <v>0.0</v>
      </c>
      <c r="P176" s="469">
        <v>24219.0</v>
      </c>
      <c r="Q176" s="24"/>
      <c r="R176" s="476">
        <v>41091.0</v>
      </c>
      <c r="S176" s="482">
        <v>0.0</v>
      </c>
      <c r="T176" s="482">
        <v>0.0</v>
      </c>
      <c r="U176" s="482">
        <v>0.0</v>
      </c>
      <c r="V176" s="482">
        <v>0.0</v>
      </c>
      <c r="W176" s="482">
        <v>0.0</v>
      </c>
      <c r="X176" s="482">
        <v>0.0</v>
      </c>
      <c r="Y176" s="482">
        <v>0.0</v>
      </c>
      <c r="Z176" s="482">
        <v>0.0</v>
      </c>
      <c r="AA176" s="482">
        <v>0.0</v>
      </c>
    </row>
    <row r="177" ht="12.75" customHeight="1">
      <c r="A177" s="24"/>
      <c r="B177" s="24"/>
      <c r="C177" s="24"/>
      <c r="D177" s="24"/>
      <c r="E177" s="24"/>
      <c r="F177" s="24"/>
      <c r="G177" s="474">
        <v>41122.0</v>
      </c>
      <c r="H177" s="469">
        <v>7300952.0</v>
      </c>
      <c r="I177" s="469">
        <v>1812970.0</v>
      </c>
      <c r="J177" s="469">
        <v>11652.0</v>
      </c>
      <c r="K177" s="469">
        <v>76831.0</v>
      </c>
      <c r="L177" s="469">
        <v>5062831.0</v>
      </c>
      <c r="M177" s="469">
        <v>315451.0</v>
      </c>
      <c r="N177" s="475">
        <v>0.0</v>
      </c>
      <c r="O177" s="475">
        <v>0.0</v>
      </c>
      <c r="P177" s="469">
        <v>21217.0</v>
      </c>
      <c r="Q177" s="24"/>
      <c r="R177" s="476">
        <v>41122.0</v>
      </c>
      <c r="S177" s="482">
        <v>0.0</v>
      </c>
      <c r="T177" s="482">
        <v>0.0</v>
      </c>
      <c r="U177" s="482">
        <v>0.0</v>
      </c>
      <c r="V177" s="482">
        <v>0.0</v>
      </c>
      <c r="W177" s="482">
        <v>0.0</v>
      </c>
      <c r="X177" s="482">
        <v>0.0</v>
      </c>
      <c r="Y177" s="482">
        <v>0.0</v>
      </c>
      <c r="Z177" s="482">
        <v>0.0</v>
      </c>
      <c r="AA177" s="482">
        <v>0.0</v>
      </c>
    </row>
    <row r="178" ht="12.75" customHeight="1">
      <c r="A178" s="24"/>
      <c r="B178" s="24"/>
      <c r="C178" s="24"/>
      <c r="D178" s="24"/>
      <c r="E178" s="24"/>
      <c r="F178" s="24"/>
      <c r="G178" s="474">
        <v>41153.0</v>
      </c>
      <c r="H178" s="469">
        <v>6987155.0</v>
      </c>
      <c r="I178" s="469">
        <v>1671317.0</v>
      </c>
      <c r="J178" s="469">
        <v>11488.0</v>
      </c>
      <c r="K178" s="469">
        <v>79386.0</v>
      </c>
      <c r="L178" s="469">
        <v>4914147.0</v>
      </c>
      <c r="M178" s="469">
        <v>290737.0</v>
      </c>
      <c r="N178" s="475">
        <v>0.0</v>
      </c>
      <c r="O178" s="475">
        <v>0.0</v>
      </c>
      <c r="P178" s="469">
        <v>20080.0</v>
      </c>
      <c r="Q178" s="24"/>
      <c r="R178" s="476">
        <v>41153.0</v>
      </c>
      <c r="S178" s="482">
        <v>0.0</v>
      </c>
      <c r="T178" s="482">
        <v>0.0</v>
      </c>
      <c r="U178" s="482">
        <v>0.0</v>
      </c>
      <c r="V178" s="482">
        <v>0.0</v>
      </c>
      <c r="W178" s="482">
        <v>0.0</v>
      </c>
      <c r="X178" s="482">
        <v>0.0</v>
      </c>
      <c r="Y178" s="482">
        <v>0.0</v>
      </c>
      <c r="Z178" s="482">
        <v>0.0</v>
      </c>
      <c r="AA178" s="482">
        <v>0.0</v>
      </c>
    </row>
    <row r="179" ht="12.75" customHeight="1">
      <c r="A179" s="24"/>
      <c r="B179" s="24"/>
      <c r="C179" s="24"/>
      <c r="D179" s="24"/>
      <c r="E179" s="24"/>
      <c r="F179" s="24"/>
      <c r="G179" s="474">
        <v>41183.0</v>
      </c>
      <c r="H179" s="469">
        <v>7079673.0</v>
      </c>
      <c r="I179" s="469">
        <v>1710991.0</v>
      </c>
      <c r="J179" s="469">
        <v>12793.0</v>
      </c>
      <c r="K179" s="469">
        <v>85128.0</v>
      </c>
      <c r="L179" s="469">
        <v>4919282.0</v>
      </c>
      <c r="M179" s="469">
        <v>324754.0</v>
      </c>
      <c r="N179" s="475">
        <v>0.0</v>
      </c>
      <c r="O179" s="475">
        <v>0.0</v>
      </c>
      <c r="P179" s="469">
        <v>26725.0</v>
      </c>
      <c r="Q179" s="24"/>
      <c r="R179" s="476">
        <v>41183.0</v>
      </c>
      <c r="S179" s="482">
        <v>0.0</v>
      </c>
      <c r="T179" s="482">
        <v>0.0</v>
      </c>
      <c r="U179" s="482">
        <v>0.0</v>
      </c>
      <c r="V179" s="482">
        <v>0.0</v>
      </c>
      <c r="W179" s="482">
        <v>0.0</v>
      </c>
      <c r="X179" s="482">
        <v>0.0</v>
      </c>
      <c r="Y179" s="482">
        <v>0.0</v>
      </c>
      <c r="Z179" s="482">
        <v>0.0</v>
      </c>
      <c r="AA179" s="482">
        <v>0.0</v>
      </c>
    </row>
    <row r="180" ht="12.75" customHeight="1">
      <c r="A180" s="24"/>
      <c r="B180" s="24"/>
      <c r="C180" s="24"/>
      <c r="D180" s="24"/>
      <c r="E180" s="24"/>
      <c r="F180" s="24"/>
      <c r="G180" s="474">
        <v>41214.0</v>
      </c>
      <c r="H180" s="469">
        <v>7041848.0</v>
      </c>
      <c r="I180" s="469">
        <v>1664915.0</v>
      </c>
      <c r="J180" s="469">
        <v>13135.0</v>
      </c>
      <c r="K180" s="469">
        <v>86577.0</v>
      </c>
      <c r="L180" s="469">
        <v>5002721.0</v>
      </c>
      <c r="M180" s="469">
        <v>253775.0</v>
      </c>
      <c r="N180" s="475">
        <v>0.0</v>
      </c>
      <c r="O180" s="475">
        <v>0.0</v>
      </c>
      <c r="P180" s="469">
        <v>20725.0</v>
      </c>
      <c r="Q180" s="24"/>
      <c r="R180" s="476">
        <v>41214.0</v>
      </c>
      <c r="S180" s="482">
        <v>0.0</v>
      </c>
      <c r="T180" s="482">
        <v>0.0</v>
      </c>
      <c r="U180" s="482">
        <v>0.0</v>
      </c>
      <c r="V180" s="482">
        <v>0.0</v>
      </c>
      <c r="W180" s="482">
        <v>0.0</v>
      </c>
      <c r="X180" s="482">
        <v>0.0</v>
      </c>
      <c r="Y180" s="482">
        <v>0.0</v>
      </c>
      <c r="Z180" s="482">
        <v>0.0</v>
      </c>
      <c r="AA180" s="482">
        <v>0.0</v>
      </c>
    </row>
    <row r="181" ht="12.75" customHeight="1">
      <c r="A181" s="24"/>
      <c r="B181" s="24"/>
      <c r="C181" s="24"/>
      <c r="D181" s="24"/>
      <c r="E181" s="24"/>
      <c r="F181" s="24"/>
      <c r="G181" s="474">
        <v>41244.0</v>
      </c>
      <c r="H181" s="469">
        <v>7055579.0</v>
      </c>
      <c r="I181" s="469">
        <v>1642033.0</v>
      </c>
      <c r="J181" s="469">
        <v>14886.0</v>
      </c>
      <c r="K181" s="469">
        <v>85794.0</v>
      </c>
      <c r="L181" s="469">
        <v>5016603.0</v>
      </c>
      <c r="M181" s="469">
        <v>268789.0</v>
      </c>
      <c r="N181" s="475">
        <v>0.0</v>
      </c>
      <c r="O181" s="475">
        <v>0.0</v>
      </c>
      <c r="P181" s="469">
        <v>27474.0</v>
      </c>
      <c r="Q181" s="24"/>
      <c r="R181" s="476">
        <v>41244.0</v>
      </c>
      <c r="S181" s="482">
        <v>0.0</v>
      </c>
      <c r="T181" s="482">
        <v>0.0</v>
      </c>
      <c r="U181" s="482">
        <v>0.0</v>
      </c>
      <c r="V181" s="482">
        <v>0.0</v>
      </c>
      <c r="W181" s="482">
        <v>0.0</v>
      </c>
      <c r="X181" s="482">
        <v>0.0</v>
      </c>
      <c r="Y181" s="482">
        <v>0.0</v>
      </c>
      <c r="Z181" s="482">
        <v>0.0</v>
      </c>
      <c r="AA181" s="482">
        <v>0.0</v>
      </c>
    </row>
    <row r="182" ht="12.75" customHeight="1">
      <c r="A182" s="24"/>
      <c r="B182" s="24"/>
      <c r="C182" s="24"/>
      <c r="D182" s="24"/>
      <c r="E182" s="24"/>
      <c r="F182" s="24"/>
      <c r="G182" s="470"/>
      <c r="H182" s="470"/>
      <c r="I182" s="470"/>
      <c r="J182" s="470"/>
      <c r="K182" s="470"/>
      <c r="L182" s="470"/>
      <c r="M182" s="470"/>
      <c r="N182" s="470"/>
      <c r="O182" s="470"/>
      <c r="P182" s="470"/>
      <c r="Q182" s="24"/>
      <c r="R182" s="471"/>
      <c r="S182" s="481"/>
      <c r="T182" s="481"/>
      <c r="U182" s="481"/>
      <c r="V182" s="481"/>
      <c r="W182" s="481"/>
      <c r="X182" s="481"/>
      <c r="Y182" s="481"/>
      <c r="Z182" s="481"/>
      <c r="AA182" s="481"/>
    </row>
    <row r="183" ht="12.75" customHeight="1">
      <c r="A183" s="24"/>
      <c r="B183" s="24"/>
      <c r="C183" s="24"/>
      <c r="D183" s="24"/>
      <c r="E183" s="24"/>
      <c r="F183" s="24"/>
      <c r="G183" s="474">
        <v>41275.0</v>
      </c>
      <c r="H183" s="469">
        <v>6460593.0</v>
      </c>
      <c r="I183" s="469">
        <v>1485922.0</v>
      </c>
      <c r="J183" s="469">
        <v>13759.0</v>
      </c>
      <c r="K183" s="469">
        <v>69399.0</v>
      </c>
      <c r="L183" s="469">
        <v>4600874.0</v>
      </c>
      <c r="M183" s="469">
        <v>228289.0</v>
      </c>
      <c r="N183" s="475">
        <v>0.0</v>
      </c>
      <c r="O183" s="475">
        <v>0.0</v>
      </c>
      <c r="P183" s="469">
        <v>62351.0</v>
      </c>
      <c r="Q183" s="24"/>
      <c r="R183" s="476">
        <v>41275.0</v>
      </c>
      <c r="S183" s="482">
        <v>0.0</v>
      </c>
      <c r="T183" s="482">
        <v>0.0</v>
      </c>
      <c r="U183" s="482">
        <v>0.0</v>
      </c>
      <c r="V183" s="482">
        <v>0.0</v>
      </c>
      <c r="W183" s="482">
        <v>0.0</v>
      </c>
      <c r="X183" s="482">
        <v>0.0</v>
      </c>
      <c r="Y183" s="482">
        <v>0.0</v>
      </c>
      <c r="Z183" s="482">
        <v>0.0</v>
      </c>
      <c r="AA183" s="482">
        <v>0.0</v>
      </c>
    </row>
    <row r="184" ht="12.75" customHeight="1">
      <c r="A184" s="24"/>
      <c r="B184" s="24"/>
      <c r="C184" s="24"/>
      <c r="D184" s="24"/>
      <c r="E184" s="24"/>
      <c r="F184" s="24"/>
      <c r="G184" s="474">
        <v>41306.0</v>
      </c>
      <c r="H184" s="469">
        <v>5773333.0</v>
      </c>
      <c r="I184" s="469">
        <v>1280929.0</v>
      </c>
      <c r="J184" s="469">
        <v>12692.0</v>
      </c>
      <c r="K184" s="469">
        <v>62298.0</v>
      </c>
      <c r="L184" s="469">
        <v>4106336.0</v>
      </c>
      <c r="M184" s="469">
        <v>209537.0</v>
      </c>
      <c r="N184" s="475">
        <v>0.0</v>
      </c>
      <c r="O184" s="475">
        <v>0.0</v>
      </c>
      <c r="P184" s="469">
        <v>101541.0</v>
      </c>
      <c r="Q184" s="24"/>
      <c r="R184" s="476">
        <v>41306.0</v>
      </c>
      <c r="S184" s="482">
        <v>0.0</v>
      </c>
      <c r="T184" s="482">
        <v>0.0</v>
      </c>
      <c r="U184" s="482">
        <v>0.0</v>
      </c>
      <c r="V184" s="482">
        <v>0.0</v>
      </c>
      <c r="W184" s="482">
        <v>0.0</v>
      </c>
      <c r="X184" s="482">
        <v>0.0</v>
      </c>
      <c r="Y184" s="482">
        <v>0.0</v>
      </c>
      <c r="Z184" s="482">
        <v>0.0</v>
      </c>
      <c r="AA184" s="482">
        <v>0.0</v>
      </c>
    </row>
    <row r="185" ht="12.75" customHeight="1">
      <c r="A185" s="24"/>
      <c r="B185" s="24"/>
      <c r="C185" s="24"/>
      <c r="D185" s="24"/>
      <c r="E185" s="24"/>
      <c r="F185" s="24"/>
      <c r="G185" s="474">
        <v>41334.0</v>
      </c>
      <c r="H185" s="469">
        <v>7209349.0</v>
      </c>
      <c r="I185" s="469">
        <v>1664316.0</v>
      </c>
      <c r="J185" s="469">
        <v>13351.0</v>
      </c>
      <c r="K185" s="469">
        <v>85504.0</v>
      </c>
      <c r="L185" s="469">
        <v>5142680.0</v>
      </c>
      <c r="M185" s="469">
        <v>280475.0</v>
      </c>
      <c r="N185" s="475">
        <v>0.0</v>
      </c>
      <c r="O185" s="475">
        <v>0.0</v>
      </c>
      <c r="P185" s="469">
        <v>23023.0</v>
      </c>
      <c r="Q185" s="24"/>
      <c r="R185" s="476">
        <v>41334.0</v>
      </c>
      <c r="S185" s="482">
        <v>0.0</v>
      </c>
      <c r="T185" s="482">
        <v>0.0</v>
      </c>
      <c r="U185" s="482">
        <v>0.0</v>
      </c>
      <c r="V185" s="482">
        <v>0.0</v>
      </c>
      <c r="W185" s="482">
        <v>0.0</v>
      </c>
      <c r="X185" s="482">
        <v>0.0</v>
      </c>
      <c r="Y185" s="482">
        <v>0.0</v>
      </c>
      <c r="Z185" s="482">
        <v>0.0</v>
      </c>
      <c r="AA185" s="482">
        <v>0.0</v>
      </c>
    </row>
    <row r="186" ht="12.75" customHeight="1">
      <c r="A186" s="24"/>
      <c r="B186" s="24"/>
      <c r="C186" s="24"/>
      <c r="D186" s="24"/>
      <c r="E186" s="24"/>
      <c r="F186" s="24"/>
      <c r="G186" s="474">
        <v>41365.0</v>
      </c>
      <c r="H186" s="469">
        <v>6940776.0</v>
      </c>
      <c r="I186" s="469">
        <v>1567092.0</v>
      </c>
      <c r="J186" s="469">
        <v>12752.0</v>
      </c>
      <c r="K186" s="469">
        <v>83650.0</v>
      </c>
      <c r="L186" s="469">
        <v>4982409.0</v>
      </c>
      <c r="M186" s="469">
        <v>273833.0</v>
      </c>
      <c r="N186" s="475">
        <v>0.0</v>
      </c>
      <c r="O186" s="475">
        <v>0.0</v>
      </c>
      <c r="P186" s="469">
        <v>21040.0</v>
      </c>
      <c r="Q186" s="24"/>
      <c r="R186" s="476">
        <v>41365.0</v>
      </c>
      <c r="S186" s="482">
        <v>0.0</v>
      </c>
      <c r="T186" s="482">
        <v>0.0</v>
      </c>
      <c r="U186" s="482">
        <v>0.0</v>
      </c>
      <c r="V186" s="482">
        <v>0.0</v>
      </c>
      <c r="W186" s="482">
        <v>0.0</v>
      </c>
      <c r="X186" s="482">
        <v>0.0</v>
      </c>
      <c r="Y186" s="482">
        <v>0.0</v>
      </c>
      <c r="Z186" s="482">
        <v>0.0</v>
      </c>
      <c r="AA186" s="482">
        <v>0.0</v>
      </c>
    </row>
    <row r="187" ht="12.75" customHeight="1">
      <c r="A187" s="24"/>
      <c r="B187" s="24"/>
      <c r="C187" s="24"/>
      <c r="D187" s="24"/>
      <c r="E187" s="24"/>
      <c r="F187" s="24"/>
      <c r="G187" s="474">
        <v>41395.0</v>
      </c>
      <c r="H187" s="469">
        <v>6882644.0</v>
      </c>
      <c r="I187" s="469">
        <v>1546847.0</v>
      </c>
      <c r="J187" s="469">
        <v>11889.0</v>
      </c>
      <c r="K187" s="469">
        <v>77217.0</v>
      </c>
      <c r="L187" s="469">
        <v>4920146.0</v>
      </c>
      <c r="M187" s="469">
        <v>298699.0</v>
      </c>
      <c r="N187" s="475">
        <v>0.0</v>
      </c>
      <c r="O187" s="475">
        <v>0.0</v>
      </c>
      <c r="P187" s="469">
        <v>27846.0</v>
      </c>
      <c r="Q187" s="24"/>
      <c r="R187" s="476">
        <v>41395.0</v>
      </c>
      <c r="S187" s="482">
        <v>0.0</v>
      </c>
      <c r="T187" s="482">
        <v>0.0</v>
      </c>
      <c r="U187" s="482">
        <v>0.0</v>
      </c>
      <c r="V187" s="482">
        <v>0.0</v>
      </c>
      <c r="W187" s="482">
        <v>0.0</v>
      </c>
      <c r="X187" s="482">
        <v>0.0</v>
      </c>
      <c r="Y187" s="482">
        <v>0.0</v>
      </c>
      <c r="Z187" s="482">
        <v>0.0</v>
      </c>
      <c r="AA187" s="482">
        <v>0.0</v>
      </c>
    </row>
    <row r="188" ht="12.75" customHeight="1">
      <c r="A188" s="24"/>
      <c r="B188" s="24"/>
      <c r="C188" s="24"/>
      <c r="D188" s="24"/>
      <c r="E188" s="24"/>
      <c r="F188" s="24"/>
      <c r="G188" s="474">
        <v>41426.0</v>
      </c>
      <c r="H188" s="469">
        <v>6644509.0</v>
      </c>
      <c r="I188" s="469">
        <v>1451083.0</v>
      </c>
      <c r="J188" s="469">
        <v>10653.0</v>
      </c>
      <c r="K188" s="469">
        <v>72986.0</v>
      </c>
      <c r="L188" s="469">
        <v>4788454.0</v>
      </c>
      <c r="M188" s="469">
        <v>299169.0</v>
      </c>
      <c r="N188" s="475">
        <v>0.0</v>
      </c>
      <c r="O188" s="475">
        <v>0.0</v>
      </c>
      <c r="P188" s="469">
        <v>22164.0</v>
      </c>
      <c r="Q188" s="24"/>
      <c r="R188" s="476">
        <v>41426.0</v>
      </c>
      <c r="S188" s="482">
        <v>0.0</v>
      </c>
      <c r="T188" s="482">
        <v>0.0</v>
      </c>
      <c r="U188" s="482">
        <v>0.0</v>
      </c>
      <c r="V188" s="482">
        <v>0.0</v>
      </c>
      <c r="W188" s="482">
        <v>0.0</v>
      </c>
      <c r="X188" s="482">
        <v>0.0</v>
      </c>
      <c r="Y188" s="482">
        <v>0.0</v>
      </c>
      <c r="Z188" s="482">
        <v>0.0</v>
      </c>
      <c r="AA188" s="482">
        <v>0.0</v>
      </c>
    </row>
    <row r="189" ht="12.75" customHeight="1">
      <c r="A189" s="24"/>
      <c r="B189" s="24"/>
      <c r="C189" s="24"/>
      <c r="D189" s="24"/>
      <c r="E189" s="24"/>
      <c r="F189" s="24"/>
      <c r="G189" s="474">
        <v>41456.0</v>
      </c>
      <c r="H189" s="469">
        <v>6214476.0</v>
      </c>
      <c r="I189" s="469">
        <v>964722.0</v>
      </c>
      <c r="J189" s="469">
        <v>11810.0</v>
      </c>
      <c r="K189" s="469">
        <v>75525.0</v>
      </c>
      <c r="L189" s="469">
        <v>4834859.0</v>
      </c>
      <c r="M189" s="469">
        <v>299123.0</v>
      </c>
      <c r="N189" s="475">
        <v>0.0</v>
      </c>
      <c r="O189" s="475">
        <v>0.0</v>
      </c>
      <c r="P189" s="469">
        <v>28437.0</v>
      </c>
      <c r="Q189" s="24"/>
      <c r="R189" s="476">
        <v>41456.0</v>
      </c>
      <c r="S189" s="482">
        <v>0.0</v>
      </c>
      <c r="T189" s="482">
        <v>0.0</v>
      </c>
      <c r="U189" s="482">
        <v>0.0</v>
      </c>
      <c r="V189" s="482">
        <v>0.0</v>
      </c>
      <c r="W189" s="482">
        <v>0.0</v>
      </c>
      <c r="X189" s="482">
        <v>0.0</v>
      </c>
      <c r="Y189" s="482">
        <v>0.0</v>
      </c>
      <c r="Z189" s="482">
        <v>0.0</v>
      </c>
      <c r="AA189" s="482">
        <v>0.0</v>
      </c>
    </row>
    <row r="190" ht="12.75" customHeight="1">
      <c r="A190" s="24"/>
      <c r="B190" s="24"/>
      <c r="C190" s="24"/>
      <c r="D190" s="24"/>
      <c r="E190" s="24"/>
      <c r="F190" s="24"/>
      <c r="G190" s="474">
        <v>41487.0</v>
      </c>
      <c r="H190" s="469">
        <v>5626714.0</v>
      </c>
      <c r="I190" s="469">
        <v>443819.0</v>
      </c>
      <c r="J190" s="469">
        <v>13439.0</v>
      </c>
      <c r="K190" s="469">
        <v>76561.0</v>
      </c>
      <c r="L190" s="469">
        <v>4857253.0</v>
      </c>
      <c r="M190" s="469">
        <v>211061.0</v>
      </c>
      <c r="N190" s="475">
        <v>0.0</v>
      </c>
      <c r="O190" s="475">
        <v>0.0</v>
      </c>
      <c r="P190" s="469">
        <v>24581.0</v>
      </c>
      <c r="Q190" s="24"/>
      <c r="R190" s="476">
        <v>41487.0</v>
      </c>
      <c r="S190" s="482">
        <v>0.0</v>
      </c>
      <c r="T190" s="482">
        <v>0.0</v>
      </c>
      <c r="U190" s="482">
        <v>0.0</v>
      </c>
      <c r="V190" s="482">
        <v>0.0</v>
      </c>
      <c r="W190" s="482">
        <v>0.0</v>
      </c>
      <c r="X190" s="482">
        <v>0.0</v>
      </c>
      <c r="Y190" s="482">
        <v>0.0</v>
      </c>
      <c r="Z190" s="482">
        <v>0.0</v>
      </c>
      <c r="AA190" s="482">
        <v>0.0</v>
      </c>
    </row>
    <row r="191" ht="12.75" customHeight="1">
      <c r="A191" s="24"/>
      <c r="B191" s="24"/>
      <c r="C191" s="24"/>
      <c r="D191" s="24"/>
      <c r="E191" s="24"/>
      <c r="F191" s="24"/>
      <c r="G191" s="474">
        <v>41518.0</v>
      </c>
      <c r="H191" s="469">
        <v>5944916.0</v>
      </c>
      <c r="I191" s="469">
        <v>904547.0</v>
      </c>
      <c r="J191" s="469">
        <v>13065.0</v>
      </c>
      <c r="K191" s="469">
        <v>75385.0</v>
      </c>
      <c r="L191" s="469">
        <v>4742775.0</v>
      </c>
      <c r="M191" s="469">
        <v>188433.0</v>
      </c>
      <c r="N191" s="475">
        <v>0.0</v>
      </c>
      <c r="O191" s="475">
        <v>0.0</v>
      </c>
      <c r="P191" s="469">
        <v>20711.0</v>
      </c>
      <c r="Q191" s="24"/>
      <c r="R191" s="476">
        <v>41518.0</v>
      </c>
      <c r="S191" s="482">
        <v>0.0</v>
      </c>
      <c r="T191" s="482">
        <v>0.0</v>
      </c>
      <c r="U191" s="482">
        <v>0.0</v>
      </c>
      <c r="V191" s="482">
        <v>0.0</v>
      </c>
      <c r="W191" s="482">
        <v>0.0</v>
      </c>
      <c r="X191" s="482">
        <v>0.0</v>
      </c>
      <c r="Y191" s="482">
        <v>0.0</v>
      </c>
      <c r="Z191" s="482">
        <v>0.0</v>
      </c>
      <c r="AA191" s="482">
        <v>0.0</v>
      </c>
    </row>
    <row r="192" ht="12.75" customHeight="1">
      <c r="A192" s="24"/>
      <c r="B192" s="24"/>
      <c r="C192" s="24"/>
      <c r="D192" s="24"/>
      <c r="E192" s="24"/>
      <c r="F192" s="24"/>
      <c r="G192" s="474">
        <v>41548.0</v>
      </c>
      <c r="H192" s="469">
        <v>6817075.0</v>
      </c>
      <c r="I192" s="469">
        <v>1460130.0</v>
      </c>
      <c r="J192" s="469">
        <v>13363.0</v>
      </c>
      <c r="K192" s="469">
        <v>79919.0</v>
      </c>
      <c r="L192" s="469">
        <v>4877475.0</v>
      </c>
      <c r="M192" s="469">
        <v>366037.0</v>
      </c>
      <c r="N192" s="475">
        <v>0.0</v>
      </c>
      <c r="O192" s="475">
        <v>0.0</v>
      </c>
      <c r="P192" s="469">
        <v>20150.0</v>
      </c>
      <c r="Q192" s="24"/>
      <c r="R192" s="476">
        <v>41548.0</v>
      </c>
      <c r="S192" s="482">
        <v>0.0</v>
      </c>
      <c r="T192" s="482">
        <v>0.0</v>
      </c>
      <c r="U192" s="482">
        <v>0.0</v>
      </c>
      <c r="V192" s="482">
        <v>0.0</v>
      </c>
      <c r="W192" s="482">
        <v>0.0</v>
      </c>
      <c r="X192" s="482">
        <v>0.0</v>
      </c>
      <c r="Y192" s="482">
        <v>0.0</v>
      </c>
      <c r="Z192" s="482">
        <v>0.0</v>
      </c>
      <c r="AA192" s="482">
        <v>0.0</v>
      </c>
    </row>
    <row r="193" ht="12.75" customHeight="1">
      <c r="A193" s="24"/>
      <c r="B193" s="24"/>
      <c r="C193" s="24"/>
      <c r="D193" s="24"/>
      <c r="E193" s="24"/>
      <c r="F193" s="24"/>
      <c r="G193" s="474">
        <v>41579.0</v>
      </c>
      <c r="H193" s="469">
        <v>6661962.0</v>
      </c>
      <c r="I193" s="469">
        <v>1426492.0</v>
      </c>
      <c r="J193" s="469">
        <v>13867.0</v>
      </c>
      <c r="K193" s="469">
        <v>80218.0</v>
      </c>
      <c r="L193" s="469">
        <v>4847675.0</v>
      </c>
      <c r="M193" s="469">
        <v>273094.0</v>
      </c>
      <c r="N193" s="475">
        <v>0.0</v>
      </c>
      <c r="O193" s="475">
        <v>0.0</v>
      </c>
      <c r="P193" s="469">
        <v>20617.0</v>
      </c>
      <c r="Q193" s="24"/>
      <c r="R193" s="476">
        <v>41579.0</v>
      </c>
      <c r="S193" s="482">
        <v>0.0</v>
      </c>
      <c r="T193" s="482">
        <v>0.0</v>
      </c>
      <c r="U193" s="482">
        <v>0.0</v>
      </c>
      <c r="V193" s="482">
        <v>0.0</v>
      </c>
      <c r="W193" s="482">
        <v>0.0</v>
      </c>
      <c r="X193" s="482">
        <v>0.0</v>
      </c>
      <c r="Y193" s="482">
        <v>0.0</v>
      </c>
      <c r="Z193" s="482">
        <v>0.0</v>
      </c>
      <c r="AA193" s="482">
        <v>0.0</v>
      </c>
    </row>
    <row r="194" ht="12.75" customHeight="1">
      <c r="A194" s="24"/>
      <c r="B194" s="24"/>
      <c r="C194" s="24"/>
      <c r="D194" s="24"/>
      <c r="E194" s="24"/>
      <c r="F194" s="24"/>
      <c r="G194" s="474">
        <v>41609.0</v>
      </c>
      <c r="H194" s="469">
        <v>6872652.0</v>
      </c>
      <c r="I194" s="469">
        <v>1454119.0</v>
      </c>
      <c r="J194" s="469">
        <v>15953.0</v>
      </c>
      <c r="K194" s="469">
        <v>85209.0</v>
      </c>
      <c r="L194" s="469">
        <v>5056507.0</v>
      </c>
      <c r="M194" s="469">
        <v>242649.0</v>
      </c>
      <c r="N194" s="475">
        <v>0.0</v>
      </c>
      <c r="O194" s="475">
        <v>0.0</v>
      </c>
      <c r="P194" s="469">
        <v>18216.0</v>
      </c>
      <c r="Q194" s="24"/>
      <c r="R194" s="476">
        <v>41609.0</v>
      </c>
      <c r="S194" s="482">
        <v>0.0</v>
      </c>
      <c r="T194" s="482">
        <v>0.0</v>
      </c>
      <c r="U194" s="482">
        <v>0.0</v>
      </c>
      <c r="V194" s="482">
        <v>0.0</v>
      </c>
      <c r="W194" s="482">
        <v>0.0</v>
      </c>
      <c r="X194" s="482">
        <v>0.0</v>
      </c>
      <c r="Y194" s="482">
        <v>0.0</v>
      </c>
      <c r="Z194" s="482">
        <v>0.0</v>
      </c>
      <c r="AA194" s="482">
        <v>0.0</v>
      </c>
    </row>
    <row r="195" ht="12.75" customHeight="1">
      <c r="A195" s="24"/>
      <c r="B195" s="24"/>
      <c r="C195" s="24"/>
      <c r="D195" s="24"/>
      <c r="E195" s="24"/>
      <c r="F195" s="24"/>
      <c r="G195" s="470"/>
      <c r="H195" s="470"/>
      <c r="I195" s="470"/>
      <c r="J195" s="470"/>
      <c r="K195" s="470"/>
      <c r="L195" s="470"/>
      <c r="M195" s="470"/>
      <c r="N195" s="470"/>
      <c r="O195" s="470"/>
      <c r="P195" s="470"/>
      <c r="Q195" s="24"/>
      <c r="R195" s="471"/>
      <c r="S195" s="481"/>
      <c r="T195" s="481"/>
      <c r="U195" s="481"/>
      <c r="V195" s="481"/>
      <c r="W195" s="481"/>
      <c r="X195" s="481"/>
      <c r="Y195" s="481"/>
      <c r="Z195" s="481"/>
      <c r="AA195" s="481"/>
    </row>
    <row r="196" ht="12.75" customHeight="1">
      <c r="A196" s="24"/>
      <c r="B196" s="24"/>
      <c r="C196" s="24"/>
      <c r="D196" s="24"/>
      <c r="E196" s="24"/>
      <c r="F196" s="24"/>
      <c r="G196" s="474">
        <v>41640.0</v>
      </c>
      <c r="H196" s="469">
        <v>6833591.0</v>
      </c>
      <c r="I196" s="469">
        <v>1453603.0</v>
      </c>
      <c r="J196" s="469">
        <v>15977.0</v>
      </c>
      <c r="K196" s="469">
        <v>85102.0</v>
      </c>
      <c r="L196" s="469">
        <v>5121045.0</v>
      </c>
      <c r="M196" s="469">
        <v>138033.0</v>
      </c>
      <c r="N196" s="475">
        <v>0.0</v>
      </c>
      <c r="O196" s="475">
        <v>0.0</v>
      </c>
      <c r="P196" s="469">
        <v>19831.0</v>
      </c>
      <c r="Q196" s="24"/>
      <c r="R196" s="476">
        <v>41640.0</v>
      </c>
      <c r="S196" s="482">
        <v>0.0</v>
      </c>
      <c r="T196" s="482">
        <v>0.0</v>
      </c>
      <c r="U196" s="482">
        <v>0.0</v>
      </c>
      <c r="V196" s="482">
        <v>0.0</v>
      </c>
      <c r="W196" s="482">
        <v>0.0</v>
      </c>
      <c r="X196" s="482">
        <v>0.0</v>
      </c>
      <c r="Y196" s="482">
        <v>0.0</v>
      </c>
      <c r="Z196" s="482">
        <v>0.0</v>
      </c>
      <c r="AA196" s="482">
        <v>0.0</v>
      </c>
    </row>
    <row r="197" ht="12.75" customHeight="1">
      <c r="A197" s="24"/>
      <c r="B197" s="24"/>
      <c r="C197" s="24"/>
      <c r="D197" s="24"/>
      <c r="E197" s="24"/>
      <c r="F197" s="24"/>
      <c r="G197" s="474">
        <v>41671.0</v>
      </c>
      <c r="H197" s="469">
        <v>6170648.0</v>
      </c>
      <c r="I197" s="469">
        <v>1331239.0</v>
      </c>
      <c r="J197" s="469">
        <v>14462.0</v>
      </c>
      <c r="K197" s="469">
        <v>76814.0</v>
      </c>
      <c r="L197" s="469">
        <v>4595708.0</v>
      </c>
      <c r="M197" s="469">
        <v>133784.0</v>
      </c>
      <c r="N197" s="475">
        <v>0.0</v>
      </c>
      <c r="O197" s="475">
        <v>0.0</v>
      </c>
      <c r="P197" s="469">
        <v>18642.0</v>
      </c>
      <c r="Q197" s="24"/>
      <c r="R197" s="476">
        <v>41671.0</v>
      </c>
      <c r="S197" s="482">
        <v>0.0</v>
      </c>
      <c r="T197" s="482">
        <v>0.0</v>
      </c>
      <c r="U197" s="482">
        <v>0.0</v>
      </c>
      <c r="V197" s="482">
        <v>0.0</v>
      </c>
      <c r="W197" s="482">
        <v>0.0</v>
      </c>
      <c r="X197" s="482">
        <v>0.0</v>
      </c>
      <c r="Y197" s="482">
        <v>0.0</v>
      </c>
      <c r="Z197" s="482">
        <v>0.0</v>
      </c>
      <c r="AA197" s="482">
        <v>0.0</v>
      </c>
    </row>
    <row r="198" ht="12.75" customHeight="1">
      <c r="A198" s="24"/>
      <c r="B198" s="24"/>
      <c r="C198" s="24"/>
      <c r="D198" s="24"/>
      <c r="E198" s="24"/>
      <c r="F198" s="24"/>
      <c r="G198" s="474">
        <v>41699.0</v>
      </c>
      <c r="H198" s="469">
        <v>6869096.0</v>
      </c>
      <c r="I198" s="469">
        <v>1495063.0</v>
      </c>
      <c r="J198" s="469">
        <v>15276.0</v>
      </c>
      <c r="K198" s="469">
        <v>79319.0</v>
      </c>
      <c r="L198" s="469">
        <v>5098014.0</v>
      </c>
      <c r="M198" s="469">
        <v>160478.0</v>
      </c>
      <c r="N198" s="475">
        <v>0.0</v>
      </c>
      <c r="O198" s="475">
        <v>0.0</v>
      </c>
      <c r="P198" s="469">
        <v>20946.0</v>
      </c>
      <c r="Q198" s="24"/>
      <c r="R198" s="476">
        <v>41699.0</v>
      </c>
      <c r="S198" s="482">
        <v>0.0</v>
      </c>
      <c r="T198" s="482">
        <v>0.0</v>
      </c>
      <c r="U198" s="482">
        <v>0.0</v>
      </c>
      <c r="V198" s="482">
        <v>0.0</v>
      </c>
      <c r="W198" s="482">
        <v>0.0</v>
      </c>
      <c r="X198" s="482">
        <v>0.0</v>
      </c>
      <c r="Y198" s="482">
        <v>0.0</v>
      </c>
      <c r="Z198" s="482">
        <v>0.0</v>
      </c>
      <c r="AA198" s="482">
        <v>0.0</v>
      </c>
    </row>
    <row r="199" ht="12.75" customHeight="1">
      <c r="A199" s="24"/>
      <c r="B199" s="24"/>
      <c r="C199" s="24"/>
      <c r="D199" s="24"/>
      <c r="E199" s="24"/>
      <c r="F199" s="24"/>
      <c r="G199" s="474">
        <v>41730.0</v>
      </c>
      <c r="H199" s="469">
        <v>6614889.0</v>
      </c>
      <c r="I199" s="469">
        <v>1427885.0</v>
      </c>
      <c r="J199" s="469">
        <v>14638.0</v>
      </c>
      <c r="K199" s="469">
        <v>79080.0</v>
      </c>
      <c r="L199" s="469">
        <v>4918048.0</v>
      </c>
      <c r="M199" s="469">
        <v>155108.0</v>
      </c>
      <c r="N199" s="475">
        <v>0.0</v>
      </c>
      <c r="O199" s="475">
        <v>0.0</v>
      </c>
      <c r="P199" s="469">
        <v>20130.0</v>
      </c>
      <c r="Q199" s="24"/>
      <c r="R199" s="476">
        <v>41730.0</v>
      </c>
      <c r="S199" s="482">
        <v>0.0</v>
      </c>
      <c r="T199" s="482">
        <v>0.0</v>
      </c>
      <c r="U199" s="482">
        <v>0.0</v>
      </c>
      <c r="V199" s="482">
        <v>0.0</v>
      </c>
      <c r="W199" s="482">
        <v>0.0</v>
      </c>
      <c r="X199" s="482">
        <v>0.0</v>
      </c>
      <c r="Y199" s="482">
        <v>0.0</v>
      </c>
      <c r="Z199" s="482">
        <v>0.0</v>
      </c>
      <c r="AA199" s="482">
        <v>0.0</v>
      </c>
    </row>
    <row r="200" ht="12.75" customHeight="1">
      <c r="A200" s="24"/>
      <c r="B200" s="24"/>
      <c r="C200" s="24"/>
      <c r="D200" s="24"/>
      <c r="E200" s="24"/>
      <c r="F200" s="24"/>
      <c r="G200" s="474">
        <v>41760.0</v>
      </c>
      <c r="H200" s="469">
        <v>6803762.0</v>
      </c>
      <c r="I200" s="469">
        <v>1458768.0</v>
      </c>
      <c r="J200" s="469">
        <v>14122.0</v>
      </c>
      <c r="K200" s="469">
        <v>80100.0</v>
      </c>
      <c r="L200" s="469">
        <v>5035803.0</v>
      </c>
      <c r="M200" s="469">
        <v>194997.0</v>
      </c>
      <c r="N200" s="475">
        <v>0.0</v>
      </c>
      <c r="O200" s="475">
        <v>0.0</v>
      </c>
      <c r="P200" s="469">
        <v>19972.0</v>
      </c>
      <c r="Q200" s="24"/>
      <c r="R200" s="476">
        <v>41760.0</v>
      </c>
      <c r="S200" s="482">
        <v>0.0</v>
      </c>
      <c r="T200" s="482">
        <v>0.0</v>
      </c>
      <c r="U200" s="482">
        <v>0.0</v>
      </c>
      <c r="V200" s="482">
        <v>0.0</v>
      </c>
      <c r="W200" s="482">
        <v>0.0</v>
      </c>
      <c r="X200" s="482">
        <v>0.0</v>
      </c>
      <c r="Y200" s="482">
        <v>0.0</v>
      </c>
      <c r="Z200" s="482">
        <v>0.0</v>
      </c>
      <c r="AA200" s="482">
        <v>0.0</v>
      </c>
    </row>
    <row r="201" ht="12.75" customHeight="1">
      <c r="A201" s="24"/>
      <c r="B201" s="24"/>
      <c r="C201" s="24"/>
      <c r="D201" s="24"/>
      <c r="E201" s="24"/>
      <c r="F201" s="24"/>
      <c r="G201" s="474">
        <v>41791.0</v>
      </c>
      <c r="H201" s="469">
        <v>5844903.0</v>
      </c>
      <c r="I201" s="469">
        <v>1246674.0</v>
      </c>
      <c r="J201" s="469">
        <v>12203.0</v>
      </c>
      <c r="K201" s="469">
        <v>55884.0</v>
      </c>
      <c r="L201" s="469">
        <v>3983167.0</v>
      </c>
      <c r="M201" s="469">
        <v>450125.0</v>
      </c>
      <c r="N201" s="475">
        <v>0.0</v>
      </c>
      <c r="O201" s="475">
        <v>0.0</v>
      </c>
      <c r="P201" s="469">
        <v>96850.0</v>
      </c>
      <c r="Q201" s="24"/>
      <c r="R201" s="476">
        <v>41791.0</v>
      </c>
      <c r="S201" s="482">
        <v>0.0</v>
      </c>
      <c r="T201" s="482">
        <v>0.0</v>
      </c>
      <c r="U201" s="482">
        <v>0.0</v>
      </c>
      <c r="V201" s="482">
        <v>0.0</v>
      </c>
      <c r="W201" s="482">
        <v>0.0</v>
      </c>
      <c r="X201" s="482">
        <v>0.0</v>
      </c>
      <c r="Y201" s="482">
        <v>0.0</v>
      </c>
      <c r="Z201" s="482">
        <v>0.0</v>
      </c>
      <c r="AA201" s="482">
        <v>0.0</v>
      </c>
    </row>
    <row r="202" ht="12.75" customHeight="1">
      <c r="A202" s="24"/>
      <c r="B202" s="24"/>
      <c r="C202" s="24"/>
      <c r="D202" s="24"/>
      <c r="E202" s="24"/>
      <c r="F202" s="24"/>
      <c r="G202" s="474">
        <v>41821.0</v>
      </c>
      <c r="H202" s="469">
        <v>6634591.0</v>
      </c>
      <c r="I202" s="469">
        <v>1453073.0</v>
      </c>
      <c r="J202" s="469">
        <v>12797.0</v>
      </c>
      <c r="K202" s="469">
        <v>72720.0</v>
      </c>
      <c r="L202" s="469">
        <v>4792236.0</v>
      </c>
      <c r="M202" s="469">
        <v>273550.0</v>
      </c>
      <c r="N202" s="475">
        <v>0.0</v>
      </c>
      <c r="O202" s="475">
        <v>0.0</v>
      </c>
      <c r="P202" s="469">
        <v>30215.0</v>
      </c>
      <c r="Q202" s="24"/>
      <c r="R202" s="476">
        <v>41821.0</v>
      </c>
      <c r="S202" s="482">
        <v>0.0</v>
      </c>
      <c r="T202" s="482">
        <v>0.0</v>
      </c>
      <c r="U202" s="482">
        <v>0.0</v>
      </c>
      <c r="V202" s="482">
        <v>0.0</v>
      </c>
      <c r="W202" s="482">
        <v>0.0</v>
      </c>
      <c r="X202" s="482">
        <v>0.0</v>
      </c>
      <c r="Y202" s="482">
        <v>0.0</v>
      </c>
      <c r="Z202" s="482">
        <v>0.0</v>
      </c>
      <c r="AA202" s="482">
        <v>0.0</v>
      </c>
    </row>
    <row r="203" ht="12.75" customHeight="1">
      <c r="A203" s="24"/>
      <c r="B203" s="24"/>
      <c r="C203" s="24"/>
      <c r="D203" s="24"/>
      <c r="E203" s="24"/>
      <c r="F203" s="24"/>
      <c r="G203" s="474">
        <v>41852.0</v>
      </c>
      <c r="H203" s="469">
        <v>6661450.0</v>
      </c>
      <c r="I203" s="469">
        <v>1436165.0</v>
      </c>
      <c r="J203" s="469">
        <v>13461.0</v>
      </c>
      <c r="K203" s="469">
        <v>81738.0</v>
      </c>
      <c r="L203" s="469">
        <v>4872406.0</v>
      </c>
      <c r="M203" s="469">
        <v>239007.0</v>
      </c>
      <c r="N203" s="475">
        <v>0.0</v>
      </c>
      <c r="O203" s="475">
        <v>0.0</v>
      </c>
      <c r="P203" s="469">
        <v>18673.0</v>
      </c>
      <c r="Q203" s="24"/>
      <c r="R203" s="476">
        <v>41852.0</v>
      </c>
      <c r="S203" s="482">
        <v>0.0</v>
      </c>
      <c r="T203" s="482">
        <v>0.0</v>
      </c>
      <c r="U203" s="482">
        <v>0.0</v>
      </c>
      <c r="V203" s="482">
        <v>0.0</v>
      </c>
      <c r="W203" s="482">
        <v>0.0</v>
      </c>
      <c r="X203" s="482">
        <v>0.0</v>
      </c>
      <c r="Y203" s="482">
        <v>0.0</v>
      </c>
      <c r="Z203" s="482">
        <v>0.0</v>
      </c>
      <c r="AA203" s="482">
        <v>0.0</v>
      </c>
    </row>
    <row r="204" ht="12.75" customHeight="1">
      <c r="A204" s="24"/>
      <c r="B204" s="24"/>
      <c r="C204" s="24"/>
      <c r="D204" s="24"/>
      <c r="E204" s="24"/>
      <c r="F204" s="24"/>
      <c r="G204" s="474">
        <v>41883.0</v>
      </c>
      <c r="H204" s="469">
        <v>9534357.0</v>
      </c>
      <c r="I204" s="469">
        <v>1293391.0</v>
      </c>
      <c r="J204" s="469">
        <v>13154.0</v>
      </c>
      <c r="K204" s="469">
        <v>75211.0</v>
      </c>
      <c r="L204" s="469">
        <v>4614411.0</v>
      </c>
      <c r="M204" s="469">
        <v>218955.0</v>
      </c>
      <c r="N204" s="475">
        <v>0.0</v>
      </c>
      <c r="O204" s="475">
        <v>0.0</v>
      </c>
      <c r="P204" s="469">
        <v>19235.0</v>
      </c>
      <c r="Q204" s="24"/>
      <c r="R204" s="476">
        <v>41883.0</v>
      </c>
      <c r="S204" s="482">
        <v>0.0</v>
      </c>
      <c r="T204" s="482">
        <v>0.0</v>
      </c>
      <c r="U204" s="482">
        <v>0.0</v>
      </c>
      <c r="V204" s="482">
        <v>0.0</v>
      </c>
      <c r="W204" s="482">
        <v>0.0</v>
      </c>
      <c r="X204" s="482">
        <v>0.0</v>
      </c>
      <c r="Y204" s="482">
        <v>0.0</v>
      </c>
      <c r="Z204" s="482">
        <v>0.0</v>
      </c>
      <c r="AA204" s="482">
        <v>0.0</v>
      </c>
    </row>
    <row r="205" ht="12.75" customHeight="1">
      <c r="A205" s="24"/>
      <c r="B205" s="24"/>
      <c r="C205" s="24"/>
      <c r="D205" s="24"/>
      <c r="E205" s="24"/>
      <c r="F205" s="24"/>
      <c r="G205" s="474">
        <v>41913.0</v>
      </c>
      <c r="H205" s="469">
        <v>6349277.0</v>
      </c>
      <c r="I205" s="469">
        <v>1321880.0</v>
      </c>
      <c r="J205" s="469">
        <v>13310.0</v>
      </c>
      <c r="K205" s="469">
        <v>73767.0</v>
      </c>
      <c r="L205" s="469">
        <v>4610940.0</v>
      </c>
      <c r="M205" s="469">
        <v>286546.0</v>
      </c>
      <c r="N205" s="475">
        <v>0.0</v>
      </c>
      <c r="O205" s="475">
        <v>0.0</v>
      </c>
      <c r="P205" s="469">
        <v>42835.0</v>
      </c>
      <c r="Q205" s="24"/>
      <c r="R205" s="476">
        <v>41913.0</v>
      </c>
      <c r="S205" s="482">
        <v>0.0</v>
      </c>
      <c r="T205" s="482">
        <v>0.0</v>
      </c>
      <c r="U205" s="482">
        <v>0.0</v>
      </c>
      <c r="V205" s="482">
        <v>0.0</v>
      </c>
      <c r="W205" s="482">
        <v>0.0</v>
      </c>
      <c r="X205" s="482">
        <v>0.0</v>
      </c>
      <c r="Y205" s="482">
        <v>0.0</v>
      </c>
      <c r="Z205" s="482">
        <v>0.0</v>
      </c>
      <c r="AA205" s="482">
        <v>0.0</v>
      </c>
    </row>
    <row r="206" ht="12.75" customHeight="1">
      <c r="A206" s="24"/>
      <c r="B206" s="24"/>
      <c r="C206" s="24"/>
      <c r="D206" s="24"/>
      <c r="E206" s="24"/>
      <c r="F206" s="24"/>
      <c r="G206" s="474">
        <v>41944.0</v>
      </c>
      <c r="H206" s="469">
        <v>6301120.0</v>
      </c>
      <c r="I206" s="469">
        <v>1309615.0</v>
      </c>
      <c r="J206" s="469">
        <v>15152.0</v>
      </c>
      <c r="K206" s="469">
        <v>80853.0</v>
      </c>
      <c r="L206" s="469">
        <v>4750512.0</v>
      </c>
      <c r="M206" s="469">
        <v>121382.0</v>
      </c>
      <c r="N206" s="475">
        <v>0.0</v>
      </c>
      <c r="O206" s="475">
        <v>0.0</v>
      </c>
      <c r="P206" s="469">
        <v>23607.0</v>
      </c>
      <c r="Q206" s="24"/>
      <c r="R206" s="476">
        <v>41944.0</v>
      </c>
      <c r="S206" s="482">
        <v>0.0</v>
      </c>
      <c r="T206" s="482">
        <v>0.0</v>
      </c>
      <c r="U206" s="482">
        <v>0.0</v>
      </c>
      <c r="V206" s="482">
        <v>0.0</v>
      </c>
      <c r="W206" s="482">
        <v>0.0</v>
      </c>
      <c r="X206" s="482">
        <v>0.0</v>
      </c>
      <c r="Y206" s="482">
        <v>0.0</v>
      </c>
      <c r="Z206" s="482">
        <v>0.0</v>
      </c>
      <c r="AA206" s="482">
        <v>0.0</v>
      </c>
    </row>
    <row r="207" ht="12.75" customHeight="1">
      <c r="A207" s="24"/>
      <c r="B207" s="24"/>
      <c r="C207" s="24"/>
      <c r="D207" s="24"/>
      <c r="E207" s="24"/>
      <c r="F207" s="24"/>
      <c r="G207" s="474">
        <v>41974.0</v>
      </c>
      <c r="H207" s="469">
        <v>6509331.0</v>
      </c>
      <c r="I207" s="469">
        <v>1326359.0</v>
      </c>
      <c r="J207" s="469">
        <v>16275.0</v>
      </c>
      <c r="K207" s="469">
        <v>84616.0</v>
      </c>
      <c r="L207" s="469">
        <v>4945357.0</v>
      </c>
      <c r="M207" s="469">
        <v>116508.0</v>
      </c>
      <c r="N207" s="475">
        <v>0.0</v>
      </c>
      <c r="O207" s="475">
        <v>0.0</v>
      </c>
      <c r="P207" s="469">
        <v>20216.0</v>
      </c>
      <c r="Q207" s="24"/>
      <c r="R207" s="476">
        <v>41974.0</v>
      </c>
      <c r="S207" s="482">
        <v>0.0</v>
      </c>
      <c r="T207" s="482">
        <v>0.0</v>
      </c>
      <c r="U207" s="482">
        <v>0.0</v>
      </c>
      <c r="V207" s="482">
        <v>0.0</v>
      </c>
      <c r="W207" s="482">
        <v>0.0</v>
      </c>
      <c r="X207" s="482">
        <v>0.0</v>
      </c>
      <c r="Y207" s="482">
        <v>0.0</v>
      </c>
      <c r="Z207" s="482">
        <v>0.0</v>
      </c>
      <c r="AA207" s="482">
        <v>0.0</v>
      </c>
    </row>
    <row r="208" ht="12.75" customHeight="1">
      <c r="A208" s="24"/>
      <c r="B208" s="24"/>
      <c r="C208" s="24"/>
      <c r="D208" s="24"/>
      <c r="E208" s="24"/>
      <c r="F208" s="24"/>
      <c r="G208" s="470"/>
      <c r="H208" s="470"/>
      <c r="I208" s="470"/>
      <c r="J208" s="470"/>
      <c r="K208" s="470"/>
      <c r="L208" s="470"/>
      <c r="M208" s="470"/>
      <c r="N208" s="470"/>
      <c r="O208" s="470"/>
      <c r="P208" s="470"/>
      <c r="Q208" s="24"/>
      <c r="R208" s="471"/>
      <c r="S208" s="481"/>
      <c r="T208" s="481"/>
      <c r="U208" s="481"/>
      <c r="V208" s="481"/>
      <c r="W208" s="481"/>
      <c r="X208" s="481"/>
      <c r="Y208" s="481"/>
      <c r="Z208" s="481"/>
      <c r="AA208" s="481"/>
    </row>
    <row r="209" ht="12.75" customHeight="1">
      <c r="A209" s="24"/>
      <c r="B209" s="24"/>
      <c r="C209" s="24"/>
      <c r="D209" s="24"/>
      <c r="E209" s="24"/>
      <c r="F209" s="24"/>
      <c r="G209" s="474">
        <v>42005.0</v>
      </c>
      <c r="H209" s="469">
        <v>6523592.0</v>
      </c>
      <c r="I209" s="469">
        <v>1365485.0</v>
      </c>
      <c r="J209" s="469">
        <v>17286.0</v>
      </c>
      <c r="K209" s="469">
        <v>83960.0</v>
      </c>
      <c r="L209" s="469">
        <v>4911855.0</v>
      </c>
      <c r="M209" s="469">
        <v>119589.0</v>
      </c>
      <c r="N209" s="475">
        <v>0.0</v>
      </c>
      <c r="O209" s="475">
        <v>0.0</v>
      </c>
      <c r="P209" s="469">
        <v>25417.0</v>
      </c>
      <c r="Q209" s="24"/>
      <c r="R209" s="476">
        <v>42005.0</v>
      </c>
      <c r="S209" s="482">
        <v>0.0</v>
      </c>
      <c r="T209" s="482">
        <v>0.0</v>
      </c>
      <c r="U209" s="482">
        <v>0.0</v>
      </c>
      <c r="V209" s="482">
        <v>0.0</v>
      </c>
      <c r="W209" s="482">
        <v>0.0</v>
      </c>
      <c r="X209" s="482">
        <v>0.0</v>
      </c>
      <c r="Y209" s="482">
        <v>0.0</v>
      </c>
      <c r="Z209" s="482">
        <v>0.0</v>
      </c>
      <c r="AA209" s="482">
        <v>0.0</v>
      </c>
    </row>
    <row r="210" ht="12.75" customHeight="1">
      <c r="A210" s="24"/>
      <c r="B210" s="24"/>
      <c r="C210" s="24"/>
      <c r="D210" s="24"/>
      <c r="E210" s="24"/>
      <c r="F210" s="24"/>
      <c r="G210" s="474">
        <v>42036.0</v>
      </c>
      <c r="H210" s="469">
        <v>5310858.0</v>
      </c>
      <c r="I210" s="469">
        <v>1047532.0</v>
      </c>
      <c r="J210" s="469">
        <v>18279.0</v>
      </c>
      <c r="K210" s="469">
        <v>61417.0</v>
      </c>
      <c r="L210" s="469">
        <v>3505883.0</v>
      </c>
      <c r="M210" s="469">
        <v>479601.0</v>
      </c>
      <c r="N210" s="475">
        <v>0.0</v>
      </c>
      <c r="O210" s="475">
        <v>0.0</v>
      </c>
      <c r="P210" s="469">
        <v>198146.0</v>
      </c>
      <c r="Q210" s="24"/>
      <c r="R210" s="476">
        <v>42036.0</v>
      </c>
      <c r="S210" s="482">
        <v>0.0</v>
      </c>
      <c r="T210" s="482">
        <v>0.0</v>
      </c>
      <c r="U210" s="482">
        <v>0.0</v>
      </c>
      <c r="V210" s="482">
        <v>0.0</v>
      </c>
      <c r="W210" s="482">
        <v>0.0</v>
      </c>
      <c r="X210" s="482">
        <v>0.0</v>
      </c>
      <c r="Y210" s="482">
        <v>0.0</v>
      </c>
      <c r="Z210" s="482">
        <v>0.0</v>
      </c>
      <c r="AA210" s="482">
        <v>0.0</v>
      </c>
    </row>
    <row r="211" ht="12.75" customHeight="1">
      <c r="A211" s="24"/>
      <c r="B211" s="24"/>
      <c r="C211" s="24"/>
      <c r="D211" s="24"/>
      <c r="E211" s="24"/>
      <c r="F211" s="24"/>
      <c r="G211" s="474">
        <v>42064.0</v>
      </c>
      <c r="H211" s="469">
        <v>5950831.0</v>
      </c>
      <c r="I211" s="469">
        <v>948304.0</v>
      </c>
      <c r="J211" s="469">
        <v>20057.0</v>
      </c>
      <c r="K211" s="469">
        <v>77149.0</v>
      </c>
      <c r="L211" s="469">
        <v>4845858.0</v>
      </c>
      <c r="M211" s="469">
        <v>40394.0</v>
      </c>
      <c r="N211" s="475">
        <v>0.0</v>
      </c>
      <c r="O211" s="475">
        <v>0.0</v>
      </c>
      <c r="P211" s="469">
        <v>19069.0</v>
      </c>
      <c r="Q211" s="24"/>
      <c r="R211" s="476">
        <v>42064.0</v>
      </c>
      <c r="S211" s="482">
        <v>0.0</v>
      </c>
      <c r="T211" s="482">
        <v>0.0</v>
      </c>
      <c r="U211" s="482">
        <v>0.0</v>
      </c>
      <c r="V211" s="482">
        <v>0.0</v>
      </c>
      <c r="W211" s="482">
        <v>0.0</v>
      </c>
      <c r="X211" s="482">
        <v>0.0</v>
      </c>
      <c r="Y211" s="482">
        <v>0.0</v>
      </c>
      <c r="Z211" s="482">
        <v>0.0</v>
      </c>
      <c r="AA211" s="482">
        <v>0.0</v>
      </c>
    </row>
    <row r="212" ht="12.75" customHeight="1">
      <c r="A212" s="24"/>
      <c r="B212" s="24"/>
      <c r="C212" s="24"/>
      <c r="D212" s="24"/>
      <c r="E212" s="24"/>
      <c r="F212" s="24"/>
      <c r="G212" s="474">
        <v>42095.0</v>
      </c>
      <c r="H212" s="469">
        <v>5733141.0</v>
      </c>
      <c r="I212" s="469">
        <v>880612.0</v>
      </c>
      <c r="J212" s="469">
        <v>18982.0</v>
      </c>
      <c r="K212" s="469">
        <v>75288.0</v>
      </c>
      <c r="L212" s="469">
        <v>4731624.0</v>
      </c>
      <c r="M212" s="469">
        <v>8502.0</v>
      </c>
      <c r="N212" s="475">
        <v>0.0</v>
      </c>
      <c r="O212" s="475">
        <v>0.0</v>
      </c>
      <c r="P212" s="469">
        <v>18133.0</v>
      </c>
      <c r="Q212" s="24"/>
      <c r="R212" s="476">
        <v>42095.0</v>
      </c>
      <c r="S212" s="482">
        <v>0.0</v>
      </c>
      <c r="T212" s="482">
        <v>0.0</v>
      </c>
      <c r="U212" s="482">
        <v>0.0</v>
      </c>
      <c r="V212" s="482">
        <v>0.0</v>
      </c>
      <c r="W212" s="482">
        <v>0.0</v>
      </c>
      <c r="X212" s="482">
        <v>0.0</v>
      </c>
      <c r="Y212" s="482">
        <v>0.0</v>
      </c>
      <c r="Z212" s="482">
        <v>0.0</v>
      </c>
      <c r="AA212" s="482">
        <v>0.0</v>
      </c>
    </row>
    <row r="213" ht="12.75" customHeight="1">
      <c r="A213" s="24"/>
      <c r="B213" s="24"/>
      <c r="C213" s="24"/>
      <c r="D213" s="24"/>
      <c r="E213" s="24"/>
      <c r="F213" s="24"/>
      <c r="G213" s="474">
        <v>42125.0</v>
      </c>
      <c r="H213" s="469">
        <v>5881192.0</v>
      </c>
      <c r="I213" s="469">
        <v>886907.0</v>
      </c>
      <c r="J213" s="469">
        <v>18326.0</v>
      </c>
      <c r="K213" s="469">
        <v>75744.0</v>
      </c>
      <c r="L213" s="469">
        <v>4850938.0</v>
      </c>
      <c r="M213" s="469">
        <v>29883.0</v>
      </c>
      <c r="N213" s="475">
        <v>0.0</v>
      </c>
      <c r="O213" s="475">
        <v>0.0</v>
      </c>
      <c r="P213" s="469">
        <v>19394.0</v>
      </c>
      <c r="Q213" s="24"/>
      <c r="R213" s="476">
        <v>42125.0</v>
      </c>
      <c r="S213" s="482">
        <v>0.0</v>
      </c>
      <c r="T213" s="482">
        <v>0.0</v>
      </c>
      <c r="U213" s="482">
        <v>0.0</v>
      </c>
      <c r="V213" s="482">
        <v>0.0</v>
      </c>
      <c r="W213" s="482">
        <v>0.0</v>
      </c>
      <c r="X213" s="482">
        <v>0.0</v>
      </c>
      <c r="Y213" s="482">
        <v>0.0</v>
      </c>
      <c r="Z213" s="482">
        <v>0.0</v>
      </c>
      <c r="AA213" s="482">
        <v>0.0</v>
      </c>
    </row>
    <row r="214" ht="12.75" customHeight="1">
      <c r="A214" s="24"/>
      <c r="B214" s="24"/>
      <c r="C214" s="24"/>
      <c r="D214" s="24"/>
      <c r="E214" s="24"/>
      <c r="F214" s="24"/>
      <c r="G214" s="474">
        <v>42156.0</v>
      </c>
      <c r="H214" s="469">
        <v>5690344.0</v>
      </c>
      <c r="I214" s="469">
        <v>903027.0</v>
      </c>
      <c r="J214" s="469">
        <v>16940.0</v>
      </c>
      <c r="K214" s="469">
        <v>70611.0</v>
      </c>
      <c r="L214" s="469">
        <v>4613266.0</v>
      </c>
      <c r="M214" s="469">
        <v>86500.0</v>
      </c>
      <c r="N214" s="475">
        <v>0.0</v>
      </c>
      <c r="O214" s="475">
        <v>0.0</v>
      </c>
      <c r="P214" s="475">
        <v>0.0</v>
      </c>
      <c r="Q214" s="24"/>
      <c r="R214" s="476">
        <v>42156.0</v>
      </c>
      <c r="S214" s="482">
        <v>0.0</v>
      </c>
      <c r="T214" s="482">
        <v>0.0</v>
      </c>
      <c r="U214" s="482">
        <v>0.0</v>
      </c>
      <c r="V214" s="482">
        <v>0.0</v>
      </c>
      <c r="W214" s="482">
        <v>0.0</v>
      </c>
      <c r="X214" s="482">
        <v>0.0</v>
      </c>
      <c r="Y214" s="482">
        <v>0.0</v>
      </c>
      <c r="Z214" s="482">
        <v>0.0</v>
      </c>
      <c r="AA214" s="482">
        <v>0.0</v>
      </c>
    </row>
    <row r="215" ht="12.75" customHeight="1">
      <c r="A215" s="24"/>
      <c r="B215" s="24"/>
      <c r="C215" s="24"/>
      <c r="D215" s="24"/>
      <c r="E215" s="24"/>
      <c r="F215" s="24"/>
      <c r="G215" s="474">
        <v>42186.0</v>
      </c>
      <c r="H215" s="469">
        <v>5721884.0</v>
      </c>
      <c r="I215" s="469">
        <v>794221.0</v>
      </c>
      <c r="J215" s="469">
        <v>17733.0</v>
      </c>
      <c r="K215" s="469">
        <v>71849.0</v>
      </c>
      <c r="L215" s="469">
        <v>4744561.0</v>
      </c>
      <c r="M215" s="469">
        <v>77763.0</v>
      </c>
      <c r="N215" s="475">
        <v>0.0</v>
      </c>
      <c r="O215" s="475">
        <v>0.0</v>
      </c>
      <c r="P215" s="469">
        <v>15757.0</v>
      </c>
      <c r="Q215" s="24"/>
      <c r="R215" s="476">
        <v>42186.0</v>
      </c>
      <c r="S215" s="482">
        <v>0.0</v>
      </c>
      <c r="T215" s="482">
        <v>0.0</v>
      </c>
      <c r="U215" s="482">
        <v>0.0</v>
      </c>
      <c r="V215" s="482">
        <v>0.0</v>
      </c>
      <c r="W215" s="482">
        <v>0.0</v>
      </c>
      <c r="X215" s="482">
        <v>0.0</v>
      </c>
      <c r="Y215" s="482">
        <v>0.0</v>
      </c>
      <c r="Z215" s="482">
        <v>0.0</v>
      </c>
      <c r="AA215" s="482">
        <v>0.0</v>
      </c>
    </row>
    <row r="216" ht="12.75" customHeight="1">
      <c r="A216" s="24"/>
      <c r="B216" s="24"/>
      <c r="C216" s="24"/>
      <c r="D216" s="24"/>
      <c r="E216" s="24"/>
      <c r="F216" s="24"/>
      <c r="G216" s="474">
        <v>42217.0</v>
      </c>
      <c r="H216" s="469">
        <v>5673000.0</v>
      </c>
      <c r="I216" s="469">
        <v>903832.0</v>
      </c>
      <c r="J216" s="469">
        <v>16927.0</v>
      </c>
      <c r="K216" s="469">
        <v>68156.0</v>
      </c>
      <c r="L216" s="469">
        <v>4489537.0</v>
      </c>
      <c r="M216" s="469">
        <v>168978.0</v>
      </c>
      <c r="N216" s="475">
        <v>0.0</v>
      </c>
      <c r="O216" s="475">
        <v>0.0</v>
      </c>
      <c r="P216" s="469">
        <v>25570.0</v>
      </c>
      <c r="Q216" s="24"/>
      <c r="R216" s="476">
        <v>42217.0</v>
      </c>
      <c r="S216" s="482">
        <v>0.0</v>
      </c>
      <c r="T216" s="482">
        <v>0.0</v>
      </c>
      <c r="U216" s="482">
        <v>0.0</v>
      </c>
      <c r="V216" s="482">
        <v>0.0</v>
      </c>
      <c r="W216" s="482">
        <v>0.0</v>
      </c>
      <c r="X216" s="482">
        <v>0.0</v>
      </c>
      <c r="Y216" s="482">
        <v>0.0</v>
      </c>
      <c r="Z216" s="482">
        <v>0.0</v>
      </c>
      <c r="AA216" s="482">
        <v>0.0</v>
      </c>
    </row>
    <row r="217" ht="12.75" customHeight="1">
      <c r="A217" s="24"/>
      <c r="B217" s="24"/>
      <c r="C217" s="24"/>
      <c r="D217" s="24"/>
      <c r="E217" s="24"/>
      <c r="F217" s="24"/>
      <c r="G217" s="474">
        <v>42248.0</v>
      </c>
      <c r="H217" s="469">
        <v>5661016.0</v>
      </c>
      <c r="I217" s="469">
        <v>919563.0</v>
      </c>
      <c r="J217" s="469">
        <v>16893.0</v>
      </c>
      <c r="K217" s="469">
        <v>71287.0</v>
      </c>
      <c r="L217" s="469">
        <v>4636504.0</v>
      </c>
      <c r="M217" s="469">
        <v>16162.0</v>
      </c>
      <c r="N217" s="475">
        <v>0.0</v>
      </c>
      <c r="O217" s="475">
        <v>0.0</v>
      </c>
      <c r="P217" s="475">
        <v>606.0</v>
      </c>
      <c r="Q217" s="24"/>
      <c r="R217" s="476">
        <v>42248.0</v>
      </c>
      <c r="S217" s="482">
        <v>0.0</v>
      </c>
      <c r="T217" s="482">
        <v>0.0</v>
      </c>
      <c r="U217" s="482">
        <v>0.0</v>
      </c>
      <c r="V217" s="482">
        <v>0.0</v>
      </c>
      <c r="W217" s="482">
        <v>0.0</v>
      </c>
      <c r="X217" s="482">
        <v>0.0</v>
      </c>
      <c r="Y217" s="482">
        <v>0.0</v>
      </c>
      <c r="Z217" s="482">
        <v>0.0</v>
      </c>
      <c r="AA217" s="482">
        <v>0.0</v>
      </c>
    </row>
    <row r="218" ht="12.75" customHeight="1">
      <c r="A218" s="24"/>
      <c r="B218" s="24"/>
      <c r="C218" s="24"/>
      <c r="D218" s="24"/>
      <c r="E218" s="24"/>
      <c r="F218" s="24"/>
      <c r="G218" s="474">
        <v>42278.0</v>
      </c>
      <c r="H218" s="469">
        <v>5673852.0</v>
      </c>
      <c r="I218" s="469">
        <v>754255.0</v>
      </c>
      <c r="J218" s="469">
        <v>18169.0</v>
      </c>
      <c r="K218" s="469">
        <v>75114.0</v>
      </c>
      <c r="L218" s="469">
        <v>4794265.0</v>
      </c>
      <c r="M218" s="469">
        <v>31425.0</v>
      </c>
      <c r="N218" s="475">
        <v>0.0</v>
      </c>
      <c r="O218" s="475">
        <v>0.0</v>
      </c>
      <c r="P218" s="475">
        <v>623.0</v>
      </c>
      <c r="Q218" s="24"/>
      <c r="R218" s="476">
        <v>42278.0</v>
      </c>
      <c r="S218" s="482">
        <v>0.0</v>
      </c>
      <c r="T218" s="482">
        <v>0.0</v>
      </c>
      <c r="U218" s="482">
        <v>0.0</v>
      </c>
      <c r="V218" s="482">
        <v>0.0</v>
      </c>
      <c r="W218" s="482">
        <v>0.0</v>
      </c>
      <c r="X218" s="482">
        <v>0.0</v>
      </c>
      <c r="Y218" s="482">
        <v>0.0</v>
      </c>
      <c r="Z218" s="482">
        <v>0.0</v>
      </c>
      <c r="AA218" s="482">
        <v>0.0</v>
      </c>
    </row>
    <row r="219" ht="12.75" customHeight="1">
      <c r="A219" s="24"/>
      <c r="B219" s="24"/>
      <c r="C219" s="24"/>
      <c r="D219" s="24"/>
      <c r="E219" s="24"/>
      <c r="F219" s="24"/>
      <c r="G219" s="474">
        <v>42309.0</v>
      </c>
      <c r="H219" s="469">
        <v>5453401.0</v>
      </c>
      <c r="I219" s="469">
        <v>654978.0</v>
      </c>
      <c r="J219" s="469">
        <v>19462.0</v>
      </c>
      <c r="K219" s="469">
        <v>72620.0</v>
      </c>
      <c r="L219" s="469">
        <v>4693850.0</v>
      </c>
      <c r="M219" s="469">
        <v>11905.0</v>
      </c>
      <c r="N219" s="475">
        <v>0.0</v>
      </c>
      <c r="O219" s="475">
        <v>0.0</v>
      </c>
      <c r="P219" s="475">
        <v>588.0</v>
      </c>
      <c r="Q219" s="24"/>
      <c r="R219" s="476">
        <v>42309.0</v>
      </c>
      <c r="S219" s="482">
        <v>0.0</v>
      </c>
      <c r="T219" s="482">
        <v>0.0</v>
      </c>
      <c r="U219" s="482">
        <v>0.0</v>
      </c>
      <c r="V219" s="482">
        <v>0.0</v>
      </c>
      <c r="W219" s="482">
        <v>0.0</v>
      </c>
      <c r="X219" s="482">
        <v>0.0</v>
      </c>
      <c r="Y219" s="482">
        <v>0.0</v>
      </c>
      <c r="Z219" s="482">
        <v>0.0</v>
      </c>
      <c r="AA219" s="482">
        <v>0.0</v>
      </c>
    </row>
    <row r="220" ht="12.75" customHeight="1">
      <c r="A220" s="24"/>
      <c r="B220" s="24"/>
      <c r="C220" s="24"/>
      <c r="D220" s="24"/>
      <c r="E220" s="24"/>
      <c r="F220" s="24"/>
      <c r="G220" s="474">
        <v>42339.0</v>
      </c>
      <c r="H220" s="469">
        <v>5377278.0</v>
      </c>
      <c r="I220" s="469">
        <v>445042.0</v>
      </c>
      <c r="J220" s="469">
        <v>21292.0</v>
      </c>
      <c r="K220" s="469">
        <v>73227.0</v>
      </c>
      <c r="L220" s="469">
        <v>4858716.0</v>
      </c>
      <c r="M220" s="469">
        <v>-21591.0</v>
      </c>
      <c r="N220" s="475">
        <v>0.0</v>
      </c>
      <c r="O220" s="475">
        <v>0.0</v>
      </c>
      <c r="P220" s="475">
        <v>592.0</v>
      </c>
      <c r="Q220" s="24"/>
      <c r="R220" s="476">
        <v>42339.0</v>
      </c>
      <c r="S220" s="482">
        <v>0.0</v>
      </c>
      <c r="T220" s="482">
        <v>0.0</v>
      </c>
      <c r="U220" s="482">
        <v>0.0</v>
      </c>
      <c r="V220" s="482">
        <v>0.0</v>
      </c>
      <c r="W220" s="482">
        <v>0.0</v>
      </c>
      <c r="X220" s="482">
        <v>0.0</v>
      </c>
      <c r="Y220" s="482">
        <v>0.0</v>
      </c>
      <c r="Z220" s="482">
        <v>0.0</v>
      </c>
      <c r="AA220" s="482">
        <v>0.0</v>
      </c>
    </row>
    <row r="221" ht="12.75" customHeight="1">
      <c r="A221" s="24"/>
      <c r="B221" s="24"/>
      <c r="C221" s="24"/>
      <c r="D221" s="24"/>
      <c r="E221" s="24"/>
      <c r="F221" s="24"/>
      <c r="G221" s="470"/>
      <c r="H221" s="470"/>
      <c r="I221" s="470"/>
      <c r="J221" s="470"/>
      <c r="K221" s="470"/>
      <c r="L221" s="470"/>
      <c r="M221" s="470"/>
      <c r="N221" s="470"/>
      <c r="O221" s="470"/>
      <c r="P221" s="470"/>
      <c r="Q221" s="24"/>
      <c r="R221" s="471"/>
      <c r="S221" s="481"/>
      <c r="T221" s="481"/>
      <c r="U221" s="481"/>
      <c r="V221" s="481"/>
      <c r="W221" s="481"/>
      <c r="X221" s="481"/>
      <c r="Y221" s="481"/>
      <c r="Z221" s="481"/>
      <c r="AA221" s="481"/>
    </row>
    <row r="222" ht="12.75" customHeight="1">
      <c r="A222" s="24"/>
      <c r="B222" s="24"/>
      <c r="C222" s="24"/>
      <c r="D222" s="24"/>
      <c r="E222" s="24"/>
      <c r="F222" s="24"/>
      <c r="G222" s="474">
        <v>42370.0</v>
      </c>
      <c r="H222" s="469">
        <v>5427080.0</v>
      </c>
      <c r="I222" s="469">
        <v>399257.0</v>
      </c>
      <c r="J222" s="469">
        <v>21587.0</v>
      </c>
      <c r="K222" s="469">
        <v>73629.0</v>
      </c>
      <c r="L222" s="469">
        <v>4939527.0</v>
      </c>
      <c r="M222" s="469">
        <v>-75829.0</v>
      </c>
      <c r="N222" s="475">
        <v>0.0</v>
      </c>
      <c r="O222" s="475">
        <v>0.0</v>
      </c>
      <c r="P222" s="475">
        <v>609.0</v>
      </c>
      <c r="Q222" s="24"/>
      <c r="R222" s="476">
        <v>42370.0</v>
      </c>
      <c r="S222" s="482">
        <v>0.0</v>
      </c>
      <c r="T222" s="482">
        <v>0.0</v>
      </c>
      <c r="U222" s="482">
        <v>0.0</v>
      </c>
      <c r="V222" s="482">
        <v>0.0</v>
      </c>
      <c r="W222" s="482">
        <v>0.0</v>
      </c>
      <c r="X222" s="482">
        <v>0.0</v>
      </c>
      <c r="Y222" s="482">
        <v>0.0</v>
      </c>
      <c r="Z222" s="482">
        <v>0.0</v>
      </c>
      <c r="AA222" s="482">
        <v>0.0</v>
      </c>
    </row>
    <row r="223" ht="12.75" customHeight="1">
      <c r="A223" s="24"/>
      <c r="B223" s="24"/>
      <c r="C223" s="24"/>
      <c r="D223" s="24"/>
      <c r="E223" s="24"/>
      <c r="F223" s="24"/>
      <c r="G223" s="474">
        <v>42401.0</v>
      </c>
      <c r="H223" s="469">
        <v>5139634.0</v>
      </c>
      <c r="I223" s="469">
        <v>373640.0</v>
      </c>
      <c r="J223" s="469">
        <v>20054.0</v>
      </c>
      <c r="K223" s="469">
        <v>71148.0</v>
      </c>
      <c r="L223" s="469">
        <v>4675736.0</v>
      </c>
      <c r="M223" s="469">
        <v>-1571.0</v>
      </c>
      <c r="N223" s="475">
        <v>0.0</v>
      </c>
      <c r="O223" s="475">
        <v>0.0</v>
      </c>
      <c r="P223" s="475">
        <v>627.0</v>
      </c>
      <c r="Q223" s="24"/>
      <c r="R223" s="476">
        <v>42401.0</v>
      </c>
      <c r="S223" s="482">
        <v>0.0</v>
      </c>
      <c r="T223" s="482">
        <v>0.0</v>
      </c>
      <c r="U223" s="482">
        <v>0.0</v>
      </c>
      <c r="V223" s="482">
        <v>0.0</v>
      </c>
      <c r="W223" s="482">
        <v>0.0</v>
      </c>
      <c r="X223" s="482">
        <v>0.0</v>
      </c>
      <c r="Y223" s="482">
        <v>0.0</v>
      </c>
      <c r="Z223" s="482">
        <v>0.0</v>
      </c>
      <c r="AA223" s="482">
        <v>0.0</v>
      </c>
    </row>
    <row r="224" ht="12.75" customHeight="1">
      <c r="A224" s="24"/>
      <c r="B224" s="24"/>
      <c r="C224" s="24"/>
      <c r="D224" s="24"/>
      <c r="E224" s="24"/>
      <c r="F224" s="24"/>
      <c r="G224" s="474">
        <v>42430.0</v>
      </c>
      <c r="H224" s="469">
        <v>5479878.0</v>
      </c>
      <c r="I224" s="469">
        <v>378747.0</v>
      </c>
      <c r="J224" s="469">
        <v>20801.0</v>
      </c>
      <c r="K224" s="469">
        <v>73754.0</v>
      </c>
      <c r="L224" s="469">
        <v>4986743.0</v>
      </c>
      <c r="M224" s="469">
        <v>19266.0</v>
      </c>
      <c r="N224" s="475">
        <v>0.0</v>
      </c>
      <c r="O224" s="475">
        <v>0.0</v>
      </c>
      <c r="P224" s="475">
        <v>567.0</v>
      </c>
      <c r="Q224" s="24"/>
      <c r="R224" s="476">
        <v>42430.0</v>
      </c>
      <c r="S224" s="482">
        <v>0.0</v>
      </c>
      <c r="T224" s="482">
        <v>0.0</v>
      </c>
      <c r="U224" s="482">
        <v>0.0</v>
      </c>
      <c r="V224" s="482">
        <v>0.0</v>
      </c>
      <c r="W224" s="482">
        <v>0.0</v>
      </c>
      <c r="X224" s="482">
        <v>0.0</v>
      </c>
      <c r="Y224" s="482">
        <v>0.0</v>
      </c>
      <c r="Z224" s="482">
        <v>0.0</v>
      </c>
      <c r="AA224" s="482">
        <v>0.0</v>
      </c>
    </row>
    <row r="225" ht="12.75" customHeight="1">
      <c r="A225" s="24"/>
      <c r="B225" s="24"/>
      <c r="C225" s="24"/>
      <c r="D225" s="24"/>
      <c r="E225" s="24"/>
      <c r="F225" s="24"/>
      <c r="G225" s="474">
        <v>42461.0</v>
      </c>
      <c r="H225" s="469">
        <v>5698679.0</v>
      </c>
      <c r="I225" s="469">
        <v>777614.0</v>
      </c>
      <c r="J225" s="469">
        <v>19360.0</v>
      </c>
      <c r="K225" s="469">
        <v>69045.0</v>
      </c>
      <c r="L225" s="469">
        <v>4808294.0</v>
      </c>
      <c r="M225" s="469">
        <v>23878.0</v>
      </c>
      <c r="N225" s="475">
        <v>0.0</v>
      </c>
      <c r="O225" s="475">
        <v>0.0</v>
      </c>
      <c r="P225" s="475">
        <v>488.0</v>
      </c>
      <c r="Q225" s="24"/>
      <c r="R225" s="476">
        <v>42461.0</v>
      </c>
      <c r="S225" s="482">
        <v>0.0</v>
      </c>
      <c r="T225" s="482">
        <v>0.0</v>
      </c>
      <c r="U225" s="482">
        <v>0.0</v>
      </c>
      <c r="V225" s="482">
        <v>0.0</v>
      </c>
      <c r="W225" s="482">
        <v>0.0</v>
      </c>
      <c r="X225" s="482">
        <v>0.0</v>
      </c>
      <c r="Y225" s="482">
        <v>0.0</v>
      </c>
      <c r="Z225" s="482">
        <v>0.0</v>
      </c>
      <c r="AA225" s="482">
        <v>0.0</v>
      </c>
    </row>
    <row r="226" ht="12.75" customHeight="1">
      <c r="A226" s="24"/>
      <c r="B226" s="24"/>
      <c r="C226" s="24"/>
      <c r="D226" s="24"/>
      <c r="E226" s="24"/>
      <c r="F226" s="24"/>
      <c r="G226" s="474">
        <v>42491.0</v>
      </c>
      <c r="H226" s="469">
        <v>5933819.0</v>
      </c>
      <c r="I226" s="469">
        <v>839081.0</v>
      </c>
      <c r="J226" s="469">
        <v>19652.0</v>
      </c>
      <c r="K226" s="469">
        <v>68149.0</v>
      </c>
      <c r="L226" s="469">
        <v>4938490.0</v>
      </c>
      <c r="M226" s="469">
        <v>67903.0</v>
      </c>
      <c r="N226" s="475">
        <v>0.0</v>
      </c>
      <c r="O226" s="475">
        <v>0.0</v>
      </c>
      <c r="P226" s="475">
        <v>543.0</v>
      </c>
      <c r="Q226" s="24"/>
      <c r="R226" s="476">
        <v>42491.0</v>
      </c>
      <c r="S226" s="482">
        <v>0.0</v>
      </c>
      <c r="T226" s="482">
        <v>0.0</v>
      </c>
      <c r="U226" s="482">
        <v>0.0</v>
      </c>
      <c r="V226" s="482">
        <v>0.0</v>
      </c>
      <c r="W226" s="482">
        <v>0.0</v>
      </c>
      <c r="X226" s="482">
        <v>0.0</v>
      </c>
      <c r="Y226" s="482">
        <v>0.0</v>
      </c>
      <c r="Z226" s="482">
        <v>0.0</v>
      </c>
      <c r="AA226" s="482">
        <v>0.0</v>
      </c>
    </row>
    <row r="227" ht="12.75" customHeight="1">
      <c r="A227" s="24"/>
      <c r="B227" s="24"/>
      <c r="C227" s="24"/>
      <c r="D227" s="24"/>
      <c r="E227" s="24"/>
      <c r="F227" s="24"/>
      <c r="G227" s="474">
        <v>42522.0</v>
      </c>
      <c r="H227" s="469">
        <v>5653185.0</v>
      </c>
      <c r="I227" s="469">
        <v>707580.0</v>
      </c>
      <c r="J227" s="469">
        <v>16631.0</v>
      </c>
      <c r="K227" s="469">
        <v>66602.0</v>
      </c>
      <c r="L227" s="469">
        <v>4784561.0</v>
      </c>
      <c r="M227" s="469">
        <v>77289.0</v>
      </c>
      <c r="N227" s="475">
        <v>0.0</v>
      </c>
      <c r="O227" s="475">
        <v>0.0</v>
      </c>
      <c r="P227" s="475">
        <v>522.0</v>
      </c>
      <c r="Q227" s="24"/>
      <c r="R227" s="476">
        <v>42522.0</v>
      </c>
      <c r="S227" s="482">
        <v>0.0</v>
      </c>
      <c r="T227" s="482">
        <v>0.0</v>
      </c>
      <c r="U227" s="482">
        <v>0.0</v>
      </c>
      <c r="V227" s="482">
        <v>0.0</v>
      </c>
      <c r="W227" s="482">
        <v>0.0</v>
      </c>
      <c r="X227" s="482">
        <v>0.0</v>
      </c>
      <c r="Y227" s="482">
        <v>0.0</v>
      </c>
      <c r="Z227" s="482">
        <v>0.0</v>
      </c>
      <c r="AA227" s="482">
        <v>0.0</v>
      </c>
    </row>
    <row r="228" ht="12.75" customHeight="1">
      <c r="A228" s="24"/>
      <c r="B228" s="24"/>
      <c r="C228" s="24"/>
      <c r="D228" s="24"/>
      <c r="E228" s="24"/>
      <c r="F228" s="24"/>
      <c r="G228" s="474">
        <v>42552.0</v>
      </c>
      <c r="H228" s="469">
        <v>5814290.0</v>
      </c>
      <c r="I228" s="469">
        <v>708896.0</v>
      </c>
      <c r="J228" s="469">
        <v>16960.0</v>
      </c>
      <c r="K228" s="469">
        <v>67834.0</v>
      </c>
      <c r="L228" s="469">
        <v>4929720.0</v>
      </c>
      <c r="M228" s="469">
        <v>90342.0</v>
      </c>
      <c r="N228" s="475">
        <v>0.0</v>
      </c>
      <c r="O228" s="475">
        <v>0.0</v>
      </c>
      <c r="P228" s="475">
        <v>537.0</v>
      </c>
      <c r="Q228" s="24"/>
      <c r="R228" s="476">
        <v>42552.0</v>
      </c>
      <c r="S228" s="482">
        <v>0.0</v>
      </c>
      <c r="T228" s="482">
        <v>0.0</v>
      </c>
      <c r="U228" s="482">
        <v>0.0</v>
      </c>
      <c r="V228" s="482">
        <v>0.0</v>
      </c>
      <c r="W228" s="482">
        <v>0.0</v>
      </c>
      <c r="X228" s="482">
        <v>0.0</v>
      </c>
      <c r="Y228" s="482">
        <v>0.0</v>
      </c>
      <c r="Z228" s="482">
        <v>0.0</v>
      </c>
      <c r="AA228" s="482">
        <v>0.0</v>
      </c>
    </row>
    <row r="229" ht="12.75" customHeight="1">
      <c r="A229" s="24"/>
      <c r="B229" s="24"/>
      <c r="C229" s="24"/>
      <c r="D229" s="24"/>
      <c r="E229" s="24"/>
      <c r="F229" s="24"/>
      <c r="G229" s="474">
        <v>42583.0</v>
      </c>
      <c r="H229" s="469">
        <v>5507584.0</v>
      </c>
      <c r="I229" s="469">
        <v>735362.0</v>
      </c>
      <c r="J229" s="469">
        <v>17644.0</v>
      </c>
      <c r="K229" s="469">
        <v>60042.0</v>
      </c>
      <c r="L229" s="469">
        <v>4594723.0</v>
      </c>
      <c r="M229" s="469">
        <v>99272.0</v>
      </c>
      <c r="N229" s="475">
        <v>0.0</v>
      </c>
      <c r="O229" s="475">
        <v>0.0</v>
      </c>
      <c r="P229" s="475">
        <v>541.0</v>
      </c>
      <c r="Q229" s="24"/>
      <c r="R229" s="476">
        <v>42583.0</v>
      </c>
      <c r="S229" s="482">
        <v>0.0</v>
      </c>
      <c r="T229" s="482">
        <v>0.0</v>
      </c>
      <c r="U229" s="482">
        <v>0.0</v>
      </c>
      <c r="V229" s="482">
        <v>0.0</v>
      </c>
      <c r="W229" s="482">
        <v>0.0</v>
      </c>
      <c r="X229" s="482">
        <v>0.0</v>
      </c>
      <c r="Y229" s="482">
        <v>0.0</v>
      </c>
      <c r="Z229" s="482">
        <v>0.0</v>
      </c>
      <c r="AA229" s="482">
        <v>0.0</v>
      </c>
    </row>
    <row r="230" ht="12.75" customHeight="1">
      <c r="A230" s="24"/>
      <c r="B230" s="24"/>
      <c r="C230" s="24"/>
      <c r="D230" s="24"/>
      <c r="E230" s="24"/>
      <c r="F230" s="24"/>
      <c r="G230" s="474">
        <v>42614.0</v>
      </c>
      <c r="H230" s="469">
        <v>5642062.0</v>
      </c>
      <c r="I230" s="469">
        <v>783677.0</v>
      </c>
      <c r="J230" s="469">
        <v>17933.0</v>
      </c>
      <c r="K230" s="469">
        <v>63698.0</v>
      </c>
      <c r="L230" s="469">
        <v>4743227.0</v>
      </c>
      <c r="M230" s="469">
        <v>32951.0</v>
      </c>
      <c r="N230" s="475">
        <v>0.0</v>
      </c>
      <c r="O230" s="475">
        <v>0.0</v>
      </c>
      <c r="P230" s="475">
        <v>576.0</v>
      </c>
      <c r="Q230" s="24"/>
      <c r="R230" s="476">
        <v>42614.0</v>
      </c>
      <c r="S230" s="482">
        <v>0.0</v>
      </c>
      <c r="T230" s="482">
        <v>0.0</v>
      </c>
      <c r="U230" s="482">
        <v>0.0</v>
      </c>
      <c r="V230" s="482">
        <v>0.0</v>
      </c>
      <c r="W230" s="482">
        <v>0.0</v>
      </c>
      <c r="X230" s="482">
        <v>0.0</v>
      </c>
      <c r="Y230" s="482">
        <v>0.0</v>
      </c>
      <c r="Z230" s="482">
        <v>0.0</v>
      </c>
      <c r="AA230" s="482">
        <v>0.0</v>
      </c>
    </row>
    <row r="231" ht="12.75" customHeight="1">
      <c r="A231" s="24"/>
      <c r="B231" s="24"/>
      <c r="C231" s="24"/>
      <c r="D231" s="24"/>
      <c r="E231" s="24"/>
      <c r="F231" s="24"/>
      <c r="G231" s="474">
        <v>42644.0</v>
      </c>
      <c r="H231" s="469">
        <v>5820641.0</v>
      </c>
      <c r="I231" s="469">
        <v>847454.0</v>
      </c>
      <c r="J231" s="469">
        <v>19273.0</v>
      </c>
      <c r="K231" s="469">
        <v>67200.0</v>
      </c>
      <c r="L231" s="469">
        <v>4860069.0</v>
      </c>
      <c r="M231" s="469">
        <v>26083.0</v>
      </c>
      <c r="N231" s="475">
        <v>0.0</v>
      </c>
      <c r="O231" s="475">
        <v>0.0</v>
      </c>
      <c r="P231" s="475">
        <v>562.0</v>
      </c>
      <c r="Q231" s="24"/>
      <c r="R231" s="476">
        <v>42644.0</v>
      </c>
      <c r="S231" s="482">
        <v>0.0</v>
      </c>
      <c r="T231" s="482">
        <v>0.0</v>
      </c>
      <c r="U231" s="482">
        <v>0.0</v>
      </c>
      <c r="V231" s="482">
        <v>0.0</v>
      </c>
      <c r="W231" s="482">
        <v>0.0</v>
      </c>
      <c r="X231" s="482">
        <v>0.0</v>
      </c>
      <c r="Y231" s="482">
        <v>0.0</v>
      </c>
      <c r="Z231" s="482">
        <v>0.0</v>
      </c>
      <c r="AA231" s="482">
        <v>0.0</v>
      </c>
    </row>
    <row r="232" ht="12.75" customHeight="1">
      <c r="A232" s="24"/>
      <c r="B232" s="24"/>
      <c r="C232" s="24"/>
      <c r="D232" s="24"/>
      <c r="E232" s="24"/>
      <c r="F232" s="24"/>
      <c r="G232" s="474">
        <v>42675.0</v>
      </c>
      <c r="H232" s="469">
        <v>5574135.0</v>
      </c>
      <c r="I232" s="469">
        <v>784985.0</v>
      </c>
      <c r="J232" s="469">
        <v>19236.0</v>
      </c>
      <c r="K232" s="469">
        <v>67313.0</v>
      </c>
      <c r="L232" s="469">
        <v>4545506.0</v>
      </c>
      <c r="M232" s="469">
        <v>156513.0</v>
      </c>
      <c r="N232" s="475">
        <v>0.0</v>
      </c>
      <c r="O232" s="475">
        <v>0.0</v>
      </c>
      <c r="P232" s="475">
        <v>582.0</v>
      </c>
      <c r="Q232" s="24"/>
      <c r="R232" s="476">
        <v>42675.0</v>
      </c>
      <c r="S232" s="482">
        <v>0.0</v>
      </c>
      <c r="T232" s="482">
        <v>0.0</v>
      </c>
      <c r="U232" s="482">
        <v>0.0</v>
      </c>
      <c r="V232" s="482">
        <v>0.0</v>
      </c>
      <c r="W232" s="482">
        <v>0.0</v>
      </c>
      <c r="X232" s="482">
        <v>0.0</v>
      </c>
      <c r="Y232" s="482">
        <v>0.0</v>
      </c>
      <c r="Z232" s="482">
        <v>0.0</v>
      </c>
      <c r="AA232" s="482">
        <v>0.0</v>
      </c>
    </row>
    <row r="233" ht="12.75" customHeight="1">
      <c r="A233" s="24"/>
      <c r="B233" s="24"/>
      <c r="C233" s="24"/>
      <c r="D233" s="24"/>
      <c r="E233" s="24"/>
      <c r="F233" s="24"/>
      <c r="G233" s="474">
        <v>42705.0</v>
      </c>
      <c r="H233" s="469">
        <v>5720137.0</v>
      </c>
      <c r="I233" s="469">
        <v>774140.0</v>
      </c>
      <c r="J233" s="469">
        <v>21326.0</v>
      </c>
      <c r="K233" s="469">
        <v>72184.0</v>
      </c>
      <c r="L233" s="469">
        <v>4869868.0</v>
      </c>
      <c r="M233" s="469">
        <v>-17962.0</v>
      </c>
      <c r="N233" s="475">
        <v>0.0</v>
      </c>
      <c r="O233" s="475">
        <v>0.0</v>
      </c>
      <c r="P233" s="475">
        <v>582.0</v>
      </c>
      <c r="Q233" s="24"/>
      <c r="R233" s="476">
        <v>42705.0</v>
      </c>
      <c r="S233" s="482">
        <v>0.0</v>
      </c>
      <c r="T233" s="482">
        <v>0.0</v>
      </c>
      <c r="U233" s="482">
        <v>0.0</v>
      </c>
      <c r="V233" s="482">
        <v>0.0</v>
      </c>
      <c r="W233" s="482">
        <v>0.0</v>
      </c>
      <c r="X233" s="482">
        <v>0.0</v>
      </c>
      <c r="Y233" s="482">
        <v>0.0</v>
      </c>
      <c r="Z233" s="482">
        <v>0.0</v>
      </c>
      <c r="AA233" s="482">
        <v>0.0</v>
      </c>
    </row>
    <row r="234" ht="12.75" customHeight="1">
      <c r="A234" s="24"/>
      <c r="B234" s="24"/>
      <c r="C234" s="24"/>
      <c r="D234" s="24"/>
      <c r="E234" s="24"/>
      <c r="F234" s="24"/>
      <c r="G234" s="470"/>
      <c r="H234" s="470"/>
      <c r="I234" s="470"/>
      <c r="J234" s="470"/>
      <c r="K234" s="470"/>
      <c r="L234" s="470"/>
      <c r="M234" s="470"/>
      <c r="N234" s="470"/>
      <c r="O234" s="470"/>
      <c r="P234" s="470"/>
      <c r="Q234" s="24"/>
      <c r="R234" s="471"/>
      <c r="S234" s="481"/>
      <c r="T234" s="481"/>
      <c r="U234" s="481"/>
      <c r="V234" s="481"/>
      <c r="W234" s="481"/>
      <c r="X234" s="481"/>
      <c r="Y234" s="481"/>
      <c r="Z234" s="481"/>
      <c r="AA234" s="481"/>
    </row>
    <row r="235" ht="12.75" customHeight="1">
      <c r="A235" s="24"/>
      <c r="B235" s="24"/>
      <c r="C235" s="24"/>
      <c r="D235" s="24"/>
      <c r="E235" s="24"/>
      <c r="F235" s="24"/>
      <c r="G235" s="474">
        <v>42736.0</v>
      </c>
      <c r="H235" s="469">
        <v>5607857.0</v>
      </c>
      <c r="I235" s="469">
        <v>693369.0</v>
      </c>
      <c r="J235" s="469">
        <v>21344.0</v>
      </c>
      <c r="K235" s="469">
        <v>71905.0</v>
      </c>
      <c r="L235" s="469">
        <v>4841578.0</v>
      </c>
      <c r="M235" s="469">
        <v>-20923.0</v>
      </c>
      <c r="N235" s="475">
        <v>0.0</v>
      </c>
      <c r="O235" s="475">
        <v>0.0</v>
      </c>
      <c r="P235" s="475">
        <v>584.0</v>
      </c>
      <c r="Q235" s="24"/>
      <c r="R235" s="476">
        <v>42736.0</v>
      </c>
      <c r="S235" s="482">
        <v>0.0</v>
      </c>
      <c r="T235" s="482">
        <v>0.0</v>
      </c>
      <c r="U235" s="482">
        <v>0.0</v>
      </c>
      <c r="V235" s="482">
        <v>0.0</v>
      </c>
      <c r="W235" s="482">
        <v>0.0</v>
      </c>
      <c r="X235" s="482">
        <v>0.0</v>
      </c>
      <c r="Y235" s="482">
        <v>0.0</v>
      </c>
      <c r="Z235" s="482">
        <v>0.0</v>
      </c>
      <c r="AA235" s="482">
        <v>0.0</v>
      </c>
    </row>
    <row r="236" ht="12.75" customHeight="1">
      <c r="A236" s="24"/>
      <c r="B236" s="24"/>
      <c r="C236" s="24"/>
      <c r="D236" s="24"/>
      <c r="E236" s="24"/>
      <c r="F236" s="24"/>
      <c r="G236" s="474">
        <v>42767.0</v>
      </c>
      <c r="H236" s="469">
        <v>5089804.0</v>
      </c>
      <c r="I236" s="469">
        <v>654107.0</v>
      </c>
      <c r="J236" s="469">
        <v>18643.0</v>
      </c>
      <c r="K236" s="469">
        <v>63991.0</v>
      </c>
      <c r="L236" s="469">
        <v>4334620.0</v>
      </c>
      <c r="M236" s="469">
        <v>17905.0</v>
      </c>
      <c r="N236" s="475">
        <v>0.0</v>
      </c>
      <c r="O236" s="475">
        <v>0.0</v>
      </c>
      <c r="P236" s="475">
        <v>538.0</v>
      </c>
      <c r="Q236" s="24"/>
      <c r="R236" s="476">
        <v>42767.0</v>
      </c>
      <c r="S236" s="482">
        <v>0.0</v>
      </c>
      <c r="T236" s="482">
        <v>0.0</v>
      </c>
      <c r="U236" s="482">
        <v>0.0</v>
      </c>
      <c r="V236" s="482">
        <v>0.0</v>
      </c>
      <c r="W236" s="482">
        <v>0.0</v>
      </c>
      <c r="X236" s="482">
        <v>0.0</v>
      </c>
      <c r="Y236" s="482">
        <v>0.0</v>
      </c>
      <c r="Z236" s="482">
        <v>0.0</v>
      </c>
      <c r="AA236" s="482">
        <v>0.0</v>
      </c>
    </row>
    <row r="237" ht="12.75" customHeight="1">
      <c r="A237" s="24"/>
      <c r="B237" s="24"/>
      <c r="C237" s="24"/>
      <c r="D237" s="24"/>
      <c r="E237" s="24"/>
      <c r="F237" s="24"/>
      <c r="G237" s="474">
        <v>42795.0</v>
      </c>
      <c r="H237" s="469">
        <v>5696225.0</v>
      </c>
      <c r="I237" s="469">
        <v>797270.0</v>
      </c>
      <c r="J237" s="469">
        <v>20254.0</v>
      </c>
      <c r="K237" s="469">
        <v>70394.0</v>
      </c>
      <c r="L237" s="469">
        <v>4790179.0</v>
      </c>
      <c r="M237" s="469">
        <v>17572.0</v>
      </c>
      <c r="N237" s="475">
        <v>0.0</v>
      </c>
      <c r="O237" s="475">
        <v>0.0</v>
      </c>
      <c r="P237" s="475">
        <v>556.0</v>
      </c>
      <c r="Q237" s="24"/>
      <c r="R237" s="476">
        <v>42795.0</v>
      </c>
      <c r="S237" s="482">
        <v>0.0</v>
      </c>
      <c r="T237" s="482">
        <v>0.0</v>
      </c>
      <c r="U237" s="482">
        <v>0.0</v>
      </c>
      <c r="V237" s="482">
        <v>0.0</v>
      </c>
      <c r="W237" s="482">
        <v>0.0</v>
      </c>
      <c r="X237" s="482">
        <v>0.0</v>
      </c>
      <c r="Y237" s="482">
        <v>0.0</v>
      </c>
      <c r="Z237" s="482">
        <v>0.0</v>
      </c>
      <c r="AA237" s="482">
        <v>0.0</v>
      </c>
    </row>
    <row r="238" ht="12.75" customHeight="1">
      <c r="A238" s="24"/>
      <c r="B238" s="24"/>
      <c r="C238" s="24"/>
      <c r="D238" s="24"/>
      <c r="E238" s="24"/>
      <c r="F238" s="24"/>
      <c r="G238" s="474">
        <v>42826.0</v>
      </c>
      <c r="H238" s="469">
        <v>5482091.0</v>
      </c>
      <c r="I238" s="469">
        <v>766564.0</v>
      </c>
      <c r="J238" s="469">
        <v>19641.0</v>
      </c>
      <c r="K238" s="469">
        <v>68497.0</v>
      </c>
      <c r="L238" s="469">
        <v>4614167.0</v>
      </c>
      <c r="M238" s="469">
        <v>12671.0</v>
      </c>
      <c r="N238" s="475">
        <v>0.0</v>
      </c>
      <c r="O238" s="475">
        <v>0.0</v>
      </c>
      <c r="P238" s="475">
        <v>551.0</v>
      </c>
      <c r="Q238" s="24"/>
      <c r="R238" s="476">
        <v>42826.0</v>
      </c>
      <c r="S238" s="482">
        <v>0.0</v>
      </c>
      <c r="T238" s="482">
        <v>0.0</v>
      </c>
      <c r="U238" s="482">
        <v>0.0</v>
      </c>
      <c r="V238" s="482">
        <v>0.0</v>
      </c>
      <c r="W238" s="482">
        <v>0.0</v>
      </c>
      <c r="X238" s="482">
        <v>0.0</v>
      </c>
      <c r="Y238" s="482">
        <v>0.0</v>
      </c>
      <c r="Z238" s="482">
        <v>0.0</v>
      </c>
      <c r="AA238" s="482">
        <v>0.0</v>
      </c>
    </row>
    <row r="239" ht="12.75" customHeight="1">
      <c r="A239" s="24"/>
      <c r="B239" s="24"/>
      <c r="C239" s="24"/>
      <c r="D239" s="24"/>
      <c r="E239" s="24"/>
      <c r="F239" s="24"/>
      <c r="G239" s="474">
        <v>42856.0</v>
      </c>
      <c r="H239" s="469">
        <v>5633640.0</v>
      </c>
      <c r="I239" s="469">
        <v>779844.0</v>
      </c>
      <c r="J239" s="469">
        <v>19127.0</v>
      </c>
      <c r="K239" s="469">
        <v>65510.0</v>
      </c>
      <c r="L239" s="469">
        <v>4712243.0</v>
      </c>
      <c r="M239" s="469">
        <v>56201.0</v>
      </c>
      <c r="N239" s="475">
        <v>0.0</v>
      </c>
      <c r="O239" s="475">
        <v>0.0</v>
      </c>
      <c r="P239" s="475">
        <v>715.0</v>
      </c>
      <c r="Q239" s="24"/>
      <c r="R239" s="476">
        <v>42856.0</v>
      </c>
      <c r="S239" s="482">
        <v>0.0</v>
      </c>
      <c r="T239" s="482">
        <v>0.0</v>
      </c>
      <c r="U239" s="482">
        <v>0.0</v>
      </c>
      <c r="V239" s="482">
        <v>0.0</v>
      </c>
      <c r="W239" s="482">
        <v>0.0</v>
      </c>
      <c r="X239" s="482">
        <v>0.0</v>
      </c>
      <c r="Y239" s="482">
        <v>0.0</v>
      </c>
      <c r="Z239" s="482">
        <v>0.0</v>
      </c>
      <c r="AA239" s="482">
        <v>0.0</v>
      </c>
    </row>
    <row r="240" ht="12.75" customHeight="1">
      <c r="A240" s="24"/>
      <c r="B240" s="24"/>
      <c r="C240" s="24"/>
      <c r="D240" s="24"/>
      <c r="E240" s="24"/>
      <c r="F240" s="24"/>
      <c r="G240" s="474">
        <v>42887.0</v>
      </c>
      <c r="H240" s="469">
        <v>5411985.0</v>
      </c>
      <c r="I240" s="469">
        <v>725339.0</v>
      </c>
      <c r="J240" s="469">
        <v>17876.0</v>
      </c>
      <c r="K240" s="469">
        <v>63030.0</v>
      </c>
      <c r="L240" s="469">
        <v>4557276.0</v>
      </c>
      <c r="M240" s="469">
        <v>47857.0</v>
      </c>
      <c r="N240" s="475">
        <v>0.0</v>
      </c>
      <c r="O240" s="475">
        <v>0.0</v>
      </c>
      <c r="P240" s="475">
        <v>607.0</v>
      </c>
      <c r="Q240" s="24"/>
      <c r="R240" s="476">
        <v>42887.0</v>
      </c>
      <c r="S240" s="482">
        <v>0.0</v>
      </c>
      <c r="T240" s="482">
        <v>0.0</v>
      </c>
      <c r="U240" s="482">
        <v>0.0</v>
      </c>
      <c r="V240" s="482">
        <v>0.0</v>
      </c>
      <c r="W240" s="482">
        <v>0.0</v>
      </c>
      <c r="X240" s="482">
        <v>0.0</v>
      </c>
      <c r="Y240" s="482">
        <v>0.0</v>
      </c>
      <c r="Z240" s="482">
        <v>0.0</v>
      </c>
      <c r="AA240" s="482">
        <v>0.0</v>
      </c>
    </row>
    <row r="241" ht="12.75" customHeight="1">
      <c r="A241" s="24"/>
      <c r="B241" s="24"/>
      <c r="C241" s="24"/>
      <c r="D241" s="24"/>
      <c r="E241" s="24"/>
      <c r="F241" s="24"/>
      <c r="G241" s="474">
        <v>42917.0</v>
      </c>
      <c r="H241" s="469">
        <v>5574620.0</v>
      </c>
      <c r="I241" s="469">
        <v>756526.0</v>
      </c>
      <c r="J241" s="469">
        <v>17751.0</v>
      </c>
      <c r="K241" s="469">
        <v>62532.0</v>
      </c>
      <c r="L241" s="469">
        <v>4675405.0</v>
      </c>
      <c r="M241" s="469">
        <v>61837.0</v>
      </c>
      <c r="N241" s="475">
        <v>0.0</v>
      </c>
      <c r="O241" s="475">
        <v>0.0</v>
      </c>
      <c r="P241" s="475">
        <v>569.0</v>
      </c>
      <c r="Q241" s="24"/>
      <c r="R241" s="476">
        <v>42917.0</v>
      </c>
      <c r="S241" s="482">
        <v>0.0</v>
      </c>
      <c r="T241" s="482">
        <v>0.0</v>
      </c>
      <c r="U241" s="482">
        <v>0.0</v>
      </c>
      <c r="V241" s="482">
        <v>0.0</v>
      </c>
      <c r="W241" s="482">
        <v>0.0</v>
      </c>
      <c r="X241" s="482">
        <v>0.0</v>
      </c>
      <c r="Y241" s="482">
        <v>0.0</v>
      </c>
      <c r="Z241" s="482">
        <v>0.0</v>
      </c>
      <c r="AA241" s="482">
        <v>0.0</v>
      </c>
    </row>
    <row r="242" ht="12.75" customHeight="1">
      <c r="A242" s="24"/>
      <c r="B242" s="24"/>
      <c r="C242" s="24"/>
      <c r="D242" s="24"/>
      <c r="E242" s="24"/>
      <c r="F242" s="24"/>
      <c r="G242" s="474">
        <v>42948.0</v>
      </c>
      <c r="H242" s="469">
        <v>5515039.0</v>
      </c>
      <c r="I242" s="469">
        <v>723125.0</v>
      </c>
      <c r="J242" s="469">
        <v>17858.0</v>
      </c>
      <c r="K242" s="469">
        <v>63612.0</v>
      </c>
      <c r="L242" s="469">
        <v>4655768.0</v>
      </c>
      <c r="M242" s="469">
        <v>54063.0</v>
      </c>
      <c r="N242" s="475">
        <v>0.0</v>
      </c>
      <c r="O242" s="475">
        <v>0.0</v>
      </c>
      <c r="P242" s="475">
        <v>613.0</v>
      </c>
      <c r="Q242" s="24"/>
      <c r="R242" s="476">
        <v>42948.0</v>
      </c>
      <c r="S242" s="482">
        <v>0.0</v>
      </c>
      <c r="T242" s="482">
        <v>0.0</v>
      </c>
      <c r="U242" s="482">
        <v>0.0</v>
      </c>
      <c r="V242" s="482">
        <v>0.0</v>
      </c>
      <c r="W242" s="482">
        <v>0.0</v>
      </c>
      <c r="X242" s="482">
        <v>0.0</v>
      </c>
      <c r="Y242" s="482">
        <v>0.0</v>
      </c>
      <c r="Z242" s="482">
        <v>0.0</v>
      </c>
      <c r="AA242" s="482">
        <v>0.0</v>
      </c>
    </row>
    <row r="243" ht="12.75" customHeight="1">
      <c r="A243" s="24"/>
      <c r="B243" s="24"/>
      <c r="C243" s="24"/>
      <c r="D243" s="24"/>
      <c r="E243" s="24"/>
      <c r="F243" s="24"/>
      <c r="G243" s="474">
        <v>42979.0</v>
      </c>
      <c r="H243" s="469">
        <v>4886146.0</v>
      </c>
      <c r="I243" s="469">
        <v>660648.0</v>
      </c>
      <c r="J243" s="469">
        <v>16636.0</v>
      </c>
      <c r="K243" s="469">
        <v>47489.0</v>
      </c>
      <c r="L243" s="469">
        <v>3888989.0</v>
      </c>
      <c r="M243" s="469">
        <v>271775.0</v>
      </c>
      <c r="N243" s="475">
        <v>0.0</v>
      </c>
      <c r="O243" s="475">
        <v>0.0</v>
      </c>
      <c r="P243" s="475">
        <v>609.0</v>
      </c>
      <c r="Q243" s="24"/>
      <c r="R243" s="476">
        <v>42979.0</v>
      </c>
      <c r="S243" s="482">
        <v>0.0</v>
      </c>
      <c r="T243" s="482">
        <v>0.0</v>
      </c>
      <c r="U243" s="482">
        <v>0.0</v>
      </c>
      <c r="V243" s="482">
        <v>0.0</v>
      </c>
      <c r="W243" s="482">
        <v>0.0</v>
      </c>
      <c r="X243" s="482">
        <v>0.0</v>
      </c>
      <c r="Y243" s="482">
        <v>0.0</v>
      </c>
      <c r="Z243" s="482">
        <v>0.0</v>
      </c>
      <c r="AA243" s="482">
        <v>0.0</v>
      </c>
    </row>
    <row r="244" ht="12.75" customHeight="1">
      <c r="A244" s="24"/>
      <c r="B244" s="24"/>
      <c r="C244" s="24"/>
      <c r="D244" s="24"/>
      <c r="E244" s="24"/>
      <c r="F244" s="24"/>
      <c r="G244" s="474">
        <v>43009.0</v>
      </c>
      <c r="H244" s="469">
        <v>5922233.0</v>
      </c>
      <c r="I244" s="469">
        <v>1140614.0</v>
      </c>
      <c r="J244" s="469">
        <v>19051.0</v>
      </c>
      <c r="K244" s="469">
        <v>65585.0</v>
      </c>
      <c r="L244" s="469">
        <v>4534225.0</v>
      </c>
      <c r="M244" s="469">
        <v>162155.0</v>
      </c>
      <c r="N244" s="475">
        <v>0.0</v>
      </c>
      <c r="O244" s="475">
        <v>0.0</v>
      </c>
      <c r="P244" s="475">
        <v>603.0</v>
      </c>
      <c r="Q244" s="24"/>
      <c r="R244" s="476">
        <v>43009.0</v>
      </c>
      <c r="S244" s="482">
        <v>0.0</v>
      </c>
      <c r="T244" s="482">
        <v>0.0</v>
      </c>
      <c r="U244" s="482">
        <v>0.0</v>
      </c>
      <c r="V244" s="482">
        <v>0.0</v>
      </c>
      <c r="W244" s="482">
        <v>0.0</v>
      </c>
      <c r="X244" s="482">
        <v>0.0</v>
      </c>
      <c r="Y244" s="482">
        <v>0.0</v>
      </c>
      <c r="Z244" s="482">
        <v>0.0</v>
      </c>
      <c r="AA244" s="482">
        <v>0.0</v>
      </c>
    </row>
    <row r="245" ht="12.75" customHeight="1">
      <c r="A245" s="24"/>
      <c r="B245" s="24"/>
      <c r="C245" s="24"/>
      <c r="D245" s="24"/>
      <c r="E245" s="24"/>
      <c r="F245" s="24"/>
      <c r="G245" s="474">
        <v>43040.0</v>
      </c>
      <c r="H245" s="469">
        <v>5648000.0</v>
      </c>
      <c r="I245" s="469">
        <v>1070003.0</v>
      </c>
      <c r="J245" s="469">
        <v>18955.0</v>
      </c>
      <c r="K245" s="469">
        <v>53827.0</v>
      </c>
      <c r="L245" s="469">
        <v>4168741.0</v>
      </c>
      <c r="M245" s="469">
        <v>335880.0</v>
      </c>
      <c r="N245" s="475">
        <v>0.0</v>
      </c>
      <c r="O245" s="475">
        <v>0.0</v>
      </c>
      <c r="P245" s="475">
        <v>594.0</v>
      </c>
      <c r="Q245" s="24"/>
      <c r="R245" s="476">
        <v>43040.0</v>
      </c>
      <c r="S245" s="482">
        <v>0.0</v>
      </c>
      <c r="T245" s="482">
        <v>0.0</v>
      </c>
      <c r="U245" s="482">
        <v>0.0</v>
      </c>
      <c r="V245" s="482">
        <v>0.0</v>
      </c>
      <c r="W245" s="482">
        <v>0.0</v>
      </c>
      <c r="X245" s="482">
        <v>0.0</v>
      </c>
      <c r="Y245" s="482">
        <v>0.0</v>
      </c>
      <c r="Z245" s="482">
        <v>0.0</v>
      </c>
      <c r="AA245" s="482">
        <v>0.0</v>
      </c>
    </row>
    <row r="246" ht="12.75" customHeight="1">
      <c r="A246" s="24"/>
      <c r="B246" s="24"/>
      <c r="C246" s="24"/>
      <c r="D246" s="24"/>
      <c r="E246" s="24"/>
      <c r="F246" s="24"/>
      <c r="G246" s="474">
        <v>43070.0</v>
      </c>
      <c r="H246" s="469">
        <v>5774318.0</v>
      </c>
      <c r="I246" s="469">
        <v>1070592.0</v>
      </c>
      <c r="J246" s="469">
        <v>20307.0</v>
      </c>
      <c r="K246" s="469">
        <v>70136.0</v>
      </c>
      <c r="L246" s="469">
        <v>4524849.0</v>
      </c>
      <c r="M246" s="469">
        <v>87814.0</v>
      </c>
      <c r="N246" s="475">
        <v>0.0</v>
      </c>
      <c r="O246" s="475">
        <v>0.0</v>
      </c>
      <c r="P246" s="475">
        <v>650.0</v>
      </c>
      <c r="Q246" s="24"/>
      <c r="R246" s="476">
        <v>43070.0</v>
      </c>
      <c r="S246" s="482">
        <v>0.0</v>
      </c>
      <c r="T246" s="482">
        <v>0.0</v>
      </c>
      <c r="U246" s="482">
        <v>0.0</v>
      </c>
      <c r="V246" s="482">
        <v>0.0</v>
      </c>
      <c r="W246" s="482">
        <v>0.0</v>
      </c>
      <c r="X246" s="482">
        <v>0.0</v>
      </c>
      <c r="Y246" s="482">
        <v>0.0</v>
      </c>
      <c r="Z246" s="482">
        <v>0.0</v>
      </c>
      <c r="AA246" s="482">
        <v>0.0</v>
      </c>
    </row>
    <row r="247" ht="12.75" customHeight="1">
      <c r="A247" s="24"/>
      <c r="B247" s="24"/>
      <c r="C247" s="24"/>
      <c r="D247" s="24"/>
      <c r="E247" s="24"/>
      <c r="F247" s="24"/>
      <c r="G247" s="470"/>
      <c r="H247" s="470"/>
      <c r="I247" s="470"/>
      <c r="J247" s="470"/>
      <c r="K247" s="470"/>
      <c r="L247" s="470"/>
      <c r="M247" s="470"/>
      <c r="N247" s="470"/>
      <c r="O247" s="470"/>
      <c r="P247" s="470"/>
      <c r="Q247" s="24"/>
      <c r="R247" s="471"/>
      <c r="S247" s="481"/>
      <c r="T247" s="481"/>
      <c r="U247" s="481"/>
      <c r="V247" s="481"/>
      <c r="W247" s="481"/>
      <c r="X247" s="481"/>
      <c r="Y247" s="481"/>
      <c r="Z247" s="481"/>
      <c r="AA247" s="481"/>
    </row>
    <row r="248" ht="12.75" customHeight="1">
      <c r="A248" s="24"/>
      <c r="B248" s="24"/>
      <c r="C248" s="24"/>
      <c r="D248" s="24"/>
      <c r="E248" s="24"/>
      <c r="F248" s="24"/>
      <c r="G248" s="474">
        <v>43101.0</v>
      </c>
      <c r="H248" s="469">
        <v>5755838.0</v>
      </c>
      <c r="I248" s="469">
        <v>1075869.0</v>
      </c>
      <c r="J248" s="469">
        <v>20035.0</v>
      </c>
      <c r="K248" s="469">
        <v>69179.0</v>
      </c>
      <c r="L248" s="469">
        <v>4469646.0</v>
      </c>
      <c r="M248" s="469">
        <v>120496.0</v>
      </c>
      <c r="N248" s="475">
        <v>0.0</v>
      </c>
      <c r="O248" s="475">
        <v>0.0</v>
      </c>
      <c r="P248" s="475">
        <v>613.0</v>
      </c>
      <c r="Q248" s="24"/>
      <c r="R248" s="476">
        <v>43101.0</v>
      </c>
      <c r="S248" s="482">
        <v>0.0</v>
      </c>
      <c r="T248" s="482">
        <v>0.0</v>
      </c>
      <c r="U248" s="482">
        <v>0.0</v>
      </c>
      <c r="V248" s="482">
        <v>0.0</v>
      </c>
      <c r="W248" s="482">
        <v>0.0</v>
      </c>
      <c r="X248" s="482">
        <v>0.0</v>
      </c>
      <c r="Y248" s="482">
        <v>0.0</v>
      </c>
      <c r="Z248" s="482">
        <v>0.0</v>
      </c>
      <c r="AA248" s="482">
        <v>0.0</v>
      </c>
    </row>
    <row r="249" ht="12.75" customHeight="1">
      <c r="A249" s="24"/>
      <c r="B249" s="24"/>
      <c r="C249" s="24"/>
      <c r="D249" s="24"/>
      <c r="E249" s="24"/>
      <c r="F249" s="24"/>
      <c r="G249" s="474">
        <v>43132.0</v>
      </c>
      <c r="H249" s="469">
        <v>5175268.0</v>
      </c>
      <c r="I249" s="469">
        <v>933716.0</v>
      </c>
      <c r="J249" s="469">
        <v>18472.0</v>
      </c>
      <c r="K249" s="469">
        <v>61973.0</v>
      </c>
      <c r="L249" s="469">
        <v>4050376.0</v>
      </c>
      <c r="M249" s="469">
        <v>110117.0</v>
      </c>
      <c r="N249" s="475">
        <v>0.0</v>
      </c>
      <c r="O249" s="475">
        <v>0.0</v>
      </c>
      <c r="P249" s="475">
        <v>614.0</v>
      </c>
      <c r="Q249" s="24"/>
      <c r="R249" s="476">
        <v>43132.0</v>
      </c>
      <c r="S249" s="482">
        <v>0.0</v>
      </c>
      <c r="T249" s="482">
        <v>0.0</v>
      </c>
      <c r="U249" s="482">
        <v>0.0</v>
      </c>
      <c r="V249" s="482">
        <v>0.0</v>
      </c>
      <c r="W249" s="482">
        <v>0.0</v>
      </c>
      <c r="X249" s="482">
        <v>0.0</v>
      </c>
      <c r="Y249" s="482">
        <v>0.0</v>
      </c>
      <c r="Z249" s="482">
        <v>0.0</v>
      </c>
      <c r="AA249" s="482">
        <v>0.0</v>
      </c>
    </row>
    <row r="250" ht="12.75" customHeight="1">
      <c r="A250" s="24"/>
      <c r="B250" s="24"/>
      <c r="C250" s="24"/>
      <c r="D250" s="24"/>
      <c r="E250" s="24"/>
      <c r="F250" s="24"/>
      <c r="G250" s="474">
        <v>43160.0</v>
      </c>
      <c r="H250" s="469">
        <v>5764005.0</v>
      </c>
      <c r="I250" s="469">
        <v>1090750.0</v>
      </c>
      <c r="J250" s="469">
        <v>19587.0</v>
      </c>
      <c r="K250" s="469">
        <v>67858.0</v>
      </c>
      <c r="L250" s="469">
        <v>4492757.0</v>
      </c>
      <c r="M250" s="469">
        <v>92436.0</v>
      </c>
      <c r="N250" s="475">
        <v>0.0</v>
      </c>
      <c r="O250" s="475">
        <v>0.0</v>
      </c>
      <c r="P250" s="475">
        <v>617.0</v>
      </c>
      <c r="Q250" s="24"/>
      <c r="R250" s="476">
        <v>43160.0</v>
      </c>
      <c r="S250" s="482">
        <v>0.0</v>
      </c>
      <c r="T250" s="482">
        <v>0.0</v>
      </c>
      <c r="U250" s="482">
        <v>0.0</v>
      </c>
      <c r="V250" s="482">
        <v>0.0</v>
      </c>
      <c r="W250" s="482">
        <v>0.0</v>
      </c>
      <c r="X250" s="482">
        <v>0.0</v>
      </c>
      <c r="Y250" s="482">
        <v>0.0</v>
      </c>
      <c r="Z250" s="482">
        <v>0.0</v>
      </c>
      <c r="AA250" s="482">
        <v>0.0</v>
      </c>
    </row>
    <row r="251" ht="12.75" customHeight="1">
      <c r="A251" s="24"/>
      <c r="B251" s="24"/>
      <c r="C251" s="24"/>
      <c r="D251" s="24"/>
      <c r="E251" s="24"/>
      <c r="F251" s="24"/>
      <c r="G251" s="474">
        <v>43191.0</v>
      </c>
      <c r="H251" s="469">
        <v>5556370.0</v>
      </c>
      <c r="I251" s="469">
        <v>1037169.0</v>
      </c>
      <c r="J251" s="469">
        <v>18162.0</v>
      </c>
      <c r="K251" s="469">
        <v>65351.0</v>
      </c>
      <c r="L251" s="469">
        <v>4341228.0</v>
      </c>
      <c r="M251" s="469">
        <v>93821.0</v>
      </c>
      <c r="N251" s="475">
        <v>0.0</v>
      </c>
      <c r="O251" s="475">
        <v>0.0</v>
      </c>
      <c r="P251" s="475">
        <v>639.0</v>
      </c>
      <c r="Q251" s="24"/>
      <c r="R251" s="476">
        <v>43191.0</v>
      </c>
      <c r="S251" s="482">
        <v>0.0</v>
      </c>
      <c r="T251" s="482">
        <v>0.0</v>
      </c>
      <c r="U251" s="482">
        <v>0.0</v>
      </c>
      <c r="V251" s="482">
        <v>0.0</v>
      </c>
      <c r="W251" s="482">
        <v>0.0</v>
      </c>
      <c r="X251" s="482">
        <v>0.0</v>
      </c>
      <c r="Y251" s="482">
        <v>0.0</v>
      </c>
      <c r="Z251" s="482">
        <v>0.0</v>
      </c>
      <c r="AA251" s="482">
        <v>0.0</v>
      </c>
    </row>
    <row r="252" ht="12.75" customHeight="1">
      <c r="A252" s="24"/>
      <c r="B252" s="24"/>
      <c r="C252" s="24"/>
      <c r="D252" s="24"/>
      <c r="E252" s="24"/>
      <c r="F252" s="24"/>
      <c r="G252" s="474">
        <v>43221.0</v>
      </c>
      <c r="H252" s="469">
        <v>5608789.0</v>
      </c>
      <c r="I252" s="469">
        <v>1074679.0</v>
      </c>
      <c r="J252" s="469">
        <v>17610.0</v>
      </c>
      <c r="K252" s="469">
        <v>53029.0</v>
      </c>
      <c r="L252" s="469">
        <v>4030903.0</v>
      </c>
      <c r="M252" s="469">
        <v>431948.0</v>
      </c>
      <c r="N252" s="475">
        <v>0.0</v>
      </c>
      <c r="O252" s="475">
        <v>0.0</v>
      </c>
      <c r="P252" s="475">
        <v>620.0</v>
      </c>
      <c r="Q252" s="24"/>
      <c r="R252" s="476">
        <v>43221.0</v>
      </c>
      <c r="S252" s="482">
        <v>0.0</v>
      </c>
      <c r="T252" s="482">
        <v>0.0</v>
      </c>
      <c r="U252" s="482">
        <v>0.0</v>
      </c>
      <c r="V252" s="482">
        <v>0.0</v>
      </c>
      <c r="W252" s="482">
        <v>0.0</v>
      </c>
      <c r="X252" s="482">
        <v>0.0</v>
      </c>
      <c r="Y252" s="482">
        <v>0.0</v>
      </c>
      <c r="Z252" s="482">
        <v>0.0</v>
      </c>
      <c r="AA252" s="482">
        <v>0.0</v>
      </c>
    </row>
    <row r="253" ht="12.75" customHeight="1">
      <c r="A253" s="24"/>
      <c r="B253" s="24"/>
      <c r="C253" s="24"/>
      <c r="D253" s="24"/>
      <c r="E253" s="24"/>
      <c r="F253" s="24"/>
      <c r="G253" s="474">
        <v>43252.0</v>
      </c>
      <c r="H253" s="469">
        <v>5439631.0</v>
      </c>
      <c r="I253" s="469">
        <v>1003601.0</v>
      </c>
      <c r="J253" s="469">
        <v>16671.0</v>
      </c>
      <c r="K253" s="469">
        <v>61655.0</v>
      </c>
      <c r="L253" s="469">
        <v>4256241.0</v>
      </c>
      <c r="M253" s="469">
        <v>100831.0</v>
      </c>
      <c r="N253" s="475">
        <v>0.0</v>
      </c>
      <c r="O253" s="475">
        <v>0.0</v>
      </c>
      <c r="P253" s="475">
        <v>632.0</v>
      </c>
      <c r="Q253" s="24"/>
      <c r="R253" s="476">
        <v>43252.0</v>
      </c>
      <c r="S253" s="482">
        <v>0.0</v>
      </c>
      <c r="T253" s="482">
        <v>0.0</v>
      </c>
      <c r="U253" s="482">
        <v>0.0</v>
      </c>
      <c r="V253" s="482">
        <v>0.0</v>
      </c>
      <c r="W253" s="482">
        <v>0.0</v>
      </c>
      <c r="X253" s="482">
        <v>0.0</v>
      </c>
      <c r="Y253" s="482">
        <v>0.0</v>
      </c>
      <c r="Z253" s="482">
        <v>0.0</v>
      </c>
      <c r="AA253" s="482">
        <v>0.0</v>
      </c>
    </row>
    <row r="254" ht="12.75" customHeight="1">
      <c r="A254" s="24"/>
      <c r="B254" s="24"/>
      <c r="C254" s="24"/>
      <c r="D254" s="24"/>
      <c r="E254" s="24"/>
      <c r="F254" s="24"/>
      <c r="G254" s="474">
        <v>43282.0</v>
      </c>
      <c r="H254" s="469">
        <v>5070057.0</v>
      </c>
      <c r="I254" s="469">
        <v>506578.0</v>
      </c>
      <c r="J254" s="469">
        <v>17392.0</v>
      </c>
      <c r="K254" s="469">
        <v>60897.0</v>
      </c>
      <c r="L254" s="469">
        <v>4329297.0</v>
      </c>
      <c r="M254" s="469">
        <v>155292.0</v>
      </c>
      <c r="N254" s="475">
        <v>0.0</v>
      </c>
      <c r="O254" s="475">
        <v>0.0</v>
      </c>
      <c r="P254" s="475">
        <v>601.0</v>
      </c>
      <c r="Q254" s="24"/>
      <c r="R254" s="476">
        <v>43282.0</v>
      </c>
      <c r="S254" s="482">
        <v>0.0</v>
      </c>
      <c r="T254" s="482">
        <v>0.0</v>
      </c>
      <c r="U254" s="482">
        <v>0.0</v>
      </c>
      <c r="V254" s="482">
        <v>0.0</v>
      </c>
      <c r="W254" s="482">
        <v>0.0</v>
      </c>
      <c r="X254" s="482">
        <v>0.0</v>
      </c>
      <c r="Y254" s="482">
        <v>0.0</v>
      </c>
      <c r="Z254" s="482">
        <v>0.0</v>
      </c>
      <c r="AA254" s="482">
        <v>0.0</v>
      </c>
    </row>
    <row r="255" ht="12.75" customHeight="1">
      <c r="A255" s="24"/>
      <c r="B255" s="24"/>
      <c r="C255" s="24"/>
      <c r="D255" s="24"/>
      <c r="E255" s="24"/>
      <c r="F255" s="24"/>
      <c r="G255" s="474">
        <v>43313.0</v>
      </c>
      <c r="H255" s="469">
        <v>5565587.0</v>
      </c>
      <c r="I255" s="469">
        <v>1094062.0</v>
      </c>
      <c r="J255" s="469">
        <v>17223.0</v>
      </c>
      <c r="K255" s="469">
        <v>59597.0</v>
      </c>
      <c r="L255" s="469">
        <v>4319085.0</v>
      </c>
      <c r="M255" s="469">
        <v>75017.0</v>
      </c>
      <c r="N255" s="475">
        <v>0.0</v>
      </c>
      <c r="O255" s="475">
        <v>0.0</v>
      </c>
      <c r="P255" s="475">
        <v>603.0</v>
      </c>
      <c r="Q255" s="24"/>
      <c r="R255" s="476">
        <v>43313.0</v>
      </c>
      <c r="S255" s="482">
        <v>0.0</v>
      </c>
      <c r="T255" s="482">
        <v>0.0</v>
      </c>
      <c r="U255" s="482">
        <v>0.0</v>
      </c>
      <c r="V255" s="482">
        <v>0.0</v>
      </c>
      <c r="W255" s="482">
        <v>0.0</v>
      </c>
      <c r="X255" s="482">
        <v>0.0</v>
      </c>
      <c r="Y255" s="482">
        <v>0.0</v>
      </c>
      <c r="Z255" s="482">
        <v>0.0</v>
      </c>
      <c r="AA255" s="482">
        <v>0.0</v>
      </c>
    </row>
    <row r="256" ht="12.75" customHeight="1">
      <c r="A256" s="24"/>
      <c r="B256" s="24"/>
      <c r="C256" s="24"/>
      <c r="D256" s="24"/>
      <c r="E256" s="24"/>
      <c r="F256" s="24"/>
      <c r="G256" s="474">
        <v>43344.0</v>
      </c>
      <c r="H256" s="469">
        <v>5422864.0</v>
      </c>
      <c r="I256" s="469">
        <v>1102291.0</v>
      </c>
      <c r="J256" s="469">
        <v>16806.0</v>
      </c>
      <c r="K256" s="469">
        <v>58824.0</v>
      </c>
      <c r="L256" s="469">
        <v>4210979.0</v>
      </c>
      <c r="M256" s="469">
        <v>33351.0</v>
      </c>
      <c r="N256" s="475">
        <v>0.0</v>
      </c>
      <c r="O256" s="475">
        <v>0.0</v>
      </c>
      <c r="P256" s="475">
        <v>613.0</v>
      </c>
      <c r="Q256" s="24"/>
      <c r="R256" s="476">
        <v>43344.0</v>
      </c>
      <c r="S256" s="482">
        <v>0.0</v>
      </c>
      <c r="T256" s="482">
        <v>0.0</v>
      </c>
      <c r="U256" s="482">
        <v>0.0</v>
      </c>
      <c r="V256" s="482">
        <v>0.0</v>
      </c>
      <c r="W256" s="482">
        <v>0.0</v>
      </c>
      <c r="X256" s="482">
        <v>0.0</v>
      </c>
      <c r="Y256" s="482">
        <v>0.0</v>
      </c>
      <c r="Z256" s="482">
        <v>0.0</v>
      </c>
      <c r="AA256" s="482">
        <v>0.0</v>
      </c>
    </row>
    <row r="257" ht="12.75" customHeight="1">
      <c r="A257" s="24"/>
      <c r="B257" s="24"/>
      <c r="C257" s="24"/>
      <c r="D257" s="24"/>
      <c r="E257" s="24"/>
      <c r="F257" s="24"/>
      <c r="G257" s="474">
        <v>43374.0</v>
      </c>
      <c r="H257" s="469">
        <v>4828944.0</v>
      </c>
      <c r="I257" s="469">
        <v>1072716.0</v>
      </c>
      <c r="J257" s="469">
        <v>18825.0</v>
      </c>
      <c r="K257" s="469">
        <v>64987.0</v>
      </c>
      <c r="L257" s="469">
        <v>4360283.0</v>
      </c>
      <c r="M257" s="469">
        <v>-688944.0</v>
      </c>
      <c r="N257" s="475">
        <v>0.0</v>
      </c>
      <c r="O257" s="475">
        <v>0.0</v>
      </c>
      <c r="P257" s="475">
        <v>691.0</v>
      </c>
      <c r="Q257" s="24"/>
      <c r="R257" s="476">
        <v>43374.0</v>
      </c>
      <c r="S257" s="482">
        <v>0.0</v>
      </c>
      <c r="T257" s="482">
        <v>0.0</v>
      </c>
      <c r="U257" s="482">
        <v>0.0</v>
      </c>
      <c r="V257" s="482">
        <v>0.0</v>
      </c>
      <c r="W257" s="482">
        <v>0.0</v>
      </c>
      <c r="X257" s="482">
        <v>0.0</v>
      </c>
      <c r="Y257" s="482">
        <v>0.0</v>
      </c>
      <c r="Z257" s="482">
        <v>0.0</v>
      </c>
      <c r="AA257" s="482">
        <v>0.0</v>
      </c>
    </row>
    <row r="258" ht="12.75" customHeight="1">
      <c r="A258" s="24"/>
      <c r="B258" s="24"/>
      <c r="C258" s="24"/>
      <c r="D258" s="24"/>
      <c r="E258" s="24"/>
      <c r="F258" s="24"/>
      <c r="G258" s="474">
        <v>43405.0</v>
      </c>
      <c r="H258" s="469">
        <v>5295474.0</v>
      </c>
      <c r="I258" s="469">
        <v>1011090.0</v>
      </c>
      <c r="J258" s="469">
        <v>18896.0</v>
      </c>
      <c r="K258" s="469">
        <v>63977.0</v>
      </c>
      <c r="L258" s="469">
        <v>4162638.0</v>
      </c>
      <c r="M258" s="469">
        <v>38269.0</v>
      </c>
      <c r="N258" s="475">
        <v>0.0</v>
      </c>
      <c r="O258" s="475">
        <v>0.0</v>
      </c>
      <c r="P258" s="475">
        <v>604.0</v>
      </c>
      <c r="Q258" s="24"/>
      <c r="R258" s="476">
        <v>43405.0</v>
      </c>
      <c r="S258" s="482">
        <v>0.0</v>
      </c>
      <c r="T258" s="482">
        <v>0.0</v>
      </c>
      <c r="U258" s="482">
        <v>0.0</v>
      </c>
      <c r="V258" s="482">
        <v>0.0</v>
      </c>
      <c r="W258" s="482">
        <v>0.0</v>
      </c>
      <c r="X258" s="482">
        <v>0.0</v>
      </c>
      <c r="Y258" s="482">
        <v>0.0</v>
      </c>
      <c r="Z258" s="482">
        <v>0.0</v>
      </c>
      <c r="AA258" s="482">
        <v>0.0</v>
      </c>
    </row>
    <row r="259" ht="12.75" customHeight="1">
      <c r="A259" s="24"/>
      <c r="B259" s="24"/>
      <c r="C259" s="24"/>
      <c r="D259" s="24"/>
      <c r="E259" s="24"/>
      <c r="F259" s="24"/>
      <c r="G259" s="474">
        <v>43435.0</v>
      </c>
      <c r="H259" s="469">
        <v>5367385.0</v>
      </c>
      <c r="I259" s="469">
        <v>1004361.0</v>
      </c>
      <c r="J259" s="469">
        <v>20223.0</v>
      </c>
      <c r="K259" s="469">
        <v>66667.0</v>
      </c>
      <c r="L259" s="469">
        <v>4255909.0</v>
      </c>
      <c r="M259" s="469">
        <v>19509.0</v>
      </c>
      <c r="N259" s="475">
        <v>0.0</v>
      </c>
      <c r="O259" s="475">
        <v>0.0</v>
      </c>
      <c r="P259" s="475">
        <v>716.0</v>
      </c>
      <c r="Q259" s="24"/>
      <c r="R259" s="476">
        <v>43435.0</v>
      </c>
      <c r="S259" s="482">
        <v>0.0</v>
      </c>
      <c r="T259" s="482">
        <v>0.0</v>
      </c>
      <c r="U259" s="482">
        <v>0.0</v>
      </c>
      <c r="V259" s="482">
        <v>0.0</v>
      </c>
      <c r="W259" s="482">
        <v>0.0</v>
      </c>
      <c r="X259" s="482">
        <v>0.0</v>
      </c>
      <c r="Y259" s="482">
        <v>0.0</v>
      </c>
      <c r="Z259" s="482">
        <v>0.0</v>
      </c>
      <c r="AA259" s="482">
        <v>0.0</v>
      </c>
    </row>
    <row r="260" ht="12.75" customHeight="1">
      <c r="A260" s="24"/>
      <c r="B260" s="24"/>
      <c r="C260" s="24"/>
      <c r="D260" s="24"/>
      <c r="E260" s="24"/>
      <c r="F260" s="24"/>
      <c r="G260" s="470"/>
      <c r="H260" s="24"/>
      <c r="I260" s="24"/>
      <c r="J260" s="24"/>
      <c r="K260" s="24"/>
      <c r="L260" s="24"/>
      <c r="M260" s="24"/>
      <c r="N260" s="24"/>
      <c r="O260" s="24"/>
      <c r="P260" s="24"/>
      <c r="Q260" s="24"/>
      <c r="R260" s="471"/>
      <c r="S260" s="481"/>
      <c r="T260" s="481"/>
      <c r="U260" s="481"/>
      <c r="V260" s="481"/>
      <c r="W260" s="481"/>
      <c r="X260" s="481"/>
      <c r="Y260" s="481"/>
      <c r="Z260" s="481"/>
      <c r="AA260" s="481"/>
    </row>
    <row r="261" ht="12.75" customHeight="1">
      <c r="A261" s="24"/>
      <c r="B261" s="24"/>
      <c r="C261" s="24"/>
      <c r="D261" s="24"/>
      <c r="E261" s="24"/>
      <c r="F261" s="24"/>
      <c r="G261" s="474">
        <v>43466.0</v>
      </c>
      <c r="H261" s="486"/>
      <c r="I261" s="486"/>
      <c r="J261" s="486"/>
      <c r="K261" s="486"/>
      <c r="L261" s="486"/>
      <c r="M261" s="486"/>
      <c r="N261" s="486"/>
      <c r="O261" s="486"/>
      <c r="P261" s="486"/>
      <c r="Q261" s="24"/>
      <c r="R261" s="476">
        <v>43466.0</v>
      </c>
      <c r="S261" s="482">
        <v>0.0</v>
      </c>
      <c r="T261" s="482">
        <v>0.0</v>
      </c>
      <c r="U261" s="482">
        <v>0.0</v>
      </c>
      <c r="V261" s="482">
        <v>0.0</v>
      </c>
      <c r="W261" s="482">
        <v>0.0</v>
      </c>
      <c r="X261" s="482">
        <v>0.0</v>
      </c>
      <c r="Y261" s="482">
        <v>0.0</v>
      </c>
      <c r="Z261" s="482">
        <v>0.0</v>
      </c>
      <c r="AA261" s="482">
        <v>0.0</v>
      </c>
    </row>
    <row r="262" ht="12.75" customHeight="1">
      <c r="A262" s="24"/>
      <c r="B262" s="24"/>
      <c r="C262" s="24"/>
      <c r="D262" s="24"/>
      <c r="E262" s="24"/>
      <c r="F262" s="24"/>
      <c r="G262" s="474">
        <v>43497.0</v>
      </c>
      <c r="H262" s="486"/>
      <c r="I262" s="486"/>
      <c r="J262" s="486"/>
      <c r="K262" s="486"/>
      <c r="L262" s="486"/>
      <c r="M262" s="486"/>
      <c r="N262" s="486"/>
      <c r="O262" s="486"/>
      <c r="P262" s="486"/>
      <c r="Q262" s="24"/>
      <c r="R262" s="476">
        <v>43497.0</v>
      </c>
      <c r="S262" s="482">
        <v>0.0</v>
      </c>
      <c r="T262" s="482">
        <v>0.0</v>
      </c>
      <c r="U262" s="482">
        <v>0.0</v>
      </c>
      <c r="V262" s="482">
        <v>0.0</v>
      </c>
      <c r="W262" s="482">
        <v>0.0</v>
      </c>
      <c r="X262" s="482">
        <v>0.0</v>
      </c>
      <c r="Y262" s="482">
        <v>0.0</v>
      </c>
      <c r="Z262" s="482">
        <v>0.0</v>
      </c>
      <c r="AA262" s="482">
        <v>0.0</v>
      </c>
    </row>
    <row r="263" ht="12.75" customHeight="1">
      <c r="A263" s="24"/>
      <c r="B263" s="24"/>
      <c r="C263" s="24"/>
      <c r="D263" s="24"/>
      <c r="E263" s="24"/>
      <c r="F263" s="24"/>
      <c r="G263" s="474">
        <v>43525.0</v>
      </c>
      <c r="H263" s="486"/>
      <c r="I263" s="486"/>
      <c r="J263" s="486"/>
      <c r="K263" s="486"/>
      <c r="L263" s="486"/>
      <c r="M263" s="486"/>
      <c r="N263" s="486"/>
      <c r="O263" s="486"/>
      <c r="P263" s="486"/>
      <c r="Q263" s="24"/>
      <c r="R263" s="476">
        <v>43525.0</v>
      </c>
      <c r="S263" s="482">
        <v>0.0</v>
      </c>
      <c r="T263" s="482">
        <v>0.0</v>
      </c>
      <c r="U263" s="482">
        <v>0.0</v>
      </c>
      <c r="V263" s="482">
        <v>0.0</v>
      </c>
      <c r="W263" s="482">
        <v>0.0</v>
      </c>
      <c r="X263" s="482">
        <v>0.0</v>
      </c>
      <c r="Y263" s="482">
        <v>0.0</v>
      </c>
      <c r="Z263" s="482">
        <v>0.0</v>
      </c>
      <c r="AA263" s="482">
        <v>0.0</v>
      </c>
    </row>
    <row r="264" ht="12.75" customHeight="1">
      <c r="A264" s="24"/>
      <c r="B264" s="24"/>
      <c r="C264" s="24"/>
      <c r="D264" s="24"/>
      <c r="E264" s="24"/>
      <c r="F264" s="24"/>
      <c r="G264" s="474">
        <v>43556.0</v>
      </c>
      <c r="H264" s="486"/>
      <c r="I264" s="486"/>
      <c r="J264" s="486"/>
      <c r="K264" s="486"/>
      <c r="L264" s="486"/>
      <c r="M264" s="486"/>
      <c r="N264" s="486"/>
      <c r="O264" s="486"/>
      <c r="P264" s="486"/>
      <c r="Q264" s="24"/>
      <c r="R264" s="476">
        <v>43556.0</v>
      </c>
      <c r="S264" s="482">
        <v>0.0</v>
      </c>
      <c r="T264" s="482">
        <v>0.0</v>
      </c>
      <c r="U264" s="482">
        <v>0.0</v>
      </c>
      <c r="V264" s="482">
        <v>0.0</v>
      </c>
      <c r="W264" s="482">
        <v>0.0</v>
      </c>
      <c r="X264" s="482">
        <v>0.0</v>
      </c>
      <c r="Y264" s="482">
        <v>0.0</v>
      </c>
      <c r="Z264" s="482">
        <v>0.0</v>
      </c>
      <c r="AA264" s="482">
        <v>0.0</v>
      </c>
    </row>
    <row r="265" ht="12.75" customHeight="1">
      <c r="A265" s="24"/>
      <c r="B265" s="24"/>
      <c r="C265" s="24"/>
      <c r="D265" s="24"/>
      <c r="E265" s="24"/>
      <c r="F265" s="24"/>
      <c r="G265" s="474">
        <v>43586.0</v>
      </c>
      <c r="H265" s="486"/>
      <c r="I265" s="486"/>
      <c r="J265" s="486"/>
      <c r="K265" s="486"/>
      <c r="L265" s="486"/>
      <c r="M265" s="486"/>
      <c r="N265" s="486"/>
      <c r="O265" s="486"/>
      <c r="P265" s="486"/>
      <c r="Q265" s="24"/>
      <c r="R265" s="476">
        <v>43586.0</v>
      </c>
      <c r="S265" s="482">
        <v>0.0</v>
      </c>
      <c r="T265" s="482">
        <v>0.0</v>
      </c>
      <c r="U265" s="482">
        <v>0.0</v>
      </c>
      <c r="V265" s="482">
        <v>0.0</v>
      </c>
      <c r="W265" s="482">
        <v>0.0</v>
      </c>
      <c r="X265" s="482">
        <v>0.0</v>
      </c>
      <c r="Y265" s="482">
        <v>0.0</v>
      </c>
      <c r="Z265" s="482">
        <v>0.0</v>
      </c>
      <c r="AA265" s="482">
        <v>0.0</v>
      </c>
    </row>
    <row r="266" ht="12.75" customHeight="1">
      <c r="A266" s="24"/>
      <c r="B266" s="24"/>
      <c r="C266" s="24"/>
      <c r="D266" s="24"/>
      <c r="E266" s="24"/>
      <c r="F266" s="24"/>
      <c r="G266" s="474">
        <v>43617.0</v>
      </c>
      <c r="H266" s="486"/>
      <c r="I266" s="486"/>
      <c r="J266" s="486"/>
      <c r="K266" s="486"/>
      <c r="L266" s="486"/>
      <c r="M266" s="486"/>
      <c r="N266" s="486"/>
      <c r="O266" s="486"/>
      <c r="P266" s="486"/>
      <c r="Q266" s="24"/>
      <c r="R266" s="476">
        <v>43617.0</v>
      </c>
      <c r="S266" s="482">
        <v>0.0</v>
      </c>
      <c r="T266" s="482">
        <v>0.0</v>
      </c>
      <c r="U266" s="482">
        <v>0.0</v>
      </c>
      <c r="V266" s="482">
        <v>0.0</v>
      </c>
      <c r="W266" s="482">
        <v>0.0</v>
      </c>
      <c r="X266" s="482">
        <v>0.0</v>
      </c>
      <c r="Y266" s="482">
        <v>0.0</v>
      </c>
      <c r="Z266" s="482">
        <v>0.0</v>
      </c>
      <c r="AA266" s="482">
        <v>0.0</v>
      </c>
    </row>
    <row r="267" ht="12.75" customHeight="1">
      <c r="A267" s="24"/>
      <c r="B267" s="24"/>
      <c r="C267" s="24"/>
      <c r="D267" s="24"/>
      <c r="E267" s="24"/>
      <c r="F267" s="24"/>
      <c r="G267" s="474">
        <v>43647.0</v>
      </c>
      <c r="H267" s="486"/>
      <c r="I267" s="486"/>
      <c r="J267" s="486"/>
      <c r="K267" s="486"/>
      <c r="L267" s="486"/>
      <c r="M267" s="486"/>
      <c r="N267" s="486"/>
      <c r="O267" s="486"/>
      <c r="P267" s="486"/>
      <c r="Q267" s="24"/>
      <c r="R267" s="476">
        <v>43647.0</v>
      </c>
      <c r="S267" s="482">
        <v>0.0</v>
      </c>
      <c r="T267" s="482">
        <v>0.0</v>
      </c>
      <c r="U267" s="482">
        <v>0.0</v>
      </c>
      <c r="V267" s="482">
        <v>0.0</v>
      </c>
      <c r="W267" s="482">
        <v>0.0</v>
      </c>
      <c r="X267" s="482">
        <v>0.0</v>
      </c>
      <c r="Y267" s="482">
        <v>0.0</v>
      </c>
      <c r="Z267" s="482">
        <v>0.0</v>
      </c>
      <c r="AA267" s="482">
        <v>0.0</v>
      </c>
    </row>
    <row r="268" ht="12.75" customHeight="1">
      <c r="A268" s="24"/>
      <c r="B268" s="24"/>
      <c r="C268" s="24"/>
      <c r="D268" s="24"/>
      <c r="E268" s="24"/>
      <c r="F268" s="24"/>
      <c r="G268" s="474">
        <v>43678.0</v>
      </c>
      <c r="H268" s="486"/>
      <c r="I268" s="486"/>
      <c r="J268" s="486"/>
      <c r="K268" s="486"/>
      <c r="L268" s="486"/>
      <c r="M268" s="486"/>
      <c r="N268" s="486"/>
      <c r="O268" s="486"/>
      <c r="P268" s="486"/>
      <c r="Q268" s="24"/>
      <c r="R268" s="476">
        <v>43678.0</v>
      </c>
      <c r="S268" s="482">
        <v>0.0</v>
      </c>
      <c r="T268" s="482">
        <v>0.0</v>
      </c>
      <c r="U268" s="482">
        <v>0.0</v>
      </c>
      <c r="V268" s="482">
        <v>0.0</v>
      </c>
      <c r="W268" s="482">
        <v>0.0</v>
      </c>
      <c r="X268" s="482">
        <v>0.0</v>
      </c>
      <c r="Y268" s="482">
        <v>0.0</v>
      </c>
      <c r="Z268" s="482">
        <v>0.0</v>
      </c>
      <c r="AA268" s="482">
        <v>0.0</v>
      </c>
    </row>
    <row r="269" ht="12.75" customHeight="1">
      <c r="A269" s="24"/>
      <c r="B269" s="24"/>
      <c r="C269" s="24"/>
      <c r="D269" s="24"/>
      <c r="E269" s="24"/>
      <c r="F269" s="24"/>
      <c r="G269" s="474">
        <v>43709.0</v>
      </c>
      <c r="H269" s="486"/>
      <c r="I269" s="486"/>
      <c r="J269" s="486"/>
      <c r="K269" s="486"/>
      <c r="L269" s="486"/>
      <c r="M269" s="486"/>
      <c r="N269" s="486"/>
      <c r="O269" s="486"/>
      <c r="P269" s="486"/>
      <c r="Q269" s="24"/>
      <c r="R269" s="476">
        <v>43709.0</v>
      </c>
      <c r="S269" s="482">
        <v>0.0</v>
      </c>
      <c r="T269" s="482">
        <v>0.0</v>
      </c>
      <c r="U269" s="482">
        <v>0.0</v>
      </c>
      <c r="V269" s="482">
        <v>0.0</v>
      </c>
      <c r="W269" s="482">
        <v>0.0</v>
      </c>
      <c r="X269" s="482">
        <v>0.0</v>
      </c>
      <c r="Y269" s="482">
        <v>0.0</v>
      </c>
      <c r="Z269" s="482">
        <v>0.0</v>
      </c>
      <c r="AA269" s="482">
        <v>0.0</v>
      </c>
    </row>
    <row r="270" ht="12.75" customHeight="1">
      <c r="A270" s="24"/>
      <c r="B270" s="24"/>
      <c r="C270" s="24"/>
      <c r="D270" s="24"/>
      <c r="E270" s="24"/>
      <c r="F270" s="24"/>
      <c r="G270" s="474">
        <v>43739.0</v>
      </c>
      <c r="H270" s="486"/>
      <c r="I270" s="486"/>
      <c r="J270" s="486"/>
      <c r="K270" s="486"/>
      <c r="L270" s="486"/>
      <c r="M270" s="486"/>
      <c r="N270" s="486"/>
      <c r="O270" s="486"/>
      <c r="P270" s="486"/>
      <c r="Q270" s="24"/>
      <c r="R270" s="476">
        <v>43739.0</v>
      </c>
      <c r="S270" s="482">
        <v>0.0</v>
      </c>
      <c r="T270" s="482">
        <v>0.0</v>
      </c>
      <c r="U270" s="482">
        <v>0.0</v>
      </c>
      <c r="V270" s="482">
        <v>0.0</v>
      </c>
      <c r="W270" s="482">
        <v>0.0</v>
      </c>
      <c r="X270" s="482">
        <v>0.0</v>
      </c>
      <c r="Y270" s="482">
        <v>0.0</v>
      </c>
      <c r="Z270" s="482">
        <v>0.0</v>
      </c>
      <c r="AA270" s="482">
        <v>0.0</v>
      </c>
    </row>
    <row r="271" ht="12.75" customHeight="1">
      <c r="A271" s="24"/>
      <c r="B271" s="24"/>
      <c r="C271" s="24"/>
      <c r="D271" s="24"/>
      <c r="E271" s="24"/>
      <c r="F271" s="24"/>
      <c r="G271" s="474">
        <v>43770.0</v>
      </c>
      <c r="H271" s="486"/>
      <c r="I271" s="486"/>
      <c r="J271" s="486"/>
      <c r="K271" s="486"/>
      <c r="L271" s="486"/>
      <c r="M271" s="486"/>
      <c r="N271" s="486"/>
      <c r="O271" s="486"/>
      <c r="P271" s="486"/>
      <c r="Q271" s="24"/>
      <c r="R271" s="476">
        <v>43770.0</v>
      </c>
      <c r="S271" s="482">
        <v>0.0</v>
      </c>
      <c r="T271" s="482">
        <v>0.0</v>
      </c>
      <c r="U271" s="482">
        <v>0.0</v>
      </c>
      <c r="V271" s="482">
        <v>0.0</v>
      </c>
      <c r="W271" s="482">
        <v>0.0</v>
      </c>
      <c r="X271" s="482">
        <v>0.0</v>
      </c>
      <c r="Y271" s="482">
        <v>0.0</v>
      </c>
      <c r="Z271" s="482">
        <v>0.0</v>
      </c>
      <c r="AA271" s="482">
        <v>0.0</v>
      </c>
    </row>
    <row r="272" ht="12.75" customHeight="1">
      <c r="A272" s="24"/>
      <c r="B272" s="24"/>
      <c r="C272" s="24"/>
      <c r="D272" s="24"/>
      <c r="E272" s="24"/>
      <c r="F272" s="24"/>
      <c r="G272" s="474">
        <v>43800.0</v>
      </c>
      <c r="H272" s="486"/>
      <c r="I272" s="486"/>
      <c r="J272" s="486"/>
      <c r="K272" s="486"/>
      <c r="L272" s="486"/>
      <c r="M272" s="486"/>
      <c r="N272" s="486"/>
      <c r="O272" s="486"/>
      <c r="P272" s="486"/>
      <c r="Q272" s="24"/>
      <c r="R272" s="476">
        <v>43800.0</v>
      </c>
      <c r="S272" s="482">
        <v>0.0</v>
      </c>
      <c r="T272" s="482">
        <v>0.0</v>
      </c>
      <c r="U272" s="482">
        <v>0.0</v>
      </c>
      <c r="V272" s="482">
        <v>0.0</v>
      </c>
      <c r="W272" s="482">
        <v>0.0</v>
      </c>
      <c r="X272" s="482">
        <v>0.0</v>
      </c>
      <c r="Y272" s="482">
        <v>0.0</v>
      </c>
      <c r="Z272" s="482">
        <v>0.0</v>
      </c>
      <c r="AA272" s="482">
        <v>0.0</v>
      </c>
    </row>
    <row r="273" ht="12.75" customHeight="1">
      <c r="A273" s="24"/>
      <c r="B273" s="24"/>
      <c r="C273" s="24"/>
      <c r="D273" s="24"/>
      <c r="E273" s="24"/>
      <c r="F273" s="24"/>
      <c r="G273" s="470"/>
      <c r="H273" s="24"/>
      <c r="I273" s="24"/>
      <c r="J273" s="24"/>
      <c r="K273" s="24"/>
      <c r="L273" s="24"/>
      <c r="M273" s="24"/>
      <c r="N273" s="24"/>
      <c r="O273" s="24"/>
      <c r="P273" s="24"/>
      <c r="Q273" s="24"/>
      <c r="R273" s="471"/>
      <c r="S273" s="481"/>
      <c r="T273" s="481"/>
      <c r="U273" s="481"/>
      <c r="V273" s="481"/>
      <c r="W273" s="481"/>
      <c r="X273" s="481"/>
      <c r="Y273" s="481"/>
      <c r="Z273" s="481"/>
      <c r="AA273" s="481"/>
    </row>
    <row r="274" ht="12.75" customHeight="1">
      <c r="A274" s="24"/>
      <c r="B274" s="24"/>
      <c r="C274" s="24"/>
      <c r="D274" s="24"/>
      <c r="E274" s="24"/>
      <c r="F274" s="24"/>
      <c r="G274" s="474">
        <v>43831.0</v>
      </c>
      <c r="H274" s="486"/>
      <c r="I274" s="486"/>
      <c r="J274" s="486"/>
      <c r="K274" s="486"/>
      <c r="L274" s="486"/>
      <c r="M274" s="486"/>
      <c r="N274" s="486"/>
      <c r="O274" s="486"/>
      <c r="P274" s="486"/>
      <c r="Q274" s="24"/>
      <c r="R274" s="476">
        <v>43831.0</v>
      </c>
      <c r="S274" s="482">
        <v>0.0</v>
      </c>
      <c r="T274" s="482">
        <v>0.0</v>
      </c>
      <c r="U274" s="482">
        <v>0.0</v>
      </c>
      <c r="V274" s="482">
        <v>0.0</v>
      </c>
      <c r="W274" s="482">
        <v>0.0</v>
      </c>
      <c r="X274" s="482">
        <v>0.0</v>
      </c>
      <c r="Y274" s="482">
        <v>0.0</v>
      </c>
      <c r="Z274" s="482">
        <v>0.0</v>
      </c>
      <c r="AA274" s="482">
        <v>0.0</v>
      </c>
    </row>
    <row r="275" ht="12.75" customHeight="1">
      <c r="A275" s="24"/>
      <c r="B275" s="24"/>
      <c r="C275" s="24"/>
      <c r="D275" s="24"/>
      <c r="E275" s="24"/>
      <c r="F275" s="24"/>
      <c r="G275" s="474">
        <v>43862.0</v>
      </c>
      <c r="H275" s="486"/>
      <c r="I275" s="486"/>
      <c r="J275" s="486"/>
      <c r="K275" s="486"/>
      <c r="L275" s="486"/>
      <c r="M275" s="486"/>
      <c r="N275" s="486"/>
      <c r="O275" s="486"/>
      <c r="P275" s="486"/>
      <c r="Q275" s="24"/>
      <c r="R275" s="476">
        <v>43862.0</v>
      </c>
      <c r="S275" s="482">
        <v>0.0</v>
      </c>
      <c r="T275" s="482">
        <v>0.0</v>
      </c>
      <c r="U275" s="482">
        <v>0.0</v>
      </c>
      <c r="V275" s="482">
        <v>0.0</v>
      </c>
      <c r="W275" s="482">
        <v>0.0</v>
      </c>
      <c r="X275" s="482">
        <v>0.0</v>
      </c>
      <c r="Y275" s="482">
        <v>0.0</v>
      </c>
      <c r="Z275" s="482">
        <v>0.0</v>
      </c>
      <c r="AA275" s="482">
        <v>0.0</v>
      </c>
    </row>
    <row r="276" ht="12.75" customHeight="1">
      <c r="A276" s="24"/>
      <c r="B276" s="24"/>
      <c r="C276" s="24"/>
      <c r="D276" s="24"/>
      <c r="E276" s="24"/>
      <c r="F276" s="24"/>
      <c r="G276" s="474">
        <v>43891.0</v>
      </c>
      <c r="H276" s="486"/>
      <c r="I276" s="486"/>
      <c r="J276" s="486"/>
      <c r="K276" s="486"/>
      <c r="L276" s="486"/>
      <c r="M276" s="486"/>
      <c r="N276" s="486"/>
      <c r="O276" s="486"/>
      <c r="P276" s="486"/>
      <c r="Q276" s="24"/>
      <c r="R276" s="476">
        <v>43891.0</v>
      </c>
      <c r="S276" s="482">
        <v>0.0</v>
      </c>
      <c r="T276" s="482">
        <v>0.0</v>
      </c>
      <c r="U276" s="482">
        <v>0.0</v>
      </c>
      <c r="V276" s="482">
        <v>0.0</v>
      </c>
      <c r="W276" s="482">
        <v>0.0</v>
      </c>
      <c r="X276" s="482">
        <v>0.0</v>
      </c>
      <c r="Y276" s="482">
        <v>0.0</v>
      </c>
      <c r="Z276" s="482">
        <v>0.0</v>
      </c>
      <c r="AA276" s="482">
        <v>0.0</v>
      </c>
    </row>
    <row r="277" ht="12.75" customHeight="1">
      <c r="A277" s="24"/>
      <c r="B277" s="24"/>
      <c r="C277" s="24"/>
      <c r="D277" s="24"/>
      <c r="E277" s="24"/>
      <c r="F277" s="24"/>
      <c r="G277" s="474">
        <v>43922.0</v>
      </c>
      <c r="H277" s="486"/>
      <c r="I277" s="486"/>
      <c r="J277" s="486"/>
      <c r="K277" s="486"/>
      <c r="L277" s="486"/>
      <c r="M277" s="486"/>
      <c r="N277" s="486"/>
      <c r="O277" s="486"/>
      <c r="P277" s="486"/>
      <c r="Q277" s="24"/>
      <c r="R277" s="476">
        <v>43922.0</v>
      </c>
      <c r="S277" s="482">
        <v>0.0</v>
      </c>
      <c r="T277" s="482">
        <v>0.0</v>
      </c>
      <c r="U277" s="482">
        <v>0.0</v>
      </c>
      <c r="V277" s="482">
        <v>0.0</v>
      </c>
      <c r="W277" s="482">
        <v>0.0</v>
      </c>
      <c r="X277" s="482">
        <v>0.0</v>
      </c>
      <c r="Y277" s="482">
        <v>0.0</v>
      </c>
      <c r="Z277" s="482">
        <v>0.0</v>
      </c>
      <c r="AA277" s="482">
        <v>0.0</v>
      </c>
    </row>
    <row r="278" ht="12.75" customHeight="1">
      <c r="A278" s="24"/>
      <c r="B278" s="24"/>
      <c r="C278" s="24"/>
      <c r="D278" s="24"/>
      <c r="E278" s="24"/>
      <c r="F278" s="24"/>
      <c r="G278" s="474">
        <v>43952.0</v>
      </c>
      <c r="H278" s="486"/>
      <c r="I278" s="486"/>
      <c r="J278" s="486"/>
      <c r="K278" s="486"/>
      <c r="L278" s="486"/>
      <c r="M278" s="486"/>
      <c r="N278" s="486"/>
      <c r="O278" s="486"/>
      <c r="P278" s="486"/>
      <c r="Q278" s="24"/>
      <c r="R278" s="476">
        <v>43952.0</v>
      </c>
      <c r="S278" s="482">
        <v>0.0</v>
      </c>
      <c r="T278" s="482">
        <v>0.0</v>
      </c>
      <c r="U278" s="482">
        <v>0.0</v>
      </c>
      <c r="V278" s="482">
        <v>0.0</v>
      </c>
      <c r="W278" s="482">
        <v>0.0</v>
      </c>
      <c r="X278" s="482">
        <v>0.0</v>
      </c>
      <c r="Y278" s="482">
        <v>0.0</v>
      </c>
      <c r="Z278" s="482">
        <v>0.0</v>
      </c>
      <c r="AA278" s="482">
        <v>0.0</v>
      </c>
    </row>
    <row r="279" ht="12.75" customHeight="1">
      <c r="A279" s="24"/>
      <c r="B279" s="24"/>
      <c r="C279" s="24"/>
      <c r="D279" s="24"/>
      <c r="E279" s="24"/>
      <c r="F279" s="24"/>
      <c r="G279" s="474">
        <v>43983.0</v>
      </c>
      <c r="H279" s="486"/>
      <c r="I279" s="486"/>
      <c r="J279" s="486"/>
      <c r="K279" s="486"/>
      <c r="L279" s="486"/>
      <c r="M279" s="486"/>
      <c r="N279" s="486"/>
      <c r="O279" s="486"/>
      <c r="P279" s="486"/>
      <c r="Q279" s="24"/>
      <c r="R279" s="476">
        <v>43983.0</v>
      </c>
      <c r="S279" s="482">
        <v>0.0</v>
      </c>
      <c r="T279" s="482">
        <v>0.0</v>
      </c>
      <c r="U279" s="482">
        <v>0.0</v>
      </c>
      <c r="V279" s="482">
        <v>0.0</v>
      </c>
      <c r="W279" s="482">
        <v>0.0</v>
      </c>
      <c r="X279" s="482">
        <v>0.0</v>
      </c>
      <c r="Y279" s="482">
        <v>0.0</v>
      </c>
      <c r="Z279" s="482">
        <v>0.0</v>
      </c>
      <c r="AA279" s="482">
        <v>0.0</v>
      </c>
    </row>
    <row r="280" ht="12.75" customHeight="1">
      <c r="A280" s="24"/>
      <c r="B280" s="24"/>
      <c r="C280" s="24"/>
      <c r="D280" s="24"/>
      <c r="E280" s="24"/>
      <c r="F280" s="24"/>
      <c r="G280" s="474">
        <v>44013.0</v>
      </c>
      <c r="H280" s="486"/>
      <c r="I280" s="486"/>
      <c r="J280" s="486"/>
      <c r="K280" s="486"/>
      <c r="L280" s="486"/>
      <c r="M280" s="486"/>
      <c r="N280" s="486"/>
      <c r="O280" s="486"/>
      <c r="P280" s="486"/>
      <c r="Q280" s="24"/>
      <c r="R280" s="476">
        <v>44013.0</v>
      </c>
      <c r="S280" s="482">
        <v>0.0</v>
      </c>
      <c r="T280" s="482">
        <v>0.0</v>
      </c>
      <c r="U280" s="482">
        <v>0.0</v>
      </c>
      <c r="V280" s="482">
        <v>0.0</v>
      </c>
      <c r="W280" s="482">
        <v>0.0</v>
      </c>
      <c r="X280" s="482">
        <v>0.0</v>
      </c>
      <c r="Y280" s="482">
        <v>0.0</v>
      </c>
      <c r="Z280" s="482">
        <v>0.0</v>
      </c>
      <c r="AA280" s="482">
        <v>0.0</v>
      </c>
    </row>
    <row r="281" ht="12.75" customHeight="1">
      <c r="A281" s="24"/>
      <c r="B281" s="24"/>
      <c r="C281" s="24"/>
      <c r="D281" s="24"/>
      <c r="E281" s="24"/>
      <c r="F281" s="24"/>
      <c r="G281" s="474">
        <v>44044.0</v>
      </c>
      <c r="H281" s="486"/>
      <c r="I281" s="486"/>
      <c r="J281" s="486"/>
      <c r="K281" s="486"/>
      <c r="L281" s="486"/>
      <c r="M281" s="486"/>
      <c r="N281" s="486"/>
      <c r="O281" s="486"/>
      <c r="P281" s="486"/>
      <c r="Q281" s="24"/>
      <c r="R281" s="476">
        <v>44044.0</v>
      </c>
      <c r="S281" s="482">
        <v>0.0</v>
      </c>
      <c r="T281" s="482">
        <v>0.0</v>
      </c>
      <c r="U281" s="482">
        <v>0.0</v>
      </c>
      <c r="V281" s="482">
        <v>0.0</v>
      </c>
      <c r="W281" s="482">
        <v>0.0</v>
      </c>
      <c r="X281" s="482">
        <v>0.0</v>
      </c>
      <c r="Y281" s="482">
        <v>0.0</v>
      </c>
      <c r="Z281" s="482">
        <v>0.0</v>
      </c>
      <c r="AA281" s="482">
        <v>0.0</v>
      </c>
    </row>
    <row r="282" ht="12.75" customHeight="1">
      <c r="A282" s="24"/>
      <c r="B282" s="24"/>
      <c r="C282" s="24"/>
      <c r="D282" s="24"/>
      <c r="E282" s="24"/>
      <c r="F282" s="24"/>
      <c r="G282" s="474">
        <v>44075.0</v>
      </c>
      <c r="H282" s="486"/>
      <c r="I282" s="486"/>
      <c r="J282" s="486"/>
      <c r="K282" s="486"/>
      <c r="L282" s="486"/>
      <c r="M282" s="486"/>
      <c r="N282" s="486"/>
      <c r="O282" s="486"/>
      <c r="P282" s="486"/>
      <c r="Q282" s="24"/>
      <c r="R282" s="476">
        <v>44075.0</v>
      </c>
      <c r="S282" s="482">
        <v>0.0</v>
      </c>
      <c r="T282" s="482">
        <v>0.0</v>
      </c>
      <c r="U282" s="482">
        <v>0.0</v>
      </c>
      <c r="V282" s="482">
        <v>0.0</v>
      </c>
      <c r="W282" s="482">
        <v>0.0</v>
      </c>
      <c r="X282" s="482">
        <v>0.0</v>
      </c>
      <c r="Y282" s="482">
        <v>0.0</v>
      </c>
      <c r="Z282" s="482">
        <v>0.0</v>
      </c>
      <c r="AA282" s="482">
        <v>0.0</v>
      </c>
    </row>
    <row r="283" ht="12.75" customHeight="1">
      <c r="A283" s="24"/>
      <c r="B283" s="24"/>
      <c r="C283" s="24"/>
      <c r="D283" s="24"/>
      <c r="E283" s="24"/>
      <c r="F283" s="24"/>
      <c r="G283" s="474">
        <v>44105.0</v>
      </c>
      <c r="H283" s="486"/>
      <c r="I283" s="486"/>
      <c r="J283" s="486"/>
      <c r="K283" s="486"/>
      <c r="L283" s="486"/>
      <c r="M283" s="486"/>
      <c r="N283" s="486"/>
      <c r="O283" s="486"/>
      <c r="P283" s="486"/>
      <c r="Q283" s="24"/>
      <c r="R283" s="476">
        <v>44105.0</v>
      </c>
      <c r="S283" s="482">
        <v>0.0</v>
      </c>
      <c r="T283" s="482">
        <v>0.0</v>
      </c>
      <c r="U283" s="482">
        <v>0.0</v>
      </c>
      <c r="V283" s="482">
        <v>0.0</v>
      </c>
      <c r="W283" s="482">
        <v>0.0</v>
      </c>
      <c r="X283" s="482">
        <v>0.0</v>
      </c>
      <c r="Y283" s="482">
        <v>0.0</v>
      </c>
      <c r="Z283" s="482">
        <v>0.0</v>
      </c>
      <c r="AA283" s="482">
        <v>0.0</v>
      </c>
    </row>
    <row r="284" ht="12.75" customHeight="1">
      <c r="A284" s="24"/>
      <c r="B284" s="24"/>
      <c r="C284" s="24"/>
      <c r="D284" s="24"/>
      <c r="E284" s="24"/>
      <c r="F284" s="24"/>
      <c r="G284" s="474">
        <v>44136.0</v>
      </c>
      <c r="H284" s="486"/>
      <c r="I284" s="486"/>
      <c r="J284" s="486"/>
      <c r="K284" s="486"/>
      <c r="L284" s="486"/>
      <c r="M284" s="486"/>
      <c r="N284" s="486"/>
      <c r="O284" s="486"/>
      <c r="P284" s="486"/>
      <c r="Q284" s="24"/>
      <c r="R284" s="476">
        <v>44136.0</v>
      </c>
      <c r="S284" s="482">
        <v>0.0</v>
      </c>
      <c r="T284" s="482">
        <v>0.0</v>
      </c>
      <c r="U284" s="482">
        <v>0.0</v>
      </c>
      <c r="V284" s="482">
        <v>0.0</v>
      </c>
      <c r="W284" s="482">
        <v>0.0</v>
      </c>
      <c r="X284" s="482">
        <v>0.0</v>
      </c>
      <c r="Y284" s="482">
        <v>0.0</v>
      </c>
      <c r="Z284" s="482">
        <v>0.0</v>
      </c>
      <c r="AA284" s="482">
        <v>0.0</v>
      </c>
    </row>
    <row r="285" ht="12.75" customHeight="1">
      <c r="A285" s="24"/>
      <c r="B285" s="24"/>
      <c r="C285" s="24"/>
      <c r="D285" s="24"/>
      <c r="E285" s="24"/>
      <c r="F285" s="24"/>
      <c r="G285" s="474">
        <v>44166.0</v>
      </c>
      <c r="H285" s="486"/>
      <c r="I285" s="486"/>
      <c r="J285" s="486"/>
      <c r="K285" s="486"/>
      <c r="L285" s="486"/>
      <c r="M285" s="486"/>
      <c r="N285" s="486"/>
      <c r="O285" s="486"/>
      <c r="P285" s="486"/>
      <c r="Q285" s="24"/>
      <c r="R285" s="476">
        <v>44166.0</v>
      </c>
      <c r="S285" s="482">
        <v>0.0</v>
      </c>
      <c r="T285" s="482">
        <v>0.0</v>
      </c>
      <c r="U285" s="482">
        <v>0.0</v>
      </c>
      <c r="V285" s="482">
        <v>0.0</v>
      </c>
      <c r="W285" s="482">
        <v>0.0</v>
      </c>
      <c r="X285" s="482">
        <v>0.0</v>
      </c>
      <c r="Y285" s="482">
        <v>0.0</v>
      </c>
      <c r="Z285" s="482">
        <v>0.0</v>
      </c>
      <c r="AA285" s="482">
        <v>0.0</v>
      </c>
    </row>
    <row r="286" ht="12.75" customHeight="1">
      <c r="A286" s="24"/>
      <c r="B286" s="24"/>
      <c r="C286" s="24"/>
      <c r="D286" s="24"/>
      <c r="E286" s="24"/>
      <c r="F286" s="24"/>
      <c r="G286" s="470"/>
      <c r="H286" s="24"/>
      <c r="I286" s="24"/>
      <c r="J286" s="24"/>
      <c r="K286" s="24"/>
      <c r="L286" s="24"/>
      <c r="M286" s="24"/>
      <c r="N286" s="24"/>
      <c r="O286" s="24"/>
      <c r="P286" s="24"/>
      <c r="Q286" s="24"/>
      <c r="R286" s="471"/>
      <c r="S286" s="481"/>
      <c r="T286" s="481"/>
      <c r="U286" s="481"/>
      <c r="V286" s="481"/>
      <c r="W286" s="481"/>
      <c r="X286" s="481"/>
      <c r="Y286" s="481"/>
      <c r="Z286" s="481"/>
      <c r="AA286" s="481"/>
    </row>
    <row r="287" ht="12.75" customHeight="1">
      <c r="A287" s="24"/>
      <c r="B287" s="24"/>
      <c r="C287" s="24"/>
      <c r="D287" s="24"/>
      <c r="E287" s="24"/>
      <c r="F287" s="24"/>
      <c r="G287" s="474">
        <v>44197.0</v>
      </c>
      <c r="H287" s="486"/>
      <c r="I287" s="486"/>
      <c r="J287" s="486"/>
      <c r="K287" s="486"/>
      <c r="L287" s="486"/>
      <c r="M287" s="486"/>
      <c r="N287" s="486"/>
      <c r="O287" s="486"/>
      <c r="P287" s="486"/>
      <c r="Q287" s="24"/>
      <c r="R287" s="476">
        <v>44197.0</v>
      </c>
      <c r="S287" s="482">
        <v>0.0</v>
      </c>
      <c r="T287" s="482">
        <v>0.0</v>
      </c>
      <c r="U287" s="482">
        <v>0.0</v>
      </c>
      <c r="V287" s="482">
        <v>0.0</v>
      </c>
      <c r="W287" s="482">
        <v>0.0</v>
      </c>
      <c r="X287" s="482">
        <v>0.0</v>
      </c>
      <c r="Y287" s="482">
        <v>0.0</v>
      </c>
      <c r="Z287" s="482">
        <v>0.0</v>
      </c>
      <c r="AA287" s="482">
        <v>0.0</v>
      </c>
    </row>
    <row r="288" ht="12.75" customHeight="1">
      <c r="A288" s="24"/>
      <c r="B288" s="24"/>
      <c r="C288" s="24"/>
      <c r="D288" s="24"/>
      <c r="E288" s="24"/>
      <c r="F288" s="24"/>
      <c r="G288" s="474">
        <v>44228.0</v>
      </c>
      <c r="H288" s="486"/>
      <c r="I288" s="486"/>
      <c r="J288" s="486"/>
      <c r="K288" s="486"/>
      <c r="L288" s="486"/>
      <c r="M288" s="486"/>
      <c r="N288" s="486"/>
      <c r="O288" s="486"/>
      <c r="P288" s="486"/>
      <c r="Q288" s="24"/>
      <c r="R288" s="476">
        <v>44228.0</v>
      </c>
      <c r="S288" s="482">
        <v>0.0</v>
      </c>
      <c r="T288" s="482">
        <v>0.0</v>
      </c>
      <c r="U288" s="482">
        <v>0.0</v>
      </c>
      <c r="V288" s="482">
        <v>0.0</v>
      </c>
      <c r="W288" s="482">
        <v>0.0</v>
      </c>
      <c r="X288" s="482">
        <v>0.0</v>
      </c>
      <c r="Y288" s="482">
        <v>0.0</v>
      </c>
      <c r="Z288" s="482">
        <v>0.0</v>
      </c>
      <c r="AA288" s="482">
        <v>0.0</v>
      </c>
    </row>
    <row r="289" ht="12.75" customHeight="1">
      <c r="A289" s="24"/>
      <c r="B289" s="24"/>
      <c r="C289" s="24"/>
      <c r="D289" s="24"/>
      <c r="E289" s="24"/>
      <c r="F289" s="24"/>
      <c r="G289" s="474">
        <v>44256.0</v>
      </c>
      <c r="H289" s="486"/>
      <c r="I289" s="486"/>
      <c r="J289" s="486"/>
      <c r="K289" s="486"/>
      <c r="L289" s="486"/>
      <c r="M289" s="486"/>
      <c r="N289" s="486"/>
      <c r="O289" s="486"/>
      <c r="P289" s="486"/>
      <c r="Q289" s="24"/>
      <c r="R289" s="476">
        <v>44256.0</v>
      </c>
      <c r="S289" s="482">
        <v>0.0</v>
      </c>
      <c r="T289" s="482">
        <v>0.0</v>
      </c>
      <c r="U289" s="482">
        <v>0.0</v>
      </c>
      <c r="V289" s="482">
        <v>0.0</v>
      </c>
      <c r="W289" s="482">
        <v>0.0</v>
      </c>
      <c r="X289" s="482">
        <v>0.0</v>
      </c>
      <c r="Y289" s="482">
        <v>0.0</v>
      </c>
      <c r="Z289" s="482">
        <v>0.0</v>
      </c>
      <c r="AA289" s="482">
        <v>0.0</v>
      </c>
    </row>
    <row r="290" ht="12.75" customHeight="1">
      <c r="A290" s="24"/>
      <c r="B290" s="24"/>
      <c r="C290" s="24"/>
      <c r="D290" s="24"/>
      <c r="E290" s="24"/>
      <c r="F290" s="24"/>
      <c r="G290" s="474">
        <v>44287.0</v>
      </c>
      <c r="H290" s="486"/>
      <c r="I290" s="486"/>
      <c r="J290" s="486"/>
      <c r="K290" s="486"/>
      <c r="L290" s="486"/>
      <c r="M290" s="486"/>
      <c r="N290" s="486"/>
      <c r="O290" s="486"/>
      <c r="P290" s="486"/>
      <c r="Q290" s="24"/>
      <c r="R290" s="476">
        <v>44287.0</v>
      </c>
      <c r="S290" s="482">
        <v>0.0</v>
      </c>
      <c r="T290" s="482">
        <v>0.0</v>
      </c>
      <c r="U290" s="482">
        <v>0.0</v>
      </c>
      <c r="V290" s="482">
        <v>0.0</v>
      </c>
      <c r="W290" s="482">
        <v>0.0</v>
      </c>
      <c r="X290" s="482">
        <v>0.0</v>
      </c>
      <c r="Y290" s="482">
        <v>0.0</v>
      </c>
      <c r="Z290" s="482">
        <v>0.0</v>
      </c>
      <c r="AA290" s="482">
        <v>0.0</v>
      </c>
    </row>
    <row r="291" ht="12.75" customHeight="1">
      <c r="A291" s="24"/>
      <c r="B291" s="24"/>
      <c r="C291" s="24"/>
      <c r="D291" s="24"/>
      <c r="E291" s="24"/>
      <c r="F291" s="24"/>
      <c r="G291" s="474">
        <v>44317.0</v>
      </c>
      <c r="H291" s="486"/>
      <c r="I291" s="486"/>
      <c r="J291" s="486"/>
      <c r="K291" s="486"/>
      <c r="L291" s="486"/>
      <c r="M291" s="486"/>
      <c r="N291" s="486"/>
      <c r="O291" s="486"/>
      <c r="P291" s="486"/>
      <c r="Q291" s="24"/>
      <c r="R291" s="476">
        <v>44317.0</v>
      </c>
      <c r="S291" s="482">
        <v>0.0</v>
      </c>
      <c r="T291" s="482">
        <v>0.0</v>
      </c>
      <c r="U291" s="482">
        <v>0.0</v>
      </c>
      <c r="V291" s="482">
        <v>0.0</v>
      </c>
      <c r="W291" s="482">
        <v>0.0</v>
      </c>
      <c r="X291" s="482">
        <v>0.0</v>
      </c>
      <c r="Y291" s="482">
        <v>0.0</v>
      </c>
      <c r="Z291" s="482">
        <v>0.0</v>
      </c>
      <c r="AA291" s="482">
        <v>0.0</v>
      </c>
    </row>
    <row r="292" ht="12.75" customHeight="1">
      <c r="A292" s="24"/>
      <c r="B292" s="24"/>
      <c r="C292" s="24"/>
      <c r="D292" s="24"/>
      <c r="E292" s="24"/>
      <c r="F292" s="24"/>
      <c r="G292" s="474">
        <v>44348.0</v>
      </c>
      <c r="H292" s="486"/>
      <c r="I292" s="486"/>
      <c r="J292" s="486"/>
      <c r="K292" s="486"/>
      <c r="L292" s="486"/>
      <c r="M292" s="486"/>
      <c r="N292" s="486"/>
      <c r="O292" s="486"/>
      <c r="P292" s="486"/>
      <c r="Q292" s="24"/>
      <c r="R292" s="476">
        <v>44348.0</v>
      </c>
      <c r="S292" s="482">
        <v>0.0</v>
      </c>
      <c r="T292" s="482">
        <v>0.0</v>
      </c>
      <c r="U292" s="482">
        <v>0.0</v>
      </c>
      <c r="V292" s="482">
        <v>0.0</v>
      </c>
      <c r="W292" s="482">
        <v>0.0</v>
      </c>
      <c r="X292" s="482">
        <v>0.0</v>
      </c>
      <c r="Y292" s="482">
        <v>0.0</v>
      </c>
      <c r="Z292" s="482">
        <v>0.0</v>
      </c>
      <c r="AA292" s="482">
        <v>0.0</v>
      </c>
    </row>
    <row r="293" ht="12.75" customHeight="1">
      <c r="A293" s="24"/>
      <c r="B293" s="24"/>
      <c r="C293" s="24"/>
      <c r="D293" s="24"/>
      <c r="E293" s="24"/>
      <c r="F293" s="24"/>
      <c r="G293" s="474">
        <v>44378.0</v>
      </c>
      <c r="H293" s="486"/>
      <c r="I293" s="486"/>
      <c r="J293" s="486"/>
      <c r="K293" s="486"/>
      <c r="L293" s="486"/>
      <c r="M293" s="486"/>
      <c r="N293" s="486"/>
      <c r="O293" s="486"/>
      <c r="P293" s="486"/>
      <c r="Q293" s="24"/>
      <c r="R293" s="476">
        <v>44378.0</v>
      </c>
      <c r="S293" s="482">
        <v>0.0</v>
      </c>
      <c r="T293" s="482">
        <v>0.0</v>
      </c>
      <c r="U293" s="482">
        <v>0.0</v>
      </c>
      <c r="V293" s="482">
        <v>0.0</v>
      </c>
      <c r="W293" s="482">
        <v>0.0</v>
      </c>
      <c r="X293" s="482">
        <v>0.0</v>
      </c>
      <c r="Y293" s="482">
        <v>0.0</v>
      </c>
      <c r="Z293" s="482">
        <v>0.0</v>
      </c>
      <c r="AA293" s="482">
        <v>0.0</v>
      </c>
    </row>
    <row r="294" ht="12.75" customHeight="1">
      <c r="A294" s="24"/>
      <c r="B294" s="24"/>
      <c r="C294" s="24"/>
      <c r="D294" s="24"/>
      <c r="E294" s="24"/>
      <c r="F294" s="24"/>
      <c r="G294" s="474">
        <v>44409.0</v>
      </c>
      <c r="H294" s="486"/>
      <c r="I294" s="486"/>
      <c r="J294" s="486"/>
      <c r="K294" s="486"/>
      <c r="L294" s="486"/>
      <c r="M294" s="486"/>
      <c r="N294" s="486"/>
      <c r="O294" s="486"/>
      <c r="P294" s="486"/>
      <c r="Q294" s="24"/>
      <c r="R294" s="476">
        <v>44409.0</v>
      </c>
      <c r="S294" s="482">
        <v>0.0</v>
      </c>
      <c r="T294" s="482">
        <v>0.0</v>
      </c>
      <c r="U294" s="482">
        <v>0.0</v>
      </c>
      <c r="V294" s="482">
        <v>0.0</v>
      </c>
      <c r="W294" s="482">
        <v>0.0</v>
      </c>
      <c r="X294" s="482">
        <v>0.0</v>
      </c>
      <c r="Y294" s="482">
        <v>0.0</v>
      </c>
      <c r="Z294" s="482">
        <v>0.0</v>
      </c>
      <c r="AA294" s="482">
        <v>0.0</v>
      </c>
    </row>
    <row r="295" ht="12.75" customHeight="1">
      <c r="A295" s="24"/>
      <c r="B295" s="24"/>
      <c r="C295" s="24"/>
      <c r="D295" s="24"/>
      <c r="E295" s="24"/>
      <c r="F295" s="24"/>
      <c r="G295" s="474">
        <v>44440.0</v>
      </c>
      <c r="H295" s="486"/>
      <c r="I295" s="486"/>
      <c r="J295" s="486"/>
      <c r="K295" s="486"/>
      <c r="L295" s="486"/>
      <c r="M295" s="486"/>
      <c r="N295" s="486"/>
      <c r="O295" s="486"/>
      <c r="P295" s="486"/>
      <c r="Q295" s="24"/>
      <c r="R295" s="476">
        <v>44440.0</v>
      </c>
      <c r="S295" s="482">
        <v>0.0</v>
      </c>
      <c r="T295" s="482">
        <v>0.0</v>
      </c>
      <c r="U295" s="482">
        <v>0.0</v>
      </c>
      <c r="V295" s="482">
        <v>0.0</v>
      </c>
      <c r="W295" s="482">
        <v>0.0</v>
      </c>
      <c r="X295" s="482">
        <v>0.0</v>
      </c>
      <c r="Y295" s="482">
        <v>0.0</v>
      </c>
      <c r="Z295" s="482">
        <v>0.0</v>
      </c>
      <c r="AA295" s="482">
        <v>0.0</v>
      </c>
    </row>
    <row r="296" ht="12.75" customHeight="1">
      <c r="A296" s="24"/>
      <c r="B296" s="24"/>
      <c r="C296" s="24"/>
      <c r="D296" s="24"/>
      <c r="E296" s="24"/>
      <c r="F296" s="24"/>
      <c r="G296" s="474">
        <v>44470.0</v>
      </c>
      <c r="H296" s="486"/>
      <c r="I296" s="486"/>
      <c r="J296" s="486"/>
      <c r="K296" s="486"/>
      <c r="L296" s="486"/>
      <c r="M296" s="486"/>
      <c r="N296" s="486"/>
      <c r="O296" s="486"/>
      <c r="P296" s="486"/>
      <c r="Q296" s="24"/>
      <c r="R296" s="476">
        <v>44470.0</v>
      </c>
      <c r="S296" s="482">
        <v>0.0</v>
      </c>
      <c r="T296" s="482">
        <v>0.0</v>
      </c>
      <c r="U296" s="482">
        <v>0.0</v>
      </c>
      <c r="V296" s="482">
        <v>0.0</v>
      </c>
      <c r="W296" s="482">
        <v>0.0</v>
      </c>
      <c r="X296" s="482">
        <v>0.0</v>
      </c>
      <c r="Y296" s="482">
        <v>0.0</v>
      </c>
      <c r="Z296" s="482">
        <v>0.0</v>
      </c>
      <c r="AA296" s="482">
        <v>0.0</v>
      </c>
    </row>
    <row r="297" ht="12.75" customHeight="1">
      <c r="A297" s="24"/>
      <c r="B297" s="24"/>
      <c r="C297" s="24"/>
      <c r="D297" s="24"/>
      <c r="E297" s="24"/>
      <c r="F297" s="24"/>
      <c r="G297" s="474">
        <v>44501.0</v>
      </c>
      <c r="H297" s="486"/>
      <c r="I297" s="486"/>
      <c r="J297" s="486"/>
      <c r="K297" s="486"/>
      <c r="L297" s="486"/>
      <c r="M297" s="486"/>
      <c r="N297" s="486"/>
      <c r="O297" s="486"/>
      <c r="P297" s="486"/>
      <c r="Q297" s="24"/>
      <c r="R297" s="476">
        <v>44501.0</v>
      </c>
      <c r="S297" s="482">
        <v>0.0</v>
      </c>
      <c r="T297" s="482">
        <v>0.0</v>
      </c>
      <c r="U297" s="482">
        <v>0.0</v>
      </c>
      <c r="V297" s="482">
        <v>0.0</v>
      </c>
      <c r="W297" s="482">
        <v>0.0</v>
      </c>
      <c r="X297" s="482">
        <v>0.0</v>
      </c>
      <c r="Y297" s="482">
        <v>0.0</v>
      </c>
      <c r="Z297" s="482">
        <v>0.0</v>
      </c>
      <c r="AA297" s="482">
        <v>0.0</v>
      </c>
    </row>
    <row r="298" ht="12.75" customHeight="1">
      <c r="A298" s="24"/>
      <c r="B298" s="24"/>
      <c r="C298" s="24"/>
      <c r="D298" s="24"/>
      <c r="E298" s="24"/>
      <c r="F298" s="24"/>
      <c r="G298" s="474">
        <v>44531.0</v>
      </c>
      <c r="H298" s="486"/>
      <c r="I298" s="486"/>
      <c r="J298" s="486"/>
      <c r="K298" s="486"/>
      <c r="L298" s="486"/>
      <c r="M298" s="486"/>
      <c r="N298" s="486"/>
      <c r="O298" s="486"/>
      <c r="P298" s="486"/>
      <c r="Q298" s="24"/>
      <c r="R298" s="476">
        <v>44531.0</v>
      </c>
      <c r="S298" s="482">
        <v>0.0</v>
      </c>
      <c r="T298" s="482">
        <v>0.0</v>
      </c>
      <c r="U298" s="482">
        <v>0.0</v>
      </c>
      <c r="V298" s="482">
        <v>0.0</v>
      </c>
      <c r="W298" s="482">
        <v>0.0</v>
      </c>
      <c r="X298" s="482">
        <v>0.0</v>
      </c>
      <c r="Y298" s="482">
        <v>0.0</v>
      </c>
      <c r="Z298" s="482">
        <v>0.0</v>
      </c>
      <c r="AA298" s="482">
        <v>0.0</v>
      </c>
    </row>
    <row r="299" ht="12.75" customHeight="1">
      <c r="A299" s="24"/>
      <c r="B299" s="24"/>
      <c r="C299" s="24"/>
      <c r="D299" s="24"/>
      <c r="E299" s="24"/>
      <c r="F299" s="24"/>
      <c r="G299" s="470"/>
      <c r="H299" s="24"/>
      <c r="I299" s="24"/>
      <c r="J299" s="24"/>
      <c r="K299" s="24"/>
      <c r="L299" s="24"/>
      <c r="M299" s="24"/>
      <c r="N299" s="24"/>
      <c r="O299" s="24"/>
      <c r="P299" s="24"/>
      <c r="Q299" s="24"/>
      <c r="R299" s="471"/>
      <c r="S299" s="481"/>
      <c r="T299" s="481"/>
      <c r="U299" s="481"/>
      <c r="V299" s="481"/>
      <c r="W299" s="481"/>
      <c r="X299" s="481"/>
      <c r="Y299" s="481"/>
      <c r="Z299" s="481"/>
      <c r="AA299" s="481"/>
    </row>
    <row r="300" ht="12.75" customHeight="1">
      <c r="A300" s="24"/>
      <c r="B300" s="24"/>
      <c r="C300" s="24"/>
      <c r="D300" s="24"/>
      <c r="E300" s="24"/>
      <c r="F300" s="24"/>
      <c r="G300" s="474">
        <v>44562.0</v>
      </c>
      <c r="H300" s="486"/>
      <c r="I300" s="486"/>
      <c r="J300" s="486"/>
      <c r="K300" s="486"/>
      <c r="L300" s="486"/>
      <c r="M300" s="486"/>
      <c r="N300" s="486"/>
      <c r="O300" s="486"/>
      <c r="P300" s="486"/>
      <c r="Q300" s="24"/>
      <c r="R300" s="476">
        <v>44562.0</v>
      </c>
      <c r="S300" s="482">
        <v>0.0</v>
      </c>
      <c r="T300" s="482">
        <v>0.0</v>
      </c>
      <c r="U300" s="482">
        <v>0.0</v>
      </c>
      <c r="V300" s="482">
        <v>0.0</v>
      </c>
      <c r="W300" s="482">
        <v>0.0</v>
      </c>
      <c r="X300" s="482">
        <v>0.0</v>
      </c>
      <c r="Y300" s="482">
        <v>0.0</v>
      </c>
      <c r="Z300" s="482">
        <v>0.0</v>
      </c>
      <c r="AA300" s="482">
        <v>0.0</v>
      </c>
    </row>
    <row r="301" ht="12.75" customHeight="1">
      <c r="A301" s="24"/>
      <c r="B301" s="24"/>
      <c r="C301" s="24"/>
      <c r="D301" s="24"/>
      <c r="E301" s="24"/>
      <c r="F301" s="24"/>
      <c r="G301" s="474">
        <v>44593.0</v>
      </c>
      <c r="H301" s="486"/>
      <c r="I301" s="486"/>
      <c r="J301" s="486"/>
      <c r="K301" s="486"/>
      <c r="L301" s="486"/>
      <c r="M301" s="486"/>
      <c r="N301" s="486"/>
      <c r="O301" s="486"/>
      <c r="P301" s="486"/>
      <c r="Q301" s="24"/>
      <c r="R301" s="476">
        <v>44593.0</v>
      </c>
      <c r="S301" s="482">
        <v>0.0</v>
      </c>
      <c r="T301" s="482">
        <v>0.0</v>
      </c>
      <c r="U301" s="482">
        <v>0.0</v>
      </c>
      <c r="V301" s="482">
        <v>0.0</v>
      </c>
      <c r="W301" s="482">
        <v>0.0</v>
      </c>
      <c r="X301" s="482">
        <v>0.0</v>
      </c>
      <c r="Y301" s="482">
        <v>0.0</v>
      </c>
      <c r="Z301" s="482">
        <v>0.0</v>
      </c>
      <c r="AA301" s="482">
        <v>0.0</v>
      </c>
    </row>
    <row r="302" ht="12.75" customHeight="1">
      <c r="A302" s="24"/>
      <c r="B302" s="24"/>
      <c r="C302" s="24"/>
      <c r="D302" s="24"/>
      <c r="E302" s="24"/>
      <c r="F302" s="24"/>
      <c r="G302" s="474">
        <v>44621.0</v>
      </c>
      <c r="H302" s="486"/>
      <c r="I302" s="486"/>
      <c r="J302" s="486"/>
      <c r="K302" s="486"/>
      <c r="L302" s="486"/>
      <c r="M302" s="486"/>
      <c r="N302" s="486"/>
      <c r="O302" s="486"/>
      <c r="P302" s="486"/>
      <c r="Q302" s="24"/>
      <c r="R302" s="476">
        <v>44621.0</v>
      </c>
      <c r="S302" s="482">
        <v>0.0</v>
      </c>
      <c r="T302" s="482">
        <v>0.0</v>
      </c>
      <c r="U302" s="482">
        <v>0.0</v>
      </c>
      <c r="V302" s="482">
        <v>0.0</v>
      </c>
      <c r="W302" s="482">
        <v>0.0</v>
      </c>
      <c r="X302" s="482">
        <v>0.0</v>
      </c>
      <c r="Y302" s="482">
        <v>0.0</v>
      </c>
      <c r="Z302" s="482">
        <v>0.0</v>
      </c>
      <c r="AA302" s="482">
        <v>0.0</v>
      </c>
    </row>
    <row r="303" ht="12.75" customHeight="1">
      <c r="A303" s="24"/>
      <c r="B303" s="24"/>
      <c r="C303" s="24"/>
      <c r="D303" s="24"/>
      <c r="E303" s="24"/>
      <c r="F303" s="24"/>
      <c r="G303" s="474">
        <v>44652.0</v>
      </c>
      <c r="H303" s="486"/>
      <c r="I303" s="486"/>
      <c r="J303" s="486"/>
      <c r="K303" s="486"/>
      <c r="L303" s="486"/>
      <c r="M303" s="486"/>
      <c r="N303" s="486"/>
      <c r="O303" s="486"/>
      <c r="P303" s="486"/>
      <c r="Q303" s="24"/>
      <c r="R303" s="476">
        <v>44652.0</v>
      </c>
      <c r="S303" s="482">
        <v>0.0</v>
      </c>
      <c r="T303" s="482">
        <v>0.0</v>
      </c>
      <c r="U303" s="482">
        <v>0.0</v>
      </c>
      <c r="V303" s="482">
        <v>0.0</v>
      </c>
      <c r="W303" s="482">
        <v>0.0</v>
      </c>
      <c r="X303" s="482">
        <v>0.0</v>
      </c>
      <c r="Y303" s="482">
        <v>0.0</v>
      </c>
      <c r="Z303" s="482">
        <v>0.0</v>
      </c>
      <c r="AA303" s="482">
        <v>0.0</v>
      </c>
    </row>
    <row r="304" ht="12.75" customHeight="1">
      <c r="A304" s="24"/>
      <c r="B304" s="24"/>
      <c r="C304" s="24"/>
      <c r="D304" s="24"/>
      <c r="E304" s="24"/>
      <c r="F304" s="24"/>
      <c r="G304" s="474">
        <v>44682.0</v>
      </c>
      <c r="H304" s="486"/>
      <c r="I304" s="486"/>
      <c r="J304" s="486"/>
      <c r="K304" s="486"/>
      <c r="L304" s="486"/>
      <c r="M304" s="486"/>
      <c r="N304" s="486"/>
      <c r="O304" s="486"/>
      <c r="P304" s="486"/>
      <c r="Q304" s="24"/>
      <c r="R304" s="476">
        <v>44682.0</v>
      </c>
      <c r="S304" s="482">
        <v>0.0</v>
      </c>
      <c r="T304" s="482">
        <v>0.0</v>
      </c>
      <c r="U304" s="482">
        <v>0.0</v>
      </c>
      <c r="V304" s="482">
        <v>0.0</v>
      </c>
      <c r="W304" s="482">
        <v>0.0</v>
      </c>
      <c r="X304" s="482">
        <v>0.0</v>
      </c>
      <c r="Y304" s="482">
        <v>0.0</v>
      </c>
      <c r="Z304" s="482">
        <v>0.0</v>
      </c>
      <c r="AA304" s="482">
        <v>0.0</v>
      </c>
    </row>
    <row r="305" ht="12.75" customHeight="1">
      <c r="A305" s="24"/>
      <c r="B305" s="24"/>
      <c r="C305" s="24"/>
      <c r="D305" s="24"/>
      <c r="E305" s="24"/>
      <c r="F305" s="24"/>
      <c r="G305" s="474">
        <v>44713.0</v>
      </c>
      <c r="H305" s="486"/>
      <c r="I305" s="486"/>
      <c r="J305" s="486"/>
      <c r="K305" s="486"/>
      <c r="L305" s="486"/>
      <c r="M305" s="486"/>
      <c r="N305" s="486"/>
      <c r="O305" s="486"/>
      <c r="P305" s="486"/>
      <c r="Q305" s="24"/>
      <c r="R305" s="476">
        <v>44713.0</v>
      </c>
      <c r="S305" s="482">
        <v>0.0</v>
      </c>
      <c r="T305" s="482">
        <v>0.0</v>
      </c>
      <c r="U305" s="482">
        <v>0.0</v>
      </c>
      <c r="V305" s="482">
        <v>0.0</v>
      </c>
      <c r="W305" s="482">
        <v>0.0</v>
      </c>
      <c r="X305" s="482">
        <v>0.0</v>
      </c>
      <c r="Y305" s="482">
        <v>0.0</v>
      </c>
      <c r="Z305" s="482">
        <v>0.0</v>
      </c>
      <c r="AA305" s="482">
        <v>0.0</v>
      </c>
    </row>
    <row r="306" ht="12.75" customHeight="1">
      <c r="A306" s="24"/>
      <c r="B306" s="24"/>
      <c r="C306" s="24"/>
      <c r="D306" s="24"/>
      <c r="E306" s="24"/>
      <c r="F306" s="24"/>
      <c r="G306" s="474">
        <v>44743.0</v>
      </c>
      <c r="H306" s="486"/>
      <c r="I306" s="486"/>
      <c r="J306" s="486"/>
      <c r="K306" s="486"/>
      <c r="L306" s="486"/>
      <c r="M306" s="486"/>
      <c r="N306" s="486"/>
      <c r="O306" s="486"/>
      <c r="P306" s="486"/>
      <c r="Q306" s="24"/>
      <c r="R306" s="476">
        <v>44743.0</v>
      </c>
      <c r="S306" s="482">
        <v>0.0</v>
      </c>
      <c r="T306" s="482">
        <v>0.0</v>
      </c>
      <c r="U306" s="482">
        <v>0.0</v>
      </c>
      <c r="V306" s="482">
        <v>0.0</v>
      </c>
      <c r="W306" s="482">
        <v>0.0</v>
      </c>
      <c r="X306" s="482">
        <v>0.0</v>
      </c>
      <c r="Y306" s="482">
        <v>0.0</v>
      </c>
      <c r="Z306" s="482">
        <v>0.0</v>
      </c>
      <c r="AA306" s="482">
        <v>0.0</v>
      </c>
    </row>
    <row r="307" ht="12.75" customHeight="1">
      <c r="A307" s="24"/>
      <c r="B307" s="24"/>
      <c r="C307" s="24"/>
      <c r="D307" s="24"/>
      <c r="E307" s="24"/>
      <c r="F307" s="24"/>
      <c r="G307" s="474">
        <v>44774.0</v>
      </c>
      <c r="H307" s="486"/>
      <c r="I307" s="486"/>
      <c r="J307" s="486"/>
      <c r="K307" s="486"/>
      <c r="L307" s="486"/>
      <c r="M307" s="486"/>
      <c r="N307" s="486"/>
      <c r="O307" s="486"/>
      <c r="P307" s="486"/>
      <c r="Q307" s="24"/>
      <c r="R307" s="476">
        <v>44774.0</v>
      </c>
      <c r="S307" s="482">
        <v>0.0</v>
      </c>
      <c r="T307" s="482">
        <v>0.0</v>
      </c>
      <c r="U307" s="482">
        <v>0.0</v>
      </c>
      <c r="V307" s="482">
        <v>0.0</v>
      </c>
      <c r="W307" s="482">
        <v>0.0</v>
      </c>
      <c r="X307" s="482">
        <v>0.0</v>
      </c>
      <c r="Y307" s="482">
        <v>0.0</v>
      </c>
      <c r="Z307" s="482">
        <v>0.0</v>
      </c>
      <c r="AA307" s="482">
        <v>0.0</v>
      </c>
    </row>
    <row r="308" ht="12.75" customHeight="1">
      <c r="A308" s="24"/>
      <c r="B308" s="24"/>
      <c r="C308" s="24"/>
      <c r="D308" s="24"/>
      <c r="E308" s="24"/>
      <c r="F308" s="24"/>
      <c r="G308" s="474">
        <v>44805.0</v>
      </c>
      <c r="H308" s="486"/>
      <c r="I308" s="486"/>
      <c r="J308" s="486"/>
      <c r="K308" s="486"/>
      <c r="L308" s="486"/>
      <c r="M308" s="486"/>
      <c r="N308" s="486"/>
      <c r="O308" s="486"/>
      <c r="P308" s="486"/>
      <c r="Q308" s="24"/>
      <c r="R308" s="476">
        <v>44805.0</v>
      </c>
      <c r="S308" s="482">
        <v>0.0</v>
      </c>
      <c r="T308" s="482">
        <v>0.0</v>
      </c>
      <c r="U308" s="482">
        <v>0.0</v>
      </c>
      <c r="V308" s="482">
        <v>0.0</v>
      </c>
      <c r="W308" s="482">
        <v>0.0</v>
      </c>
      <c r="X308" s="482">
        <v>0.0</v>
      </c>
      <c r="Y308" s="482">
        <v>0.0</v>
      </c>
      <c r="Z308" s="482">
        <v>0.0</v>
      </c>
      <c r="AA308" s="482">
        <v>0.0</v>
      </c>
    </row>
    <row r="309" ht="12.75" customHeight="1">
      <c r="A309" s="24"/>
      <c r="B309" s="24"/>
      <c r="C309" s="24"/>
      <c r="D309" s="24"/>
      <c r="E309" s="24"/>
      <c r="F309" s="24"/>
      <c r="G309" s="474">
        <v>44835.0</v>
      </c>
      <c r="H309" s="486"/>
      <c r="I309" s="486"/>
      <c r="J309" s="486"/>
      <c r="K309" s="486"/>
      <c r="L309" s="486"/>
      <c r="M309" s="486"/>
      <c r="N309" s="486"/>
      <c r="O309" s="486"/>
      <c r="P309" s="486"/>
      <c r="Q309" s="24"/>
      <c r="R309" s="476">
        <v>44835.0</v>
      </c>
      <c r="S309" s="482">
        <v>0.0</v>
      </c>
      <c r="T309" s="482">
        <v>0.0</v>
      </c>
      <c r="U309" s="482">
        <v>0.0</v>
      </c>
      <c r="V309" s="482">
        <v>0.0</v>
      </c>
      <c r="W309" s="482">
        <v>0.0</v>
      </c>
      <c r="X309" s="482">
        <v>0.0</v>
      </c>
      <c r="Y309" s="482">
        <v>0.0</v>
      </c>
      <c r="Z309" s="482">
        <v>0.0</v>
      </c>
      <c r="AA309" s="482">
        <v>0.0</v>
      </c>
    </row>
    <row r="310" ht="12.75" customHeight="1">
      <c r="A310" s="24"/>
      <c r="B310" s="24"/>
      <c r="C310" s="24"/>
      <c r="D310" s="24"/>
      <c r="E310" s="24"/>
      <c r="F310" s="24"/>
      <c r="G310" s="474">
        <v>44866.0</v>
      </c>
      <c r="H310" s="486"/>
      <c r="I310" s="486"/>
      <c r="J310" s="486"/>
      <c r="K310" s="486"/>
      <c r="L310" s="486"/>
      <c r="M310" s="486"/>
      <c r="N310" s="486"/>
      <c r="O310" s="486"/>
      <c r="P310" s="486"/>
      <c r="Q310" s="24"/>
      <c r="R310" s="476">
        <v>44866.0</v>
      </c>
      <c r="S310" s="482">
        <v>0.0</v>
      </c>
      <c r="T310" s="482">
        <v>0.0</v>
      </c>
      <c r="U310" s="482">
        <v>0.0</v>
      </c>
      <c r="V310" s="482">
        <v>0.0</v>
      </c>
      <c r="W310" s="482">
        <v>0.0</v>
      </c>
      <c r="X310" s="482">
        <v>0.0</v>
      </c>
      <c r="Y310" s="482">
        <v>0.0</v>
      </c>
      <c r="Z310" s="482">
        <v>0.0</v>
      </c>
      <c r="AA310" s="482">
        <v>0.0</v>
      </c>
    </row>
    <row r="311" ht="12.75" customHeight="1">
      <c r="A311" s="24"/>
      <c r="B311" s="24"/>
      <c r="C311" s="24"/>
      <c r="D311" s="24"/>
      <c r="E311" s="24"/>
      <c r="F311" s="24"/>
      <c r="G311" s="474">
        <v>44896.0</v>
      </c>
      <c r="H311" s="486"/>
      <c r="I311" s="486"/>
      <c r="J311" s="486"/>
      <c r="K311" s="486"/>
      <c r="L311" s="486"/>
      <c r="M311" s="486"/>
      <c r="N311" s="486"/>
      <c r="O311" s="486"/>
      <c r="P311" s="486"/>
      <c r="Q311" s="24"/>
      <c r="R311" s="476">
        <v>44896.0</v>
      </c>
      <c r="S311" s="482">
        <v>0.0</v>
      </c>
      <c r="T311" s="482">
        <v>0.0</v>
      </c>
      <c r="U311" s="482">
        <v>0.0</v>
      </c>
      <c r="V311" s="482">
        <v>0.0</v>
      </c>
      <c r="W311" s="482">
        <v>0.0</v>
      </c>
      <c r="X311" s="482">
        <v>0.0</v>
      </c>
      <c r="Y311" s="482">
        <v>0.0</v>
      </c>
      <c r="Z311" s="482">
        <v>0.0</v>
      </c>
      <c r="AA311" s="482">
        <v>0.0</v>
      </c>
    </row>
    <row r="312" ht="12.75" customHeight="1">
      <c r="A312" s="24"/>
      <c r="B312" s="24"/>
      <c r="C312" s="24"/>
      <c r="D312" s="24"/>
      <c r="E312" s="24"/>
      <c r="F312" s="24"/>
      <c r="G312" s="470"/>
      <c r="H312" s="24"/>
      <c r="I312" s="24"/>
      <c r="J312" s="24"/>
      <c r="K312" s="24"/>
      <c r="L312" s="24"/>
      <c r="M312" s="24"/>
      <c r="N312" s="24"/>
      <c r="O312" s="24"/>
      <c r="P312" s="24"/>
      <c r="Q312" s="24"/>
      <c r="R312" s="471"/>
      <c r="S312" s="481"/>
      <c r="T312" s="481"/>
      <c r="U312" s="481"/>
      <c r="V312" s="481"/>
      <c r="W312" s="481"/>
      <c r="X312" s="481"/>
      <c r="Y312" s="481"/>
      <c r="Z312" s="481"/>
      <c r="AA312" s="481"/>
    </row>
    <row r="313" ht="12.75" customHeight="1">
      <c r="A313" s="24"/>
      <c r="B313" s="24"/>
      <c r="C313" s="24"/>
      <c r="D313" s="24"/>
      <c r="E313" s="24"/>
      <c r="F313" s="24"/>
      <c r="G313" s="474">
        <v>44927.0</v>
      </c>
      <c r="H313" s="486"/>
      <c r="I313" s="486"/>
      <c r="J313" s="486"/>
      <c r="K313" s="486"/>
      <c r="L313" s="486"/>
      <c r="M313" s="486"/>
      <c r="N313" s="486"/>
      <c r="O313" s="486"/>
      <c r="P313" s="486"/>
      <c r="Q313" s="24"/>
      <c r="R313" s="476">
        <v>44927.0</v>
      </c>
      <c r="S313" s="482">
        <v>0.0</v>
      </c>
      <c r="T313" s="482">
        <v>0.0</v>
      </c>
      <c r="U313" s="482">
        <v>0.0</v>
      </c>
      <c r="V313" s="482">
        <v>0.0</v>
      </c>
      <c r="W313" s="482">
        <v>0.0</v>
      </c>
      <c r="X313" s="482">
        <v>0.0</v>
      </c>
      <c r="Y313" s="482">
        <v>0.0</v>
      </c>
      <c r="Z313" s="482">
        <v>0.0</v>
      </c>
      <c r="AA313" s="482">
        <v>0.0</v>
      </c>
    </row>
    <row r="314" ht="12.75" customHeight="1">
      <c r="A314" s="24"/>
      <c r="B314" s="24"/>
      <c r="C314" s="24"/>
      <c r="D314" s="24"/>
      <c r="E314" s="24"/>
      <c r="F314" s="24"/>
      <c r="G314" s="474">
        <v>44958.0</v>
      </c>
      <c r="H314" s="486"/>
      <c r="I314" s="486"/>
      <c r="J314" s="486"/>
      <c r="K314" s="486"/>
      <c r="L314" s="486"/>
      <c r="M314" s="486"/>
      <c r="N314" s="486"/>
      <c r="O314" s="486"/>
      <c r="P314" s="486"/>
      <c r="Q314" s="24"/>
      <c r="R314" s="476">
        <v>44958.0</v>
      </c>
      <c r="S314" s="482">
        <v>0.0</v>
      </c>
      <c r="T314" s="482">
        <v>0.0</v>
      </c>
      <c r="U314" s="482">
        <v>0.0</v>
      </c>
      <c r="V314" s="482">
        <v>0.0</v>
      </c>
      <c r="W314" s="482">
        <v>0.0</v>
      </c>
      <c r="X314" s="482">
        <v>0.0</v>
      </c>
      <c r="Y314" s="482">
        <v>0.0</v>
      </c>
      <c r="Z314" s="482">
        <v>0.0</v>
      </c>
      <c r="AA314" s="482">
        <v>0.0</v>
      </c>
    </row>
    <row r="315" ht="12.75" customHeight="1">
      <c r="A315" s="24"/>
      <c r="B315" s="24"/>
      <c r="C315" s="24"/>
      <c r="D315" s="24"/>
      <c r="E315" s="24"/>
      <c r="F315" s="24"/>
      <c r="G315" s="474">
        <v>44986.0</v>
      </c>
      <c r="H315" s="486"/>
      <c r="I315" s="486"/>
      <c r="J315" s="486"/>
      <c r="K315" s="486"/>
      <c r="L315" s="486"/>
      <c r="M315" s="486"/>
      <c r="N315" s="486"/>
      <c r="O315" s="486"/>
      <c r="P315" s="486"/>
      <c r="Q315" s="24"/>
      <c r="R315" s="476">
        <v>44986.0</v>
      </c>
      <c r="S315" s="482">
        <v>0.0</v>
      </c>
      <c r="T315" s="482">
        <v>0.0</v>
      </c>
      <c r="U315" s="482">
        <v>0.0</v>
      </c>
      <c r="V315" s="482">
        <v>0.0</v>
      </c>
      <c r="W315" s="482">
        <v>0.0</v>
      </c>
      <c r="X315" s="482">
        <v>0.0</v>
      </c>
      <c r="Y315" s="482">
        <v>0.0</v>
      </c>
      <c r="Z315" s="482">
        <v>0.0</v>
      </c>
      <c r="AA315" s="482">
        <v>0.0</v>
      </c>
    </row>
    <row r="316" ht="12.75" customHeight="1">
      <c r="A316" s="24"/>
      <c r="B316" s="24"/>
      <c r="C316" s="24"/>
      <c r="D316" s="24"/>
      <c r="E316" s="24"/>
      <c r="F316" s="24"/>
      <c r="G316" s="474">
        <v>45017.0</v>
      </c>
      <c r="H316" s="486"/>
      <c r="I316" s="486"/>
      <c r="J316" s="486"/>
      <c r="K316" s="486"/>
      <c r="L316" s="486"/>
      <c r="M316" s="486"/>
      <c r="N316" s="486"/>
      <c r="O316" s="486"/>
      <c r="P316" s="486"/>
      <c r="Q316" s="24"/>
      <c r="R316" s="476">
        <v>45017.0</v>
      </c>
      <c r="S316" s="482">
        <v>0.0</v>
      </c>
      <c r="T316" s="482">
        <v>0.0</v>
      </c>
      <c r="U316" s="482">
        <v>0.0</v>
      </c>
      <c r="V316" s="482">
        <v>0.0</v>
      </c>
      <c r="W316" s="482">
        <v>0.0</v>
      </c>
      <c r="X316" s="482">
        <v>0.0</v>
      </c>
      <c r="Y316" s="482">
        <v>0.0</v>
      </c>
      <c r="Z316" s="482">
        <v>0.0</v>
      </c>
      <c r="AA316" s="482">
        <v>0.0</v>
      </c>
    </row>
    <row r="317" ht="12.75" customHeight="1">
      <c r="A317" s="24"/>
      <c r="B317" s="24"/>
      <c r="C317" s="24"/>
      <c r="D317" s="24"/>
      <c r="E317" s="24"/>
      <c r="F317" s="24"/>
      <c r="G317" s="474">
        <v>45047.0</v>
      </c>
      <c r="H317" s="486"/>
      <c r="I317" s="486"/>
      <c r="J317" s="486"/>
      <c r="K317" s="486"/>
      <c r="L317" s="486"/>
      <c r="M317" s="486"/>
      <c r="N317" s="486"/>
      <c r="O317" s="486"/>
      <c r="P317" s="486"/>
      <c r="Q317" s="24"/>
      <c r="R317" s="476">
        <v>45047.0</v>
      </c>
      <c r="S317" s="482">
        <v>0.0</v>
      </c>
      <c r="T317" s="482">
        <v>0.0</v>
      </c>
      <c r="U317" s="482">
        <v>0.0</v>
      </c>
      <c r="V317" s="482">
        <v>0.0</v>
      </c>
      <c r="W317" s="482">
        <v>0.0</v>
      </c>
      <c r="X317" s="482">
        <v>0.0</v>
      </c>
      <c r="Y317" s="482">
        <v>0.0</v>
      </c>
      <c r="Z317" s="482">
        <v>0.0</v>
      </c>
      <c r="AA317" s="482">
        <v>0.0</v>
      </c>
    </row>
    <row r="318" ht="12.75" customHeight="1">
      <c r="A318" s="24"/>
      <c r="B318" s="24"/>
      <c r="C318" s="24"/>
      <c r="D318" s="24"/>
      <c r="E318" s="24"/>
      <c r="F318" s="24"/>
      <c r="G318" s="474">
        <v>45078.0</v>
      </c>
      <c r="H318" s="486"/>
      <c r="I318" s="486"/>
      <c r="J318" s="486"/>
      <c r="K318" s="486"/>
      <c r="L318" s="486"/>
      <c r="M318" s="486"/>
      <c r="N318" s="486"/>
      <c r="O318" s="486"/>
      <c r="P318" s="486"/>
      <c r="Q318" s="24"/>
      <c r="R318" s="476">
        <v>45078.0</v>
      </c>
      <c r="S318" s="482">
        <v>0.0</v>
      </c>
      <c r="T318" s="482">
        <v>0.0</v>
      </c>
      <c r="U318" s="482">
        <v>0.0</v>
      </c>
      <c r="V318" s="482">
        <v>0.0</v>
      </c>
      <c r="W318" s="482">
        <v>0.0</v>
      </c>
      <c r="X318" s="482">
        <v>0.0</v>
      </c>
      <c r="Y318" s="482">
        <v>0.0</v>
      </c>
      <c r="Z318" s="482">
        <v>0.0</v>
      </c>
      <c r="AA318" s="482">
        <v>0.0</v>
      </c>
    </row>
    <row r="319" ht="12.75" customHeight="1">
      <c r="A319" s="24"/>
      <c r="B319" s="24"/>
      <c r="C319" s="24"/>
      <c r="D319" s="24"/>
      <c r="E319" s="24"/>
      <c r="F319" s="24"/>
      <c r="G319" s="474">
        <v>45108.0</v>
      </c>
      <c r="H319" s="486"/>
      <c r="I319" s="486"/>
      <c r="J319" s="486"/>
      <c r="K319" s="486"/>
      <c r="L319" s="486"/>
      <c r="M319" s="486"/>
      <c r="N319" s="486"/>
      <c r="O319" s="486"/>
      <c r="P319" s="486"/>
      <c r="Q319" s="24"/>
      <c r="R319" s="476">
        <v>45108.0</v>
      </c>
      <c r="S319" s="482">
        <v>0.0</v>
      </c>
      <c r="T319" s="482">
        <v>0.0</v>
      </c>
      <c r="U319" s="482">
        <v>0.0</v>
      </c>
      <c r="V319" s="482">
        <v>0.0</v>
      </c>
      <c r="W319" s="482">
        <v>0.0</v>
      </c>
      <c r="X319" s="482">
        <v>0.0</v>
      </c>
      <c r="Y319" s="482">
        <v>0.0</v>
      </c>
      <c r="Z319" s="482">
        <v>0.0</v>
      </c>
      <c r="AA319" s="482">
        <v>0.0</v>
      </c>
    </row>
    <row r="320" ht="12.75" customHeight="1">
      <c r="A320" s="24"/>
      <c r="B320" s="24"/>
      <c r="C320" s="24"/>
      <c r="D320" s="24"/>
      <c r="E320" s="24"/>
      <c r="F320" s="24"/>
      <c r="G320" s="474">
        <v>45139.0</v>
      </c>
      <c r="H320" s="486"/>
      <c r="I320" s="486"/>
      <c r="J320" s="486"/>
      <c r="K320" s="486"/>
      <c r="L320" s="486"/>
      <c r="M320" s="486"/>
      <c r="N320" s="486"/>
      <c r="O320" s="486"/>
      <c r="P320" s="486"/>
      <c r="Q320" s="24"/>
      <c r="R320" s="476">
        <v>45139.0</v>
      </c>
      <c r="S320" s="482">
        <v>0.0</v>
      </c>
      <c r="T320" s="482">
        <v>0.0</v>
      </c>
      <c r="U320" s="482">
        <v>0.0</v>
      </c>
      <c r="V320" s="482">
        <v>0.0</v>
      </c>
      <c r="W320" s="482">
        <v>0.0</v>
      </c>
      <c r="X320" s="482">
        <v>0.0</v>
      </c>
      <c r="Y320" s="482">
        <v>0.0</v>
      </c>
      <c r="Z320" s="482">
        <v>0.0</v>
      </c>
      <c r="AA320" s="482">
        <v>0.0</v>
      </c>
    </row>
    <row r="321" ht="12.75" customHeight="1">
      <c r="A321" s="24"/>
      <c r="B321" s="24"/>
      <c r="C321" s="24"/>
      <c r="D321" s="24"/>
      <c r="E321" s="24"/>
      <c r="F321" s="24"/>
      <c r="G321" s="474">
        <v>45170.0</v>
      </c>
      <c r="H321" s="486"/>
      <c r="I321" s="486"/>
      <c r="J321" s="486"/>
      <c r="K321" s="486"/>
      <c r="L321" s="486"/>
      <c r="M321" s="486"/>
      <c r="N321" s="486"/>
      <c r="O321" s="486"/>
      <c r="P321" s="486"/>
      <c r="Q321" s="24"/>
      <c r="R321" s="476">
        <v>45170.0</v>
      </c>
      <c r="S321" s="482">
        <v>0.0</v>
      </c>
      <c r="T321" s="482">
        <v>0.0</v>
      </c>
      <c r="U321" s="482">
        <v>0.0</v>
      </c>
      <c r="V321" s="482">
        <v>0.0</v>
      </c>
      <c r="W321" s="482">
        <v>0.0</v>
      </c>
      <c r="X321" s="482">
        <v>0.0</v>
      </c>
      <c r="Y321" s="482">
        <v>0.0</v>
      </c>
      <c r="Z321" s="482">
        <v>0.0</v>
      </c>
      <c r="AA321" s="482">
        <v>0.0</v>
      </c>
    </row>
    <row r="322" ht="12.75" customHeight="1">
      <c r="A322" s="24"/>
      <c r="B322" s="24"/>
      <c r="C322" s="24"/>
      <c r="D322" s="24"/>
      <c r="E322" s="24"/>
      <c r="F322" s="24"/>
      <c r="G322" s="474">
        <v>45200.0</v>
      </c>
      <c r="H322" s="486"/>
      <c r="I322" s="486"/>
      <c r="J322" s="486"/>
      <c r="K322" s="486"/>
      <c r="L322" s="486"/>
      <c r="M322" s="486"/>
      <c r="N322" s="486"/>
      <c r="O322" s="486"/>
      <c r="P322" s="486"/>
      <c r="Q322" s="24"/>
      <c r="R322" s="476">
        <v>45200.0</v>
      </c>
      <c r="S322" s="482">
        <v>0.0</v>
      </c>
      <c r="T322" s="482">
        <v>0.0</v>
      </c>
      <c r="U322" s="482">
        <v>0.0</v>
      </c>
      <c r="V322" s="482">
        <v>0.0</v>
      </c>
      <c r="W322" s="482">
        <v>0.0</v>
      </c>
      <c r="X322" s="482">
        <v>0.0</v>
      </c>
      <c r="Y322" s="482">
        <v>0.0</v>
      </c>
      <c r="Z322" s="482">
        <v>0.0</v>
      </c>
      <c r="AA322" s="482">
        <v>0.0</v>
      </c>
    </row>
    <row r="323" ht="12.75" customHeight="1">
      <c r="A323" s="24"/>
      <c r="B323" s="24"/>
      <c r="C323" s="24"/>
      <c r="D323" s="24"/>
      <c r="E323" s="24"/>
      <c r="F323" s="24"/>
      <c r="G323" s="474">
        <v>45231.0</v>
      </c>
      <c r="H323" s="486"/>
      <c r="I323" s="486"/>
      <c r="J323" s="486"/>
      <c r="K323" s="486"/>
      <c r="L323" s="486"/>
      <c r="M323" s="486"/>
      <c r="N323" s="486"/>
      <c r="O323" s="486"/>
      <c r="P323" s="486"/>
      <c r="Q323" s="24"/>
      <c r="R323" s="476">
        <v>45231.0</v>
      </c>
      <c r="S323" s="482">
        <v>0.0</v>
      </c>
      <c r="T323" s="482">
        <v>0.0</v>
      </c>
      <c r="U323" s="482">
        <v>0.0</v>
      </c>
      <c r="V323" s="482">
        <v>0.0</v>
      </c>
      <c r="W323" s="482">
        <v>0.0</v>
      </c>
      <c r="X323" s="482">
        <v>0.0</v>
      </c>
      <c r="Y323" s="482">
        <v>0.0</v>
      </c>
      <c r="Z323" s="482">
        <v>0.0</v>
      </c>
      <c r="AA323" s="482">
        <v>0.0</v>
      </c>
    </row>
    <row r="324" ht="12.75" customHeight="1">
      <c r="A324" s="24"/>
      <c r="B324" s="24"/>
      <c r="C324" s="24"/>
      <c r="D324" s="24"/>
      <c r="E324" s="24"/>
      <c r="F324" s="24"/>
      <c r="G324" s="474">
        <v>45261.0</v>
      </c>
      <c r="H324" s="486"/>
      <c r="I324" s="486"/>
      <c r="J324" s="486"/>
      <c r="K324" s="486"/>
      <c r="L324" s="486"/>
      <c r="M324" s="486"/>
      <c r="N324" s="486"/>
      <c r="O324" s="486"/>
      <c r="P324" s="486"/>
      <c r="Q324" s="24"/>
      <c r="R324" s="476">
        <v>45261.0</v>
      </c>
      <c r="S324" s="482">
        <v>0.0</v>
      </c>
      <c r="T324" s="482">
        <v>0.0</v>
      </c>
      <c r="U324" s="482">
        <v>0.0</v>
      </c>
      <c r="V324" s="482">
        <v>0.0</v>
      </c>
      <c r="W324" s="482">
        <v>0.0</v>
      </c>
      <c r="X324" s="482">
        <v>0.0</v>
      </c>
      <c r="Y324" s="482">
        <v>0.0</v>
      </c>
      <c r="Z324" s="482">
        <v>0.0</v>
      </c>
      <c r="AA324" s="482">
        <v>0.0</v>
      </c>
    </row>
    <row r="325" ht="12.75" customHeight="1">
      <c r="A325" s="24"/>
      <c r="B325" s="24"/>
      <c r="C325" s="24"/>
      <c r="D325" s="24"/>
      <c r="E325" s="24"/>
      <c r="F325" s="24"/>
      <c r="G325" s="470"/>
      <c r="H325" s="24"/>
      <c r="I325" s="24"/>
      <c r="J325" s="24"/>
      <c r="K325" s="24"/>
      <c r="L325" s="24"/>
      <c r="M325" s="24"/>
      <c r="N325" s="24"/>
      <c r="O325" s="24"/>
      <c r="P325" s="24"/>
      <c r="Q325" s="24"/>
      <c r="R325" s="471"/>
      <c r="S325" s="481"/>
      <c r="T325" s="481"/>
      <c r="U325" s="481"/>
      <c r="V325" s="481"/>
      <c r="W325" s="481"/>
      <c r="X325" s="481"/>
      <c r="Y325" s="481"/>
      <c r="Z325" s="481"/>
      <c r="AA325" s="481"/>
    </row>
    <row r="326" ht="12.75" customHeight="1">
      <c r="A326" s="24"/>
      <c r="B326" s="24"/>
      <c r="C326" s="24"/>
      <c r="D326" s="24"/>
      <c r="E326" s="24"/>
      <c r="F326" s="24"/>
      <c r="G326" s="474">
        <v>45292.0</v>
      </c>
      <c r="H326" s="486"/>
      <c r="I326" s="486"/>
      <c r="J326" s="486"/>
      <c r="K326" s="486"/>
      <c r="L326" s="486"/>
      <c r="M326" s="486"/>
      <c r="N326" s="486"/>
      <c r="O326" s="486"/>
      <c r="P326" s="486"/>
      <c r="Q326" s="24"/>
      <c r="R326" s="476">
        <v>45292.0</v>
      </c>
      <c r="S326" s="482">
        <v>0.0</v>
      </c>
      <c r="T326" s="482">
        <v>0.0</v>
      </c>
      <c r="U326" s="482">
        <v>0.0</v>
      </c>
      <c r="V326" s="482">
        <v>0.0</v>
      </c>
      <c r="W326" s="482">
        <v>0.0</v>
      </c>
      <c r="X326" s="482">
        <v>0.0</v>
      </c>
      <c r="Y326" s="482">
        <v>0.0</v>
      </c>
      <c r="Z326" s="482">
        <v>0.0</v>
      </c>
      <c r="AA326" s="482">
        <v>0.0</v>
      </c>
    </row>
    <row r="327" ht="12.75" customHeight="1">
      <c r="A327" s="24"/>
      <c r="B327" s="24"/>
      <c r="C327" s="24"/>
      <c r="D327" s="24"/>
      <c r="E327" s="24"/>
      <c r="F327" s="24"/>
      <c r="G327" s="474">
        <v>45323.0</v>
      </c>
      <c r="H327" s="486"/>
      <c r="I327" s="486"/>
      <c r="J327" s="486"/>
      <c r="K327" s="486"/>
      <c r="L327" s="486"/>
      <c r="M327" s="486"/>
      <c r="N327" s="486"/>
      <c r="O327" s="486"/>
      <c r="P327" s="486"/>
      <c r="Q327" s="24"/>
      <c r="R327" s="476">
        <v>45323.0</v>
      </c>
      <c r="S327" s="482">
        <v>0.0</v>
      </c>
      <c r="T327" s="482">
        <v>0.0</v>
      </c>
      <c r="U327" s="482">
        <v>0.0</v>
      </c>
      <c r="V327" s="482">
        <v>0.0</v>
      </c>
      <c r="W327" s="482">
        <v>0.0</v>
      </c>
      <c r="X327" s="482">
        <v>0.0</v>
      </c>
      <c r="Y327" s="482">
        <v>0.0</v>
      </c>
      <c r="Z327" s="482">
        <v>0.0</v>
      </c>
      <c r="AA327" s="482">
        <v>0.0</v>
      </c>
    </row>
    <row r="328" ht="12.75" customHeight="1">
      <c r="A328" s="24"/>
      <c r="B328" s="24"/>
      <c r="C328" s="24"/>
      <c r="D328" s="24"/>
      <c r="E328" s="24"/>
      <c r="F328" s="24"/>
      <c r="G328" s="474">
        <v>45352.0</v>
      </c>
      <c r="H328" s="486"/>
      <c r="I328" s="486"/>
      <c r="J328" s="486"/>
      <c r="K328" s="486"/>
      <c r="L328" s="486"/>
      <c r="M328" s="486"/>
      <c r="N328" s="486"/>
      <c r="O328" s="486"/>
      <c r="P328" s="486"/>
      <c r="Q328" s="24"/>
      <c r="R328" s="476">
        <v>45352.0</v>
      </c>
      <c r="S328" s="482">
        <v>0.0</v>
      </c>
      <c r="T328" s="482">
        <v>0.0</v>
      </c>
      <c r="U328" s="482">
        <v>0.0</v>
      </c>
      <c r="V328" s="482">
        <v>0.0</v>
      </c>
      <c r="W328" s="482">
        <v>0.0</v>
      </c>
      <c r="X328" s="482">
        <v>0.0</v>
      </c>
      <c r="Y328" s="482">
        <v>0.0</v>
      </c>
      <c r="Z328" s="482">
        <v>0.0</v>
      </c>
      <c r="AA328" s="482">
        <v>0.0</v>
      </c>
    </row>
    <row r="329" ht="12.75" customHeight="1">
      <c r="A329" s="24"/>
      <c r="B329" s="24"/>
      <c r="C329" s="24"/>
      <c r="D329" s="24"/>
      <c r="E329" s="24"/>
      <c r="F329" s="24"/>
      <c r="G329" s="474">
        <v>45383.0</v>
      </c>
      <c r="H329" s="486"/>
      <c r="I329" s="486"/>
      <c r="J329" s="486"/>
      <c r="K329" s="486"/>
      <c r="L329" s="486"/>
      <c r="M329" s="486"/>
      <c r="N329" s="486"/>
      <c r="O329" s="486"/>
      <c r="P329" s="486"/>
      <c r="Q329" s="24"/>
      <c r="R329" s="476">
        <v>45383.0</v>
      </c>
      <c r="S329" s="482">
        <v>0.0</v>
      </c>
      <c r="T329" s="482">
        <v>0.0</v>
      </c>
      <c r="U329" s="482">
        <v>0.0</v>
      </c>
      <c r="V329" s="482">
        <v>0.0</v>
      </c>
      <c r="W329" s="482">
        <v>0.0</v>
      </c>
      <c r="X329" s="482">
        <v>0.0</v>
      </c>
      <c r="Y329" s="482">
        <v>0.0</v>
      </c>
      <c r="Z329" s="482">
        <v>0.0</v>
      </c>
      <c r="AA329" s="482">
        <v>0.0</v>
      </c>
    </row>
    <row r="330" ht="12.75" customHeight="1">
      <c r="A330" s="24"/>
      <c r="B330" s="24"/>
      <c r="C330" s="24"/>
      <c r="D330" s="24"/>
      <c r="E330" s="24"/>
      <c r="F330" s="24"/>
      <c r="G330" s="474">
        <v>45413.0</v>
      </c>
      <c r="H330" s="486"/>
      <c r="I330" s="486"/>
      <c r="J330" s="486"/>
      <c r="K330" s="486"/>
      <c r="L330" s="486"/>
      <c r="M330" s="486"/>
      <c r="N330" s="486"/>
      <c r="O330" s="486"/>
      <c r="P330" s="486"/>
      <c r="Q330" s="24"/>
      <c r="R330" s="476">
        <v>45413.0</v>
      </c>
      <c r="S330" s="482">
        <v>0.0</v>
      </c>
      <c r="T330" s="482">
        <v>0.0</v>
      </c>
      <c r="U330" s="482">
        <v>0.0</v>
      </c>
      <c r="V330" s="482">
        <v>0.0</v>
      </c>
      <c r="W330" s="482">
        <v>0.0</v>
      </c>
      <c r="X330" s="482">
        <v>0.0</v>
      </c>
      <c r="Y330" s="482">
        <v>0.0</v>
      </c>
      <c r="Z330" s="482">
        <v>0.0</v>
      </c>
      <c r="AA330" s="482">
        <v>0.0</v>
      </c>
    </row>
    <row r="331" ht="12.75" customHeight="1">
      <c r="A331" s="24"/>
      <c r="B331" s="24"/>
      <c r="C331" s="24"/>
      <c r="D331" s="24"/>
      <c r="E331" s="24"/>
      <c r="F331" s="24"/>
      <c r="G331" s="474">
        <v>45444.0</v>
      </c>
      <c r="H331" s="486"/>
      <c r="I331" s="486"/>
      <c r="J331" s="486"/>
      <c r="K331" s="486"/>
      <c r="L331" s="486"/>
      <c r="M331" s="486"/>
      <c r="N331" s="486"/>
      <c r="O331" s="486"/>
      <c r="P331" s="486"/>
      <c r="Q331" s="24"/>
      <c r="R331" s="476">
        <v>45444.0</v>
      </c>
      <c r="S331" s="482">
        <v>0.0</v>
      </c>
      <c r="T331" s="482">
        <v>0.0</v>
      </c>
      <c r="U331" s="482">
        <v>0.0</v>
      </c>
      <c r="V331" s="482">
        <v>0.0</v>
      </c>
      <c r="W331" s="482">
        <v>0.0</v>
      </c>
      <c r="X331" s="482">
        <v>0.0</v>
      </c>
      <c r="Y331" s="482">
        <v>0.0</v>
      </c>
      <c r="Z331" s="482">
        <v>0.0</v>
      </c>
      <c r="AA331" s="482">
        <v>0.0</v>
      </c>
    </row>
    <row r="332" ht="12.75" customHeight="1">
      <c r="A332" s="24"/>
      <c r="B332" s="24"/>
      <c r="C332" s="24"/>
      <c r="D332" s="24"/>
      <c r="E332" s="24"/>
      <c r="F332" s="24"/>
      <c r="G332" s="474">
        <v>45474.0</v>
      </c>
      <c r="H332" s="486"/>
      <c r="I332" s="486"/>
      <c r="J332" s="486"/>
      <c r="K332" s="486"/>
      <c r="L332" s="486"/>
      <c r="M332" s="486"/>
      <c r="N332" s="486"/>
      <c r="O332" s="486"/>
      <c r="P332" s="486"/>
      <c r="Q332" s="24"/>
      <c r="R332" s="476">
        <v>45474.0</v>
      </c>
      <c r="S332" s="482">
        <v>0.0</v>
      </c>
      <c r="T332" s="482">
        <v>0.0</v>
      </c>
      <c r="U332" s="482">
        <v>0.0</v>
      </c>
      <c r="V332" s="482">
        <v>0.0</v>
      </c>
      <c r="W332" s="482">
        <v>0.0</v>
      </c>
      <c r="X332" s="482">
        <v>0.0</v>
      </c>
      <c r="Y332" s="482">
        <v>0.0</v>
      </c>
      <c r="Z332" s="482">
        <v>0.0</v>
      </c>
      <c r="AA332" s="482">
        <v>0.0</v>
      </c>
    </row>
    <row r="333" ht="12.75" customHeight="1">
      <c r="A333" s="24"/>
      <c r="B333" s="24"/>
      <c r="C333" s="24"/>
      <c r="D333" s="24"/>
      <c r="E333" s="24"/>
      <c r="F333" s="24"/>
      <c r="G333" s="474">
        <v>45505.0</v>
      </c>
      <c r="H333" s="486"/>
      <c r="I333" s="486"/>
      <c r="J333" s="486"/>
      <c r="K333" s="486"/>
      <c r="L333" s="486"/>
      <c r="M333" s="486"/>
      <c r="N333" s="486"/>
      <c r="O333" s="486"/>
      <c r="P333" s="486"/>
      <c r="Q333" s="24"/>
      <c r="R333" s="476">
        <v>45505.0</v>
      </c>
      <c r="S333" s="482">
        <v>0.0</v>
      </c>
      <c r="T333" s="482">
        <v>0.0</v>
      </c>
      <c r="U333" s="482">
        <v>0.0</v>
      </c>
      <c r="V333" s="482">
        <v>0.0</v>
      </c>
      <c r="W333" s="482">
        <v>0.0</v>
      </c>
      <c r="X333" s="482">
        <v>0.0</v>
      </c>
      <c r="Y333" s="482">
        <v>0.0</v>
      </c>
      <c r="Z333" s="482">
        <v>0.0</v>
      </c>
      <c r="AA333" s="482">
        <v>0.0</v>
      </c>
    </row>
    <row r="334" ht="12.75" customHeight="1">
      <c r="A334" s="24"/>
      <c r="B334" s="24"/>
      <c r="C334" s="24"/>
      <c r="D334" s="24"/>
      <c r="E334" s="24"/>
      <c r="F334" s="24"/>
      <c r="G334" s="474">
        <v>45536.0</v>
      </c>
      <c r="H334" s="486"/>
      <c r="I334" s="486"/>
      <c r="J334" s="486"/>
      <c r="K334" s="486"/>
      <c r="L334" s="486"/>
      <c r="M334" s="486"/>
      <c r="N334" s="486"/>
      <c r="O334" s="486"/>
      <c r="P334" s="486"/>
      <c r="Q334" s="24"/>
      <c r="R334" s="476">
        <v>45536.0</v>
      </c>
      <c r="S334" s="482">
        <v>0.0</v>
      </c>
      <c r="T334" s="482">
        <v>0.0</v>
      </c>
      <c r="U334" s="482">
        <v>0.0</v>
      </c>
      <c r="V334" s="482">
        <v>0.0</v>
      </c>
      <c r="W334" s="482">
        <v>0.0</v>
      </c>
      <c r="X334" s="482">
        <v>0.0</v>
      </c>
      <c r="Y334" s="482">
        <v>0.0</v>
      </c>
      <c r="Z334" s="482">
        <v>0.0</v>
      </c>
      <c r="AA334" s="482">
        <v>0.0</v>
      </c>
    </row>
    <row r="335" ht="12.75" customHeight="1">
      <c r="A335" s="24"/>
      <c r="B335" s="24"/>
      <c r="C335" s="24"/>
      <c r="D335" s="24"/>
      <c r="E335" s="24"/>
      <c r="F335" s="24"/>
      <c r="G335" s="474">
        <v>45566.0</v>
      </c>
      <c r="H335" s="486"/>
      <c r="I335" s="486"/>
      <c r="J335" s="486"/>
      <c r="K335" s="486"/>
      <c r="L335" s="486"/>
      <c r="M335" s="486"/>
      <c r="N335" s="486"/>
      <c r="O335" s="486"/>
      <c r="P335" s="486"/>
      <c r="Q335" s="24"/>
      <c r="R335" s="476">
        <v>45566.0</v>
      </c>
      <c r="S335" s="482">
        <v>0.0</v>
      </c>
      <c r="T335" s="482">
        <v>0.0</v>
      </c>
      <c r="U335" s="482">
        <v>0.0</v>
      </c>
      <c r="V335" s="482">
        <v>0.0</v>
      </c>
      <c r="W335" s="482">
        <v>0.0</v>
      </c>
      <c r="X335" s="482">
        <v>0.0</v>
      </c>
      <c r="Y335" s="482">
        <v>0.0</v>
      </c>
      <c r="Z335" s="482">
        <v>0.0</v>
      </c>
      <c r="AA335" s="482">
        <v>0.0</v>
      </c>
    </row>
    <row r="336" ht="12.75" customHeight="1">
      <c r="A336" s="24"/>
      <c r="B336" s="24"/>
      <c r="C336" s="24"/>
      <c r="D336" s="24"/>
      <c r="E336" s="24"/>
      <c r="F336" s="24"/>
      <c r="G336" s="474">
        <v>45597.0</v>
      </c>
      <c r="H336" s="486"/>
      <c r="I336" s="486"/>
      <c r="J336" s="486"/>
      <c r="K336" s="486"/>
      <c r="L336" s="486"/>
      <c r="M336" s="486"/>
      <c r="N336" s="486"/>
      <c r="O336" s="486"/>
      <c r="P336" s="486"/>
      <c r="Q336" s="24"/>
      <c r="R336" s="476">
        <v>45597.0</v>
      </c>
      <c r="S336" s="482">
        <v>0.0</v>
      </c>
      <c r="T336" s="482">
        <v>0.0</v>
      </c>
      <c r="U336" s="482">
        <v>0.0</v>
      </c>
      <c r="V336" s="482">
        <v>0.0</v>
      </c>
      <c r="W336" s="482">
        <v>0.0</v>
      </c>
      <c r="X336" s="482">
        <v>0.0</v>
      </c>
      <c r="Y336" s="482">
        <v>0.0</v>
      </c>
      <c r="Z336" s="482">
        <v>0.0</v>
      </c>
      <c r="AA336" s="482">
        <v>0.0</v>
      </c>
    </row>
    <row r="337" ht="12.75" customHeight="1">
      <c r="A337" s="24"/>
      <c r="B337" s="24"/>
      <c r="C337" s="24"/>
      <c r="D337" s="24"/>
      <c r="E337" s="24"/>
      <c r="F337" s="24"/>
      <c r="G337" s="474">
        <v>45627.0</v>
      </c>
      <c r="H337" s="486"/>
      <c r="I337" s="486"/>
      <c r="J337" s="486"/>
      <c r="K337" s="486"/>
      <c r="L337" s="486"/>
      <c r="M337" s="486"/>
      <c r="N337" s="486"/>
      <c r="O337" s="486"/>
      <c r="P337" s="486"/>
      <c r="Q337" s="24"/>
      <c r="R337" s="476">
        <v>45627.0</v>
      </c>
      <c r="S337" s="482">
        <v>0.0</v>
      </c>
      <c r="T337" s="482">
        <v>0.0</v>
      </c>
      <c r="U337" s="482">
        <v>0.0</v>
      </c>
      <c r="V337" s="482">
        <v>0.0</v>
      </c>
      <c r="W337" s="482">
        <v>0.0</v>
      </c>
      <c r="X337" s="482">
        <v>0.0</v>
      </c>
      <c r="Y337" s="482">
        <v>0.0</v>
      </c>
      <c r="Z337" s="482">
        <v>0.0</v>
      </c>
      <c r="AA337" s="482">
        <v>0.0</v>
      </c>
    </row>
    <row r="338" ht="12.75" customHeight="1">
      <c r="A338" s="24"/>
      <c r="B338" s="24"/>
      <c r="C338" s="24"/>
      <c r="D338" s="24"/>
      <c r="E338" s="24"/>
      <c r="F338" s="24"/>
      <c r="G338" s="470"/>
      <c r="H338" s="24"/>
      <c r="I338" s="24"/>
      <c r="J338" s="24"/>
      <c r="K338" s="24"/>
      <c r="L338" s="24"/>
      <c r="M338" s="24"/>
      <c r="N338" s="24"/>
      <c r="O338" s="24"/>
      <c r="P338" s="24"/>
      <c r="Q338" s="24"/>
      <c r="R338" s="471"/>
      <c r="S338" s="481"/>
      <c r="T338" s="481"/>
      <c r="U338" s="481"/>
      <c r="V338" s="481"/>
      <c r="W338" s="481"/>
      <c r="X338" s="481"/>
      <c r="Y338" s="481"/>
      <c r="Z338" s="481"/>
      <c r="AA338" s="481"/>
    </row>
    <row r="339" ht="12.75" customHeight="1">
      <c r="A339" s="24"/>
      <c r="B339" s="24"/>
      <c r="C339" s="24"/>
      <c r="D339" s="24"/>
      <c r="E339" s="24"/>
      <c r="F339" s="24"/>
      <c r="G339" s="474">
        <v>45658.0</v>
      </c>
      <c r="H339" s="486"/>
      <c r="I339" s="486"/>
      <c r="J339" s="486"/>
      <c r="K339" s="486"/>
      <c r="L339" s="486"/>
      <c r="M339" s="486"/>
      <c r="N339" s="486"/>
      <c r="O339" s="486"/>
      <c r="P339" s="486"/>
      <c r="Q339" s="24"/>
      <c r="R339" s="476">
        <v>45658.0</v>
      </c>
      <c r="S339" s="482">
        <v>0.0</v>
      </c>
      <c r="T339" s="482">
        <v>0.0</v>
      </c>
      <c r="U339" s="482">
        <v>0.0</v>
      </c>
      <c r="V339" s="482">
        <v>0.0</v>
      </c>
      <c r="W339" s="482">
        <v>0.0</v>
      </c>
      <c r="X339" s="482">
        <v>0.0</v>
      </c>
      <c r="Y339" s="482">
        <v>0.0</v>
      </c>
      <c r="Z339" s="482">
        <v>0.0</v>
      </c>
      <c r="AA339" s="482">
        <v>0.0</v>
      </c>
    </row>
    <row r="340" ht="12.75" customHeight="1">
      <c r="A340" s="24"/>
      <c r="B340" s="24"/>
      <c r="C340" s="24"/>
      <c r="D340" s="24"/>
      <c r="E340" s="24"/>
      <c r="F340" s="24"/>
      <c r="G340" s="474">
        <v>45689.0</v>
      </c>
      <c r="H340" s="486"/>
      <c r="I340" s="486"/>
      <c r="J340" s="486"/>
      <c r="K340" s="486"/>
      <c r="L340" s="486"/>
      <c r="M340" s="486"/>
      <c r="N340" s="486"/>
      <c r="O340" s="486"/>
      <c r="P340" s="486"/>
      <c r="Q340" s="24"/>
      <c r="R340" s="476">
        <v>45689.0</v>
      </c>
      <c r="S340" s="482">
        <v>0.0</v>
      </c>
      <c r="T340" s="482">
        <v>0.0</v>
      </c>
      <c r="U340" s="482">
        <v>0.0</v>
      </c>
      <c r="V340" s="482">
        <v>0.0</v>
      </c>
      <c r="W340" s="482">
        <v>0.0</v>
      </c>
      <c r="X340" s="482">
        <v>0.0</v>
      </c>
      <c r="Y340" s="482">
        <v>0.0</v>
      </c>
      <c r="Z340" s="482">
        <v>0.0</v>
      </c>
      <c r="AA340" s="482">
        <v>0.0</v>
      </c>
    </row>
    <row r="341" ht="12.75" customHeight="1">
      <c r="A341" s="24"/>
      <c r="B341" s="24"/>
      <c r="C341" s="24"/>
      <c r="D341" s="24"/>
      <c r="E341" s="24"/>
      <c r="F341" s="24"/>
      <c r="G341" s="474">
        <v>45717.0</v>
      </c>
      <c r="H341" s="486"/>
      <c r="I341" s="486"/>
      <c r="J341" s="486"/>
      <c r="K341" s="486"/>
      <c r="L341" s="486"/>
      <c r="M341" s="486"/>
      <c r="N341" s="486"/>
      <c r="O341" s="486"/>
      <c r="P341" s="486"/>
      <c r="Q341" s="24"/>
      <c r="R341" s="476">
        <v>45717.0</v>
      </c>
      <c r="S341" s="482">
        <v>0.0</v>
      </c>
      <c r="T341" s="482">
        <v>0.0</v>
      </c>
      <c r="U341" s="482">
        <v>0.0</v>
      </c>
      <c r="V341" s="482">
        <v>0.0</v>
      </c>
      <c r="W341" s="482">
        <v>0.0</v>
      </c>
      <c r="X341" s="482">
        <v>0.0</v>
      </c>
      <c r="Y341" s="482">
        <v>0.0</v>
      </c>
      <c r="Z341" s="482">
        <v>0.0</v>
      </c>
      <c r="AA341" s="482">
        <v>0.0</v>
      </c>
    </row>
    <row r="342" ht="12.75" customHeight="1">
      <c r="A342" s="24"/>
      <c r="B342" s="24"/>
      <c r="C342" s="24"/>
      <c r="D342" s="24"/>
      <c r="E342" s="24"/>
      <c r="F342" s="24"/>
      <c r="G342" s="474">
        <v>45748.0</v>
      </c>
      <c r="H342" s="486"/>
      <c r="I342" s="486"/>
      <c r="J342" s="486"/>
      <c r="K342" s="486"/>
      <c r="L342" s="486"/>
      <c r="M342" s="486"/>
      <c r="N342" s="486"/>
      <c r="O342" s="486"/>
      <c r="P342" s="486"/>
      <c r="Q342" s="24"/>
      <c r="R342" s="476">
        <v>45748.0</v>
      </c>
      <c r="S342" s="482">
        <v>0.0</v>
      </c>
      <c r="T342" s="482">
        <v>0.0</v>
      </c>
      <c r="U342" s="482">
        <v>0.0</v>
      </c>
      <c r="V342" s="482">
        <v>0.0</v>
      </c>
      <c r="W342" s="482">
        <v>0.0</v>
      </c>
      <c r="X342" s="482">
        <v>0.0</v>
      </c>
      <c r="Y342" s="482">
        <v>0.0</v>
      </c>
      <c r="Z342" s="482">
        <v>0.0</v>
      </c>
      <c r="AA342" s="482">
        <v>0.0</v>
      </c>
    </row>
    <row r="343" ht="12.75" customHeight="1">
      <c r="A343" s="24"/>
      <c r="B343" s="24"/>
      <c r="C343" s="24"/>
      <c r="D343" s="24"/>
      <c r="E343" s="24"/>
      <c r="F343" s="24"/>
      <c r="G343" s="474">
        <v>45778.0</v>
      </c>
      <c r="H343" s="486"/>
      <c r="I343" s="486"/>
      <c r="J343" s="486"/>
      <c r="K343" s="486"/>
      <c r="L343" s="486"/>
      <c r="M343" s="486"/>
      <c r="N343" s="486"/>
      <c r="O343" s="486"/>
      <c r="P343" s="486"/>
      <c r="Q343" s="24"/>
      <c r="R343" s="476">
        <v>45778.0</v>
      </c>
      <c r="S343" s="482">
        <v>0.0</v>
      </c>
      <c r="T343" s="482">
        <v>0.0</v>
      </c>
      <c r="U343" s="482">
        <v>0.0</v>
      </c>
      <c r="V343" s="482">
        <v>0.0</v>
      </c>
      <c r="W343" s="482">
        <v>0.0</v>
      </c>
      <c r="X343" s="482">
        <v>0.0</v>
      </c>
      <c r="Y343" s="482">
        <v>0.0</v>
      </c>
      <c r="Z343" s="482">
        <v>0.0</v>
      </c>
      <c r="AA343" s="482">
        <v>0.0</v>
      </c>
    </row>
    <row r="344" ht="12.75" customHeight="1">
      <c r="A344" s="24"/>
      <c r="B344" s="24"/>
      <c r="C344" s="24"/>
      <c r="D344" s="24"/>
      <c r="E344" s="24"/>
      <c r="F344" s="24"/>
      <c r="G344" s="474">
        <v>45809.0</v>
      </c>
      <c r="H344" s="486"/>
      <c r="I344" s="486"/>
      <c r="J344" s="486"/>
      <c r="K344" s="486"/>
      <c r="L344" s="486"/>
      <c r="M344" s="486"/>
      <c r="N344" s="486"/>
      <c r="O344" s="486"/>
      <c r="P344" s="486"/>
      <c r="Q344" s="24"/>
      <c r="R344" s="476">
        <v>45809.0</v>
      </c>
      <c r="S344" s="482">
        <v>0.0</v>
      </c>
      <c r="T344" s="482">
        <v>0.0</v>
      </c>
      <c r="U344" s="482">
        <v>0.0</v>
      </c>
      <c r="V344" s="482">
        <v>0.0</v>
      </c>
      <c r="W344" s="482">
        <v>0.0</v>
      </c>
      <c r="X344" s="482">
        <v>0.0</v>
      </c>
      <c r="Y344" s="482">
        <v>0.0</v>
      </c>
      <c r="Z344" s="482">
        <v>0.0</v>
      </c>
      <c r="AA344" s="482">
        <v>0.0</v>
      </c>
    </row>
    <row r="345" ht="12.75" customHeight="1">
      <c r="A345" s="24"/>
      <c r="B345" s="24"/>
      <c r="C345" s="24"/>
      <c r="D345" s="24"/>
      <c r="E345" s="24"/>
      <c r="F345" s="24"/>
      <c r="G345" s="474">
        <v>45839.0</v>
      </c>
      <c r="H345" s="486"/>
      <c r="I345" s="486"/>
      <c r="J345" s="486"/>
      <c r="K345" s="486"/>
      <c r="L345" s="486"/>
      <c r="M345" s="486"/>
      <c r="N345" s="486"/>
      <c r="O345" s="486"/>
      <c r="P345" s="486"/>
      <c r="Q345" s="24"/>
      <c r="R345" s="476">
        <v>45839.0</v>
      </c>
      <c r="S345" s="482">
        <v>0.0</v>
      </c>
      <c r="T345" s="482">
        <v>0.0</v>
      </c>
      <c r="U345" s="482">
        <v>0.0</v>
      </c>
      <c r="V345" s="482">
        <v>0.0</v>
      </c>
      <c r="W345" s="482">
        <v>0.0</v>
      </c>
      <c r="X345" s="482">
        <v>0.0</v>
      </c>
      <c r="Y345" s="482">
        <v>0.0</v>
      </c>
      <c r="Z345" s="482">
        <v>0.0</v>
      </c>
      <c r="AA345" s="482">
        <v>0.0</v>
      </c>
    </row>
    <row r="346" ht="12.75" customHeight="1">
      <c r="A346" s="24"/>
      <c r="B346" s="24"/>
      <c r="C346" s="24"/>
      <c r="D346" s="24"/>
      <c r="E346" s="24"/>
      <c r="F346" s="24"/>
      <c r="G346" s="474">
        <v>45870.0</v>
      </c>
      <c r="H346" s="486"/>
      <c r="I346" s="486"/>
      <c r="J346" s="486"/>
      <c r="K346" s="486"/>
      <c r="L346" s="486"/>
      <c r="M346" s="486"/>
      <c r="N346" s="486"/>
      <c r="O346" s="486"/>
      <c r="P346" s="486"/>
      <c r="Q346" s="24"/>
      <c r="R346" s="476">
        <v>45870.0</v>
      </c>
      <c r="S346" s="482">
        <v>0.0</v>
      </c>
      <c r="T346" s="482">
        <v>0.0</v>
      </c>
      <c r="U346" s="482">
        <v>0.0</v>
      </c>
      <c r="V346" s="482">
        <v>0.0</v>
      </c>
      <c r="W346" s="482">
        <v>0.0</v>
      </c>
      <c r="X346" s="482">
        <v>0.0</v>
      </c>
      <c r="Y346" s="482">
        <v>0.0</v>
      </c>
      <c r="Z346" s="482">
        <v>0.0</v>
      </c>
      <c r="AA346" s="482">
        <v>0.0</v>
      </c>
    </row>
    <row r="347" ht="12.75" customHeight="1">
      <c r="A347" s="24"/>
      <c r="B347" s="24"/>
      <c r="C347" s="24"/>
      <c r="D347" s="24"/>
      <c r="E347" s="24"/>
      <c r="F347" s="24"/>
      <c r="G347" s="474">
        <v>45901.0</v>
      </c>
      <c r="H347" s="486"/>
      <c r="I347" s="486"/>
      <c r="J347" s="486"/>
      <c r="K347" s="486"/>
      <c r="L347" s="486"/>
      <c r="M347" s="486"/>
      <c r="N347" s="486"/>
      <c r="O347" s="486"/>
      <c r="P347" s="486"/>
      <c r="Q347" s="24"/>
      <c r="R347" s="476">
        <v>45901.0</v>
      </c>
      <c r="S347" s="482">
        <v>0.0</v>
      </c>
      <c r="T347" s="482">
        <v>0.0</v>
      </c>
      <c r="U347" s="482">
        <v>0.0</v>
      </c>
      <c r="V347" s="482">
        <v>0.0</v>
      </c>
      <c r="W347" s="482">
        <v>0.0</v>
      </c>
      <c r="X347" s="482">
        <v>0.0</v>
      </c>
      <c r="Y347" s="482">
        <v>0.0</v>
      </c>
      <c r="Z347" s="482">
        <v>0.0</v>
      </c>
      <c r="AA347" s="482">
        <v>0.0</v>
      </c>
    </row>
    <row r="348" ht="12.75" customHeight="1">
      <c r="A348" s="24"/>
      <c r="B348" s="24"/>
      <c r="C348" s="24"/>
      <c r="D348" s="24"/>
      <c r="E348" s="24"/>
      <c r="F348" s="24"/>
      <c r="G348" s="474">
        <v>45931.0</v>
      </c>
      <c r="H348" s="486"/>
      <c r="I348" s="486"/>
      <c r="J348" s="486"/>
      <c r="K348" s="486"/>
      <c r="L348" s="486"/>
      <c r="M348" s="486"/>
      <c r="N348" s="486"/>
      <c r="O348" s="486"/>
      <c r="P348" s="486"/>
      <c r="Q348" s="24"/>
      <c r="R348" s="476">
        <v>45931.0</v>
      </c>
      <c r="S348" s="482">
        <v>0.0</v>
      </c>
      <c r="T348" s="482">
        <v>0.0</v>
      </c>
      <c r="U348" s="482">
        <v>0.0</v>
      </c>
      <c r="V348" s="482">
        <v>0.0</v>
      </c>
      <c r="W348" s="482">
        <v>0.0</v>
      </c>
      <c r="X348" s="482">
        <v>0.0</v>
      </c>
      <c r="Y348" s="482">
        <v>0.0</v>
      </c>
      <c r="Z348" s="482">
        <v>0.0</v>
      </c>
      <c r="AA348" s="482">
        <v>0.0</v>
      </c>
    </row>
    <row r="349" ht="12.75" customHeight="1">
      <c r="A349" s="24"/>
      <c r="B349" s="24"/>
      <c r="C349" s="24"/>
      <c r="D349" s="24"/>
      <c r="E349" s="24"/>
      <c r="F349" s="24"/>
      <c r="G349" s="474">
        <v>45962.0</v>
      </c>
      <c r="H349" s="486"/>
      <c r="I349" s="486"/>
      <c r="J349" s="486"/>
      <c r="K349" s="486"/>
      <c r="L349" s="486"/>
      <c r="M349" s="486"/>
      <c r="N349" s="486"/>
      <c r="O349" s="486"/>
      <c r="P349" s="486"/>
      <c r="Q349" s="24"/>
      <c r="R349" s="476">
        <v>45962.0</v>
      </c>
      <c r="S349" s="482">
        <v>0.0</v>
      </c>
      <c r="T349" s="482">
        <v>0.0</v>
      </c>
      <c r="U349" s="482">
        <v>0.0</v>
      </c>
      <c r="V349" s="482">
        <v>0.0</v>
      </c>
      <c r="W349" s="482">
        <v>0.0</v>
      </c>
      <c r="X349" s="482">
        <v>0.0</v>
      </c>
      <c r="Y349" s="482">
        <v>0.0</v>
      </c>
      <c r="Z349" s="482">
        <v>0.0</v>
      </c>
      <c r="AA349" s="482">
        <v>0.0</v>
      </c>
    </row>
    <row r="350" ht="12.75" customHeight="1">
      <c r="A350" s="24"/>
      <c r="B350" s="24"/>
      <c r="C350" s="24"/>
      <c r="D350" s="24"/>
      <c r="E350" s="24"/>
      <c r="F350" s="24"/>
      <c r="G350" s="474">
        <v>45992.0</v>
      </c>
      <c r="H350" s="486"/>
      <c r="I350" s="486"/>
      <c r="J350" s="486"/>
      <c r="K350" s="486"/>
      <c r="L350" s="486"/>
      <c r="M350" s="486"/>
      <c r="N350" s="486"/>
      <c r="O350" s="486"/>
      <c r="P350" s="486"/>
      <c r="Q350" s="24"/>
      <c r="R350" s="476">
        <v>45992.0</v>
      </c>
      <c r="S350" s="482">
        <v>0.0</v>
      </c>
      <c r="T350" s="482">
        <v>0.0</v>
      </c>
      <c r="U350" s="482">
        <v>0.0</v>
      </c>
      <c r="V350" s="482">
        <v>0.0</v>
      </c>
      <c r="W350" s="482">
        <v>0.0</v>
      </c>
      <c r="X350" s="482">
        <v>0.0</v>
      </c>
      <c r="Y350" s="482">
        <v>0.0</v>
      </c>
      <c r="Z350" s="482">
        <v>0.0</v>
      </c>
      <c r="AA350" s="482">
        <v>0.0</v>
      </c>
    </row>
    <row r="351" ht="12.75" customHeight="1">
      <c r="A351" s="24"/>
      <c r="B351" s="24"/>
      <c r="C351" s="24"/>
      <c r="D351" s="24"/>
      <c r="E351" s="24"/>
      <c r="F351" s="24"/>
      <c r="G351" s="470"/>
      <c r="H351" s="24"/>
      <c r="I351" s="24"/>
      <c r="J351" s="24"/>
      <c r="K351" s="24"/>
      <c r="L351" s="24"/>
      <c r="M351" s="24"/>
      <c r="N351" s="24"/>
      <c r="O351" s="24"/>
      <c r="P351" s="24"/>
      <c r="Q351" s="24"/>
      <c r="R351" s="471"/>
      <c r="S351" s="481"/>
      <c r="T351" s="481"/>
      <c r="U351" s="481"/>
      <c r="V351" s="481"/>
      <c r="W351" s="481"/>
      <c r="X351" s="481"/>
      <c r="Y351" s="481"/>
      <c r="Z351" s="481"/>
      <c r="AA351" s="481"/>
    </row>
    <row r="352" ht="12.75" customHeight="1">
      <c r="A352" s="24"/>
      <c r="B352" s="24"/>
      <c r="C352" s="24"/>
      <c r="D352" s="24"/>
      <c r="E352" s="24"/>
      <c r="F352" s="24"/>
      <c r="G352" s="474">
        <v>46023.0</v>
      </c>
      <c r="H352" s="486"/>
      <c r="I352" s="486"/>
      <c r="J352" s="486"/>
      <c r="K352" s="486"/>
      <c r="L352" s="486"/>
      <c r="M352" s="486"/>
      <c r="N352" s="486"/>
      <c r="O352" s="486"/>
      <c r="P352" s="486"/>
      <c r="Q352" s="24"/>
      <c r="R352" s="476">
        <v>46023.0</v>
      </c>
      <c r="S352" s="482">
        <v>0.0</v>
      </c>
      <c r="T352" s="482">
        <v>0.0</v>
      </c>
      <c r="U352" s="482">
        <v>0.0</v>
      </c>
      <c r="V352" s="482">
        <v>0.0</v>
      </c>
      <c r="W352" s="482">
        <v>0.0</v>
      </c>
      <c r="X352" s="482">
        <v>0.0</v>
      </c>
      <c r="Y352" s="482">
        <v>0.0</v>
      </c>
      <c r="Z352" s="482">
        <v>0.0</v>
      </c>
      <c r="AA352" s="482">
        <v>0.0</v>
      </c>
    </row>
    <row r="353" ht="12.75" customHeight="1">
      <c r="A353" s="24"/>
      <c r="B353" s="24"/>
      <c r="C353" s="24"/>
      <c r="D353" s="24"/>
      <c r="E353" s="24"/>
      <c r="F353" s="24"/>
      <c r="G353" s="474">
        <v>46054.0</v>
      </c>
      <c r="H353" s="486"/>
      <c r="I353" s="486"/>
      <c r="J353" s="486"/>
      <c r="K353" s="486"/>
      <c r="L353" s="486"/>
      <c r="M353" s="486"/>
      <c r="N353" s="486"/>
      <c r="O353" s="486"/>
      <c r="P353" s="486"/>
      <c r="Q353" s="24"/>
      <c r="R353" s="476">
        <v>46054.0</v>
      </c>
      <c r="S353" s="482">
        <v>0.0</v>
      </c>
      <c r="T353" s="482">
        <v>0.0</v>
      </c>
      <c r="U353" s="482">
        <v>0.0</v>
      </c>
      <c r="V353" s="482">
        <v>0.0</v>
      </c>
      <c r="W353" s="482">
        <v>0.0</v>
      </c>
      <c r="X353" s="482">
        <v>0.0</v>
      </c>
      <c r="Y353" s="482">
        <v>0.0</v>
      </c>
      <c r="Z353" s="482">
        <v>0.0</v>
      </c>
      <c r="AA353" s="482">
        <v>0.0</v>
      </c>
    </row>
    <row r="354" ht="12.75" customHeight="1">
      <c r="A354" s="24"/>
      <c r="B354" s="24"/>
      <c r="C354" s="24"/>
      <c r="D354" s="24"/>
      <c r="E354" s="24"/>
      <c r="F354" s="24"/>
      <c r="G354" s="474">
        <v>46082.0</v>
      </c>
      <c r="H354" s="486"/>
      <c r="I354" s="486"/>
      <c r="J354" s="486"/>
      <c r="K354" s="486"/>
      <c r="L354" s="486"/>
      <c r="M354" s="486"/>
      <c r="N354" s="486"/>
      <c r="O354" s="486"/>
      <c r="P354" s="486"/>
      <c r="Q354" s="24"/>
      <c r="R354" s="476">
        <v>46082.0</v>
      </c>
      <c r="S354" s="482">
        <v>0.0</v>
      </c>
      <c r="T354" s="482">
        <v>0.0</v>
      </c>
      <c r="U354" s="482">
        <v>0.0</v>
      </c>
      <c r="V354" s="482">
        <v>0.0</v>
      </c>
      <c r="W354" s="482">
        <v>0.0</v>
      </c>
      <c r="X354" s="482">
        <v>0.0</v>
      </c>
      <c r="Y354" s="482">
        <v>0.0</v>
      </c>
      <c r="Z354" s="482">
        <v>0.0</v>
      </c>
      <c r="AA354" s="482">
        <v>0.0</v>
      </c>
    </row>
    <row r="355" ht="12.75" customHeight="1">
      <c r="A355" s="24"/>
      <c r="B355" s="24"/>
      <c r="C355" s="24"/>
      <c r="D355" s="24"/>
      <c r="E355" s="24"/>
      <c r="F355" s="24"/>
      <c r="G355" s="474">
        <v>46113.0</v>
      </c>
      <c r="H355" s="486"/>
      <c r="I355" s="486"/>
      <c r="J355" s="486"/>
      <c r="K355" s="486"/>
      <c r="L355" s="486"/>
      <c r="M355" s="486"/>
      <c r="N355" s="486"/>
      <c r="O355" s="486"/>
      <c r="P355" s="486"/>
      <c r="Q355" s="24"/>
      <c r="R355" s="476">
        <v>46113.0</v>
      </c>
      <c r="S355" s="482">
        <v>0.0</v>
      </c>
      <c r="T355" s="482">
        <v>0.0</v>
      </c>
      <c r="U355" s="482">
        <v>0.0</v>
      </c>
      <c r="V355" s="482">
        <v>0.0</v>
      </c>
      <c r="W355" s="482">
        <v>0.0</v>
      </c>
      <c r="X355" s="482">
        <v>0.0</v>
      </c>
      <c r="Y355" s="482">
        <v>0.0</v>
      </c>
      <c r="Z355" s="482">
        <v>0.0</v>
      </c>
      <c r="AA355" s="482">
        <v>0.0</v>
      </c>
    </row>
    <row r="356" ht="12.75" customHeight="1">
      <c r="A356" s="24"/>
      <c r="B356" s="24"/>
      <c r="C356" s="24"/>
      <c r="D356" s="24"/>
      <c r="E356" s="24"/>
      <c r="F356" s="24"/>
      <c r="G356" s="474">
        <v>46143.0</v>
      </c>
      <c r="H356" s="486"/>
      <c r="I356" s="486"/>
      <c r="J356" s="486"/>
      <c r="K356" s="486"/>
      <c r="L356" s="486"/>
      <c r="M356" s="486"/>
      <c r="N356" s="486"/>
      <c r="O356" s="486"/>
      <c r="P356" s="486"/>
      <c r="Q356" s="24"/>
      <c r="R356" s="476">
        <v>46143.0</v>
      </c>
      <c r="S356" s="482">
        <v>0.0</v>
      </c>
      <c r="T356" s="482">
        <v>0.0</v>
      </c>
      <c r="U356" s="482">
        <v>0.0</v>
      </c>
      <c r="V356" s="482">
        <v>0.0</v>
      </c>
      <c r="W356" s="482">
        <v>0.0</v>
      </c>
      <c r="X356" s="482">
        <v>0.0</v>
      </c>
      <c r="Y356" s="482">
        <v>0.0</v>
      </c>
      <c r="Z356" s="482">
        <v>0.0</v>
      </c>
      <c r="AA356" s="482">
        <v>0.0</v>
      </c>
    </row>
    <row r="357" ht="12.75" customHeight="1">
      <c r="A357" s="24"/>
      <c r="B357" s="24"/>
      <c r="C357" s="24"/>
      <c r="D357" s="24"/>
      <c r="E357" s="24"/>
      <c r="F357" s="24"/>
      <c r="G357" s="474">
        <v>46174.0</v>
      </c>
      <c r="H357" s="486"/>
      <c r="I357" s="486"/>
      <c r="J357" s="486"/>
      <c r="K357" s="486"/>
      <c r="L357" s="486"/>
      <c r="M357" s="486"/>
      <c r="N357" s="486"/>
      <c r="O357" s="486"/>
      <c r="P357" s="486"/>
      <c r="Q357" s="24"/>
      <c r="R357" s="476">
        <v>46174.0</v>
      </c>
      <c r="S357" s="482">
        <v>0.0</v>
      </c>
      <c r="T357" s="482">
        <v>0.0</v>
      </c>
      <c r="U357" s="482">
        <v>0.0</v>
      </c>
      <c r="V357" s="482">
        <v>0.0</v>
      </c>
      <c r="W357" s="482">
        <v>0.0</v>
      </c>
      <c r="X357" s="482">
        <v>0.0</v>
      </c>
      <c r="Y357" s="482">
        <v>0.0</v>
      </c>
      <c r="Z357" s="482">
        <v>0.0</v>
      </c>
      <c r="AA357" s="482">
        <v>0.0</v>
      </c>
    </row>
    <row r="358" ht="12.75" customHeight="1">
      <c r="A358" s="24"/>
      <c r="B358" s="24"/>
      <c r="C358" s="24"/>
      <c r="D358" s="24"/>
      <c r="E358" s="24"/>
      <c r="F358" s="24"/>
      <c r="G358" s="474">
        <v>46204.0</v>
      </c>
      <c r="H358" s="486"/>
      <c r="I358" s="486"/>
      <c r="J358" s="486"/>
      <c r="K358" s="486"/>
      <c r="L358" s="486"/>
      <c r="M358" s="486"/>
      <c r="N358" s="486"/>
      <c r="O358" s="486"/>
      <c r="P358" s="486"/>
      <c r="Q358" s="24"/>
      <c r="R358" s="476">
        <v>46204.0</v>
      </c>
      <c r="S358" s="482">
        <v>0.0</v>
      </c>
      <c r="T358" s="482">
        <v>0.0</v>
      </c>
      <c r="U358" s="482">
        <v>0.0</v>
      </c>
      <c r="V358" s="482">
        <v>0.0</v>
      </c>
      <c r="W358" s="482">
        <v>0.0</v>
      </c>
      <c r="X358" s="482">
        <v>0.0</v>
      </c>
      <c r="Y358" s="482">
        <v>0.0</v>
      </c>
      <c r="Z358" s="482">
        <v>0.0</v>
      </c>
      <c r="AA358" s="482">
        <v>0.0</v>
      </c>
    </row>
    <row r="359" ht="12.75" customHeight="1">
      <c r="A359" s="24"/>
      <c r="B359" s="24"/>
      <c r="C359" s="24"/>
      <c r="D359" s="24"/>
      <c r="E359" s="24"/>
      <c r="F359" s="24"/>
      <c r="G359" s="474">
        <v>46235.0</v>
      </c>
      <c r="H359" s="486"/>
      <c r="I359" s="486"/>
      <c r="J359" s="486"/>
      <c r="K359" s="486"/>
      <c r="L359" s="486"/>
      <c r="M359" s="486"/>
      <c r="N359" s="486"/>
      <c r="O359" s="486"/>
      <c r="P359" s="486"/>
      <c r="Q359" s="24"/>
      <c r="R359" s="476">
        <v>46235.0</v>
      </c>
      <c r="S359" s="482">
        <v>0.0</v>
      </c>
      <c r="T359" s="482">
        <v>0.0</v>
      </c>
      <c r="U359" s="482">
        <v>0.0</v>
      </c>
      <c r="V359" s="482">
        <v>0.0</v>
      </c>
      <c r="W359" s="482">
        <v>0.0</v>
      </c>
      <c r="X359" s="482">
        <v>0.0</v>
      </c>
      <c r="Y359" s="482">
        <v>0.0</v>
      </c>
      <c r="Z359" s="482">
        <v>0.0</v>
      </c>
      <c r="AA359" s="482">
        <v>0.0</v>
      </c>
    </row>
    <row r="360" ht="12.75" customHeight="1">
      <c r="A360" s="24"/>
      <c r="B360" s="24"/>
      <c r="C360" s="24"/>
      <c r="D360" s="24"/>
      <c r="E360" s="24"/>
      <c r="F360" s="24"/>
      <c r="G360" s="474">
        <v>46266.0</v>
      </c>
      <c r="H360" s="486"/>
      <c r="I360" s="486"/>
      <c r="J360" s="486"/>
      <c r="K360" s="486"/>
      <c r="L360" s="486"/>
      <c r="M360" s="486"/>
      <c r="N360" s="486"/>
      <c r="O360" s="486"/>
      <c r="P360" s="486"/>
      <c r="Q360" s="24"/>
      <c r="R360" s="476">
        <v>46266.0</v>
      </c>
      <c r="S360" s="482">
        <v>0.0</v>
      </c>
      <c r="T360" s="482">
        <v>0.0</v>
      </c>
      <c r="U360" s="482">
        <v>0.0</v>
      </c>
      <c r="V360" s="482">
        <v>0.0</v>
      </c>
      <c r="W360" s="482">
        <v>0.0</v>
      </c>
      <c r="X360" s="482">
        <v>0.0</v>
      </c>
      <c r="Y360" s="482">
        <v>0.0</v>
      </c>
      <c r="Z360" s="482">
        <v>0.0</v>
      </c>
      <c r="AA360" s="482">
        <v>0.0</v>
      </c>
    </row>
    <row r="361" ht="12.75" customHeight="1">
      <c r="A361" s="24"/>
      <c r="B361" s="24"/>
      <c r="C361" s="24"/>
      <c r="D361" s="24"/>
      <c r="E361" s="24"/>
      <c r="F361" s="24"/>
      <c r="G361" s="474">
        <v>46296.0</v>
      </c>
      <c r="H361" s="486"/>
      <c r="I361" s="486"/>
      <c r="J361" s="486"/>
      <c r="K361" s="486"/>
      <c r="L361" s="486"/>
      <c r="M361" s="486"/>
      <c r="N361" s="486"/>
      <c r="O361" s="486"/>
      <c r="P361" s="486"/>
      <c r="Q361" s="24"/>
      <c r="R361" s="476">
        <v>46296.0</v>
      </c>
      <c r="S361" s="482">
        <v>0.0</v>
      </c>
      <c r="T361" s="482">
        <v>0.0</v>
      </c>
      <c r="U361" s="482">
        <v>0.0</v>
      </c>
      <c r="V361" s="482">
        <v>0.0</v>
      </c>
      <c r="W361" s="482">
        <v>0.0</v>
      </c>
      <c r="X361" s="482">
        <v>0.0</v>
      </c>
      <c r="Y361" s="482">
        <v>0.0</v>
      </c>
      <c r="Z361" s="482">
        <v>0.0</v>
      </c>
      <c r="AA361" s="482">
        <v>0.0</v>
      </c>
    </row>
    <row r="362" ht="12.75" customHeight="1">
      <c r="A362" s="24"/>
      <c r="B362" s="24"/>
      <c r="C362" s="24"/>
      <c r="D362" s="24"/>
      <c r="E362" s="24"/>
      <c r="F362" s="24"/>
      <c r="G362" s="474">
        <v>46327.0</v>
      </c>
      <c r="H362" s="486"/>
      <c r="I362" s="486"/>
      <c r="J362" s="486"/>
      <c r="K362" s="486"/>
      <c r="L362" s="486"/>
      <c r="M362" s="486"/>
      <c r="N362" s="486"/>
      <c r="O362" s="486"/>
      <c r="P362" s="486"/>
      <c r="Q362" s="24"/>
      <c r="R362" s="476">
        <v>46327.0</v>
      </c>
      <c r="S362" s="482">
        <v>0.0</v>
      </c>
      <c r="T362" s="482">
        <v>0.0</v>
      </c>
      <c r="U362" s="482">
        <v>0.0</v>
      </c>
      <c r="V362" s="482">
        <v>0.0</v>
      </c>
      <c r="W362" s="482">
        <v>0.0</v>
      </c>
      <c r="X362" s="482">
        <v>0.0</v>
      </c>
      <c r="Y362" s="482">
        <v>0.0</v>
      </c>
      <c r="Z362" s="482">
        <v>0.0</v>
      </c>
      <c r="AA362" s="482">
        <v>0.0</v>
      </c>
    </row>
    <row r="363" ht="12.75" customHeight="1">
      <c r="A363" s="24"/>
      <c r="B363" s="24"/>
      <c r="C363" s="24"/>
      <c r="D363" s="24"/>
      <c r="E363" s="24"/>
      <c r="F363" s="24"/>
      <c r="G363" s="474">
        <v>46357.0</v>
      </c>
      <c r="H363" s="486"/>
      <c r="I363" s="486"/>
      <c r="J363" s="486"/>
      <c r="K363" s="486"/>
      <c r="L363" s="486"/>
      <c r="M363" s="486"/>
      <c r="N363" s="486"/>
      <c r="O363" s="486"/>
      <c r="P363" s="486"/>
      <c r="Q363" s="24"/>
      <c r="R363" s="476">
        <v>46357.0</v>
      </c>
      <c r="S363" s="482">
        <v>0.0</v>
      </c>
      <c r="T363" s="482">
        <v>0.0</v>
      </c>
      <c r="U363" s="482">
        <v>0.0</v>
      </c>
      <c r="V363" s="482">
        <v>0.0</v>
      </c>
      <c r="W363" s="482">
        <v>0.0</v>
      </c>
      <c r="X363" s="482">
        <v>0.0</v>
      </c>
      <c r="Y363" s="482">
        <v>0.0</v>
      </c>
      <c r="Z363" s="482">
        <v>0.0</v>
      </c>
      <c r="AA363" s="482">
        <v>0.0</v>
      </c>
    </row>
    <row r="364" ht="12.75" customHeight="1">
      <c r="A364" s="24"/>
      <c r="B364" s="24"/>
      <c r="C364" s="24"/>
      <c r="D364" s="24"/>
      <c r="E364" s="24"/>
      <c r="F364" s="24"/>
      <c r="G364" s="470"/>
      <c r="H364" s="24"/>
      <c r="I364" s="24"/>
      <c r="J364" s="24"/>
      <c r="K364" s="24"/>
      <c r="L364" s="24"/>
      <c r="M364" s="24"/>
      <c r="N364" s="24"/>
      <c r="O364" s="24"/>
      <c r="P364" s="24"/>
      <c r="Q364" s="24"/>
      <c r="R364" s="471"/>
      <c r="S364" s="481"/>
      <c r="T364" s="481"/>
      <c r="U364" s="481"/>
      <c r="V364" s="481"/>
      <c r="W364" s="481"/>
      <c r="X364" s="481"/>
      <c r="Y364" s="481"/>
      <c r="Z364" s="481"/>
      <c r="AA364" s="481"/>
    </row>
    <row r="365" ht="12.75" customHeight="1">
      <c r="A365" s="24"/>
      <c r="B365" s="24"/>
      <c r="C365" s="24"/>
      <c r="D365" s="24"/>
      <c r="E365" s="24"/>
      <c r="F365" s="24"/>
      <c r="G365" s="474">
        <v>46388.0</v>
      </c>
      <c r="H365" s="486"/>
      <c r="I365" s="486"/>
      <c r="J365" s="486"/>
      <c r="K365" s="486"/>
      <c r="L365" s="486"/>
      <c r="M365" s="486"/>
      <c r="N365" s="486"/>
      <c r="O365" s="486"/>
      <c r="P365" s="486"/>
      <c r="Q365" s="24"/>
      <c r="R365" s="476">
        <v>46388.0</v>
      </c>
      <c r="S365" s="482">
        <v>0.0</v>
      </c>
      <c r="T365" s="482">
        <v>0.0</v>
      </c>
      <c r="U365" s="482">
        <v>0.0</v>
      </c>
      <c r="V365" s="482">
        <v>0.0</v>
      </c>
      <c r="W365" s="482">
        <v>0.0</v>
      </c>
      <c r="X365" s="482">
        <v>0.0</v>
      </c>
      <c r="Y365" s="482">
        <v>0.0</v>
      </c>
      <c r="Z365" s="482">
        <v>0.0</v>
      </c>
      <c r="AA365" s="482">
        <v>0.0</v>
      </c>
    </row>
    <row r="366" ht="12.75" customHeight="1">
      <c r="A366" s="24"/>
      <c r="B366" s="24"/>
      <c r="C366" s="24"/>
      <c r="D366" s="24"/>
      <c r="E366" s="24"/>
      <c r="F366" s="24"/>
      <c r="G366" s="474">
        <v>46419.0</v>
      </c>
      <c r="H366" s="486"/>
      <c r="I366" s="486"/>
      <c r="J366" s="486"/>
      <c r="K366" s="486"/>
      <c r="L366" s="486"/>
      <c r="M366" s="486"/>
      <c r="N366" s="486"/>
      <c r="O366" s="486"/>
      <c r="P366" s="486"/>
      <c r="Q366" s="24"/>
      <c r="R366" s="476">
        <v>46419.0</v>
      </c>
      <c r="S366" s="482">
        <v>0.0</v>
      </c>
      <c r="T366" s="482">
        <v>0.0</v>
      </c>
      <c r="U366" s="482">
        <v>0.0</v>
      </c>
      <c r="V366" s="482">
        <v>0.0</v>
      </c>
      <c r="W366" s="482">
        <v>0.0</v>
      </c>
      <c r="X366" s="482">
        <v>0.0</v>
      </c>
      <c r="Y366" s="482">
        <v>0.0</v>
      </c>
      <c r="Z366" s="482">
        <v>0.0</v>
      </c>
      <c r="AA366" s="482">
        <v>0.0</v>
      </c>
    </row>
    <row r="367" ht="12.75" customHeight="1">
      <c r="A367" s="24"/>
      <c r="B367" s="24"/>
      <c r="C367" s="24"/>
      <c r="D367" s="24"/>
      <c r="E367" s="24"/>
      <c r="F367" s="24"/>
      <c r="G367" s="474">
        <v>46447.0</v>
      </c>
      <c r="H367" s="486"/>
      <c r="I367" s="486"/>
      <c r="J367" s="486"/>
      <c r="K367" s="486"/>
      <c r="L367" s="486"/>
      <c r="M367" s="486"/>
      <c r="N367" s="486"/>
      <c r="O367" s="486"/>
      <c r="P367" s="486"/>
      <c r="Q367" s="24"/>
      <c r="R367" s="476">
        <v>46447.0</v>
      </c>
      <c r="S367" s="482">
        <v>0.0</v>
      </c>
      <c r="T367" s="482">
        <v>0.0</v>
      </c>
      <c r="U367" s="482">
        <v>0.0</v>
      </c>
      <c r="V367" s="482">
        <v>0.0</v>
      </c>
      <c r="W367" s="482">
        <v>0.0</v>
      </c>
      <c r="X367" s="482">
        <v>0.0</v>
      </c>
      <c r="Y367" s="482">
        <v>0.0</v>
      </c>
      <c r="Z367" s="482">
        <v>0.0</v>
      </c>
      <c r="AA367" s="482">
        <v>0.0</v>
      </c>
    </row>
    <row r="368" ht="12.75" customHeight="1">
      <c r="A368" s="24"/>
      <c r="B368" s="24"/>
      <c r="C368" s="24"/>
      <c r="D368" s="24"/>
      <c r="E368" s="24"/>
      <c r="F368" s="24"/>
      <c r="G368" s="474">
        <v>46478.0</v>
      </c>
      <c r="H368" s="486"/>
      <c r="I368" s="486"/>
      <c r="J368" s="486"/>
      <c r="K368" s="486"/>
      <c r="L368" s="486"/>
      <c r="M368" s="486"/>
      <c r="N368" s="486"/>
      <c r="O368" s="486"/>
      <c r="P368" s="486"/>
      <c r="Q368" s="24"/>
      <c r="R368" s="476">
        <v>46478.0</v>
      </c>
      <c r="S368" s="482">
        <v>0.0</v>
      </c>
      <c r="T368" s="482">
        <v>0.0</v>
      </c>
      <c r="U368" s="482">
        <v>0.0</v>
      </c>
      <c r="V368" s="482">
        <v>0.0</v>
      </c>
      <c r="W368" s="482">
        <v>0.0</v>
      </c>
      <c r="X368" s="482">
        <v>0.0</v>
      </c>
      <c r="Y368" s="482">
        <v>0.0</v>
      </c>
      <c r="Z368" s="482">
        <v>0.0</v>
      </c>
      <c r="AA368" s="482">
        <v>0.0</v>
      </c>
    </row>
    <row r="369" ht="12.75" customHeight="1">
      <c r="A369" s="24"/>
      <c r="B369" s="24"/>
      <c r="C369" s="24"/>
      <c r="D369" s="24"/>
      <c r="E369" s="24"/>
      <c r="F369" s="24"/>
      <c r="G369" s="474">
        <v>46508.0</v>
      </c>
      <c r="H369" s="486"/>
      <c r="I369" s="486"/>
      <c r="J369" s="486"/>
      <c r="K369" s="486"/>
      <c r="L369" s="486"/>
      <c r="M369" s="486"/>
      <c r="N369" s="486"/>
      <c r="O369" s="486"/>
      <c r="P369" s="486"/>
      <c r="Q369" s="24"/>
      <c r="R369" s="476">
        <v>46508.0</v>
      </c>
      <c r="S369" s="482">
        <v>0.0</v>
      </c>
      <c r="T369" s="482">
        <v>0.0</v>
      </c>
      <c r="U369" s="482">
        <v>0.0</v>
      </c>
      <c r="V369" s="482">
        <v>0.0</v>
      </c>
      <c r="W369" s="482">
        <v>0.0</v>
      </c>
      <c r="X369" s="482">
        <v>0.0</v>
      </c>
      <c r="Y369" s="482">
        <v>0.0</v>
      </c>
      <c r="Z369" s="482">
        <v>0.0</v>
      </c>
      <c r="AA369" s="482">
        <v>0.0</v>
      </c>
    </row>
    <row r="370" ht="12.75" customHeight="1">
      <c r="A370" s="24"/>
      <c r="B370" s="24"/>
      <c r="C370" s="24"/>
      <c r="D370" s="24"/>
      <c r="E370" s="24"/>
      <c r="F370" s="24"/>
      <c r="G370" s="474">
        <v>46539.0</v>
      </c>
      <c r="H370" s="486"/>
      <c r="I370" s="486"/>
      <c r="J370" s="486"/>
      <c r="K370" s="486"/>
      <c r="L370" s="486"/>
      <c r="M370" s="486"/>
      <c r="N370" s="486"/>
      <c r="O370" s="486"/>
      <c r="P370" s="486"/>
      <c r="Q370" s="24"/>
      <c r="R370" s="476">
        <v>46539.0</v>
      </c>
      <c r="S370" s="482">
        <v>0.0</v>
      </c>
      <c r="T370" s="482">
        <v>0.0</v>
      </c>
      <c r="U370" s="482">
        <v>0.0</v>
      </c>
      <c r="V370" s="482">
        <v>0.0</v>
      </c>
      <c r="W370" s="482">
        <v>0.0</v>
      </c>
      <c r="X370" s="482">
        <v>0.0</v>
      </c>
      <c r="Y370" s="482">
        <v>0.0</v>
      </c>
      <c r="Z370" s="482">
        <v>0.0</v>
      </c>
      <c r="AA370" s="482">
        <v>0.0</v>
      </c>
    </row>
    <row r="371" ht="12.75" customHeight="1">
      <c r="A371" s="24"/>
      <c r="B371" s="24"/>
      <c r="C371" s="24"/>
      <c r="D371" s="24"/>
      <c r="E371" s="24"/>
      <c r="F371" s="24"/>
      <c r="G371" s="474">
        <v>46569.0</v>
      </c>
      <c r="H371" s="486"/>
      <c r="I371" s="486"/>
      <c r="J371" s="486"/>
      <c r="K371" s="486"/>
      <c r="L371" s="486"/>
      <c r="M371" s="486"/>
      <c r="N371" s="486"/>
      <c r="O371" s="486"/>
      <c r="P371" s="486"/>
      <c r="Q371" s="24"/>
      <c r="R371" s="476">
        <v>46569.0</v>
      </c>
      <c r="S371" s="482">
        <v>0.0</v>
      </c>
      <c r="T371" s="482">
        <v>0.0</v>
      </c>
      <c r="U371" s="482">
        <v>0.0</v>
      </c>
      <c r="V371" s="482">
        <v>0.0</v>
      </c>
      <c r="W371" s="482">
        <v>0.0</v>
      </c>
      <c r="X371" s="482">
        <v>0.0</v>
      </c>
      <c r="Y371" s="482">
        <v>0.0</v>
      </c>
      <c r="Z371" s="482">
        <v>0.0</v>
      </c>
      <c r="AA371" s="482">
        <v>0.0</v>
      </c>
    </row>
    <row r="372" ht="12.75" customHeight="1">
      <c r="A372" s="24"/>
      <c r="B372" s="24"/>
      <c r="C372" s="24"/>
      <c r="D372" s="24"/>
      <c r="E372" s="24"/>
      <c r="F372" s="24"/>
      <c r="G372" s="474">
        <v>46600.0</v>
      </c>
      <c r="H372" s="486"/>
      <c r="I372" s="486"/>
      <c r="J372" s="486"/>
      <c r="K372" s="486"/>
      <c r="L372" s="486"/>
      <c r="M372" s="486"/>
      <c r="N372" s="486"/>
      <c r="O372" s="486"/>
      <c r="P372" s="486"/>
      <c r="Q372" s="24"/>
      <c r="R372" s="476">
        <v>46600.0</v>
      </c>
      <c r="S372" s="482">
        <v>0.0</v>
      </c>
      <c r="T372" s="482">
        <v>0.0</v>
      </c>
      <c r="U372" s="482">
        <v>0.0</v>
      </c>
      <c r="V372" s="482">
        <v>0.0</v>
      </c>
      <c r="W372" s="482">
        <v>0.0</v>
      </c>
      <c r="X372" s="482">
        <v>0.0</v>
      </c>
      <c r="Y372" s="482">
        <v>0.0</v>
      </c>
      <c r="Z372" s="482">
        <v>0.0</v>
      </c>
      <c r="AA372" s="482">
        <v>0.0</v>
      </c>
    </row>
    <row r="373" ht="12.75" customHeight="1">
      <c r="A373" s="24"/>
      <c r="B373" s="24"/>
      <c r="C373" s="24"/>
      <c r="D373" s="24"/>
      <c r="E373" s="24"/>
      <c r="F373" s="24"/>
      <c r="G373" s="474">
        <v>46631.0</v>
      </c>
      <c r="H373" s="486"/>
      <c r="I373" s="486"/>
      <c r="J373" s="486"/>
      <c r="K373" s="486"/>
      <c r="L373" s="486"/>
      <c r="M373" s="486"/>
      <c r="N373" s="486"/>
      <c r="O373" s="486"/>
      <c r="P373" s="486"/>
      <c r="Q373" s="24"/>
      <c r="R373" s="476">
        <v>46631.0</v>
      </c>
      <c r="S373" s="482">
        <v>0.0</v>
      </c>
      <c r="T373" s="482">
        <v>0.0</v>
      </c>
      <c r="U373" s="482">
        <v>0.0</v>
      </c>
      <c r="V373" s="482">
        <v>0.0</v>
      </c>
      <c r="W373" s="482">
        <v>0.0</v>
      </c>
      <c r="X373" s="482">
        <v>0.0</v>
      </c>
      <c r="Y373" s="482">
        <v>0.0</v>
      </c>
      <c r="Z373" s="482">
        <v>0.0</v>
      </c>
      <c r="AA373" s="482">
        <v>0.0</v>
      </c>
    </row>
    <row r="374" ht="12.75" customHeight="1">
      <c r="A374" s="24"/>
      <c r="B374" s="24"/>
      <c r="C374" s="24"/>
      <c r="D374" s="24"/>
      <c r="E374" s="24"/>
      <c r="F374" s="24"/>
      <c r="G374" s="474">
        <v>46661.0</v>
      </c>
      <c r="H374" s="486"/>
      <c r="I374" s="486"/>
      <c r="J374" s="486"/>
      <c r="K374" s="486"/>
      <c r="L374" s="486"/>
      <c r="M374" s="486"/>
      <c r="N374" s="486"/>
      <c r="O374" s="486"/>
      <c r="P374" s="486"/>
      <c r="Q374" s="24"/>
      <c r="R374" s="476">
        <v>46661.0</v>
      </c>
      <c r="S374" s="482">
        <v>0.0</v>
      </c>
      <c r="T374" s="482">
        <v>0.0</v>
      </c>
      <c r="U374" s="482">
        <v>0.0</v>
      </c>
      <c r="V374" s="482">
        <v>0.0</v>
      </c>
      <c r="W374" s="482">
        <v>0.0</v>
      </c>
      <c r="X374" s="482">
        <v>0.0</v>
      </c>
      <c r="Y374" s="482">
        <v>0.0</v>
      </c>
      <c r="Z374" s="482">
        <v>0.0</v>
      </c>
      <c r="AA374" s="482">
        <v>0.0</v>
      </c>
    </row>
    <row r="375" ht="12.75" customHeight="1">
      <c r="A375" s="24"/>
      <c r="B375" s="24"/>
      <c r="C375" s="24"/>
      <c r="D375" s="24"/>
      <c r="E375" s="24"/>
      <c r="F375" s="24"/>
      <c r="G375" s="474">
        <v>46692.0</v>
      </c>
      <c r="H375" s="486"/>
      <c r="I375" s="486"/>
      <c r="J375" s="486"/>
      <c r="K375" s="486"/>
      <c r="L375" s="486"/>
      <c r="M375" s="486"/>
      <c r="N375" s="486"/>
      <c r="O375" s="486"/>
      <c r="P375" s="486"/>
      <c r="Q375" s="24"/>
      <c r="R375" s="476">
        <v>46692.0</v>
      </c>
      <c r="S375" s="482">
        <v>0.0</v>
      </c>
      <c r="T375" s="482">
        <v>0.0</v>
      </c>
      <c r="U375" s="482">
        <v>0.0</v>
      </c>
      <c r="V375" s="482">
        <v>0.0</v>
      </c>
      <c r="W375" s="482">
        <v>0.0</v>
      </c>
      <c r="X375" s="482">
        <v>0.0</v>
      </c>
      <c r="Y375" s="482">
        <v>0.0</v>
      </c>
      <c r="Z375" s="482">
        <v>0.0</v>
      </c>
      <c r="AA375" s="482">
        <v>0.0</v>
      </c>
    </row>
    <row r="376" ht="12.75" customHeight="1">
      <c r="A376" s="24"/>
      <c r="B376" s="24"/>
      <c r="C376" s="24"/>
      <c r="D376" s="24"/>
      <c r="E376" s="24"/>
      <c r="F376" s="24"/>
      <c r="G376" s="474">
        <v>46722.0</v>
      </c>
      <c r="H376" s="486"/>
      <c r="I376" s="486"/>
      <c r="J376" s="486"/>
      <c r="K376" s="486"/>
      <c r="L376" s="486"/>
      <c r="M376" s="486"/>
      <c r="N376" s="486"/>
      <c r="O376" s="486"/>
      <c r="P376" s="486"/>
      <c r="Q376" s="24"/>
      <c r="R376" s="476">
        <v>46722.0</v>
      </c>
      <c r="S376" s="482">
        <v>0.0</v>
      </c>
      <c r="T376" s="482">
        <v>0.0</v>
      </c>
      <c r="U376" s="482">
        <v>0.0</v>
      </c>
      <c r="V376" s="482">
        <v>0.0</v>
      </c>
      <c r="W376" s="482">
        <v>0.0</v>
      </c>
      <c r="X376" s="482">
        <v>0.0</v>
      </c>
      <c r="Y376" s="482">
        <v>0.0</v>
      </c>
      <c r="Z376" s="482">
        <v>0.0</v>
      </c>
      <c r="AA376" s="482">
        <v>0.0</v>
      </c>
    </row>
    <row r="377" ht="12.75" customHeight="1">
      <c r="A377" s="24"/>
      <c r="B377" s="24"/>
      <c r="C377" s="24"/>
      <c r="D377" s="24"/>
      <c r="E377" s="24"/>
      <c r="F377" s="24"/>
      <c r="G377" s="470"/>
      <c r="H377" s="24"/>
      <c r="I377" s="24"/>
      <c r="J377" s="24"/>
      <c r="K377" s="24"/>
      <c r="L377" s="24"/>
      <c r="M377" s="24"/>
      <c r="N377" s="24"/>
      <c r="O377" s="24"/>
      <c r="P377" s="24"/>
      <c r="Q377" s="24"/>
      <c r="R377" s="471"/>
      <c r="S377" s="481"/>
      <c r="T377" s="481"/>
      <c r="U377" s="481"/>
      <c r="V377" s="481"/>
      <c r="W377" s="481"/>
      <c r="X377" s="481"/>
      <c r="Y377" s="481"/>
      <c r="Z377" s="481"/>
      <c r="AA377" s="481"/>
    </row>
    <row r="378" ht="12.75" customHeight="1">
      <c r="A378" s="24"/>
      <c r="B378" s="24"/>
      <c r="C378" s="24"/>
      <c r="D378" s="24"/>
      <c r="E378" s="24"/>
      <c r="F378" s="24"/>
      <c r="G378" s="474">
        <v>46753.0</v>
      </c>
      <c r="H378" s="486"/>
      <c r="I378" s="486"/>
      <c r="J378" s="486"/>
      <c r="K378" s="486"/>
      <c r="L378" s="486"/>
      <c r="M378" s="486"/>
      <c r="N378" s="486"/>
      <c r="O378" s="486"/>
      <c r="P378" s="486"/>
      <c r="Q378" s="24"/>
      <c r="R378" s="476">
        <v>46753.0</v>
      </c>
      <c r="S378" s="482">
        <v>0.0</v>
      </c>
      <c r="T378" s="482">
        <v>0.0</v>
      </c>
      <c r="U378" s="482">
        <v>0.0</v>
      </c>
      <c r="V378" s="482">
        <v>0.0</v>
      </c>
      <c r="W378" s="482">
        <v>0.0</v>
      </c>
      <c r="X378" s="482">
        <v>0.0</v>
      </c>
      <c r="Y378" s="482">
        <v>0.0</v>
      </c>
      <c r="Z378" s="482">
        <v>0.0</v>
      </c>
      <c r="AA378" s="482">
        <v>0.0</v>
      </c>
    </row>
    <row r="379" ht="12.75" customHeight="1">
      <c r="A379" s="24"/>
      <c r="B379" s="24"/>
      <c r="C379" s="24"/>
      <c r="D379" s="24"/>
      <c r="E379" s="24"/>
      <c r="F379" s="24"/>
      <c r="G379" s="474">
        <v>46784.0</v>
      </c>
      <c r="H379" s="486"/>
      <c r="I379" s="486"/>
      <c r="J379" s="486"/>
      <c r="K379" s="486"/>
      <c r="L379" s="486"/>
      <c r="M379" s="486"/>
      <c r="N379" s="486"/>
      <c r="O379" s="486"/>
      <c r="P379" s="486"/>
      <c r="Q379" s="24"/>
      <c r="R379" s="476">
        <v>46784.0</v>
      </c>
      <c r="S379" s="482">
        <v>0.0</v>
      </c>
      <c r="T379" s="482">
        <v>0.0</v>
      </c>
      <c r="U379" s="482">
        <v>0.0</v>
      </c>
      <c r="V379" s="482">
        <v>0.0</v>
      </c>
      <c r="W379" s="482">
        <v>0.0</v>
      </c>
      <c r="X379" s="482">
        <v>0.0</v>
      </c>
      <c r="Y379" s="482">
        <v>0.0</v>
      </c>
      <c r="Z379" s="482">
        <v>0.0</v>
      </c>
      <c r="AA379" s="482">
        <v>0.0</v>
      </c>
    </row>
    <row r="380" ht="12.75" customHeight="1">
      <c r="A380" s="24"/>
      <c r="B380" s="24"/>
      <c r="C380" s="24"/>
      <c r="D380" s="24"/>
      <c r="E380" s="24"/>
      <c r="F380" s="24"/>
      <c r="G380" s="474">
        <v>46813.0</v>
      </c>
      <c r="H380" s="486"/>
      <c r="I380" s="486"/>
      <c r="J380" s="486"/>
      <c r="K380" s="486"/>
      <c r="L380" s="486"/>
      <c r="M380" s="486"/>
      <c r="N380" s="486"/>
      <c r="O380" s="486"/>
      <c r="P380" s="486"/>
      <c r="Q380" s="24"/>
      <c r="R380" s="476">
        <v>46813.0</v>
      </c>
      <c r="S380" s="482">
        <v>0.0</v>
      </c>
      <c r="T380" s="482">
        <v>0.0</v>
      </c>
      <c r="U380" s="482">
        <v>0.0</v>
      </c>
      <c r="V380" s="482">
        <v>0.0</v>
      </c>
      <c r="W380" s="482">
        <v>0.0</v>
      </c>
      <c r="X380" s="482">
        <v>0.0</v>
      </c>
      <c r="Y380" s="482">
        <v>0.0</v>
      </c>
      <c r="Z380" s="482">
        <v>0.0</v>
      </c>
      <c r="AA380" s="482">
        <v>0.0</v>
      </c>
    </row>
    <row r="381" ht="12.75" customHeight="1">
      <c r="A381" s="24"/>
      <c r="B381" s="24"/>
      <c r="C381" s="24"/>
      <c r="D381" s="24"/>
      <c r="E381" s="24"/>
      <c r="F381" s="24"/>
      <c r="G381" s="474">
        <v>46844.0</v>
      </c>
      <c r="H381" s="486"/>
      <c r="I381" s="486"/>
      <c r="J381" s="486"/>
      <c r="K381" s="486"/>
      <c r="L381" s="486"/>
      <c r="M381" s="486"/>
      <c r="N381" s="486"/>
      <c r="O381" s="486"/>
      <c r="P381" s="486"/>
      <c r="Q381" s="24"/>
      <c r="R381" s="476">
        <v>46844.0</v>
      </c>
      <c r="S381" s="482">
        <v>0.0</v>
      </c>
      <c r="T381" s="482">
        <v>0.0</v>
      </c>
      <c r="U381" s="482">
        <v>0.0</v>
      </c>
      <c r="V381" s="482">
        <v>0.0</v>
      </c>
      <c r="W381" s="482">
        <v>0.0</v>
      </c>
      <c r="X381" s="482">
        <v>0.0</v>
      </c>
      <c r="Y381" s="482">
        <v>0.0</v>
      </c>
      <c r="Z381" s="482">
        <v>0.0</v>
      </c>
      <c r="AA381" s="482">
        <v>0.0</v>
      </c>
    </row>
    <row r="382" ht="12.75" customHeight="1">
      <c r="A382" s="24"/>
      <c r="B382" s="24"/>
      <c r="C382" s="24"/>
      <c r="D382" s="24"/>
      <c r="E382" s="24"/>
      <c r="F382" s="24"/>
      <c r="G382" s="474">
        <v>46874.0</v>
      </c>
      <c r="H382" s="486"/>
      <c r="I382" s="486"/>
      <c r="J382" s="486"/>
      <c r="K382" s="486"/>
      <c r="L382" s="486"/>
      <c r="M382" s="486"/>
      <c r="N382" s="486"/>
      <c r="O382" s="486"/>
      <c r="P382" s="486"/>
      <c r="Q382" s="24"/>
      <c r="R382" s="476">
        <v>46874.0</v>
      </c>
      <c r="S382" s="482">
        <v>0.0</v>
      </c>
      <c r="T382" s="482">
        <v>0.0</v>
      </c>
      <c r="U382" s="482">
        <v>0.0</v>
      </c>
      <c r="V382" s="482">
        <v>0.0</v>
      </c>
      <c r="W382" s="482">
        <v>0.0</v>
      </c>
      <c r="X382" s="482">
        <v>0.0</v>
      </c>
      <c r="Y382" s="482">
        <v>0.0</v>
      </c>
      <c r="Z382" s="482">
        <v>0.0</v>
      </c>
      <c r="AA382" s="482">
        <v>0.0</v>
      </c>
    </row>
    <row r="383" ht="12.75" customHeight="1">
      <c r="A383" s="24"/>
      <c r="B383" s="24"/>
      <c r="C383" s="24"/>
      <c r="D383" s="24"/>
      <c r="E383" s="24"/>
      <c r="F383" s="24"/>
      <c r="G383" s="474">
        <v>46905.0</v>
      </c>
      <c r="H383" s="486"/>
      <c r="I383" s="486"/>
      <c r="J383" s="486"/>
      <c r="K383" s="486"/>
      <c r="L383" s="486"/>
      <c r="M383" s="486"/>
      <c r="N383" s="486"/>
      <c r="O383" s="486"/>
      <c r="P383" s="486"/>
      <c r="Q383" s="24"/>
      <c r="R383" s="476">
        <v>46905.0</v>
      </c>
      <c r="S383" s="482">
        <v>0.0</v>
      </c>
      <c r="T383" s="482">
        <v>0.0</v>
      </c>
      <c r="U383" s="482">
        <v>0.0</v>
      </c>
      <c r="V383" s="482">
        <v>0.0</v>
      </c>
      <c r="W383" s="482">
        <v>0.0</v>
      </c>
      <c r="X383" s="482">
        <v>0.0</v>
      </c>
      <c r="Y383" s="482">
        <v>0.0</v>
      </c>
      <c r="Z383" s="482">
        <v>0.0</v>
      </c>
      <c r="AA383" s="482">
        <v>0.0</v>
      </c>
    </row>
    <row r="384" ht="12.75" customHeight="1">
      <c r="A384" s="24"/>
      <c r="B384" s="24"/>
      <c r="C384" s="24"/>
      <c r="D384" s="24"/>
      <c r="E384" s="24"/>
      <c r="F384" s="24"/>
      <c r="G384" s="474">
        <v>46935.0</v>
      </c>
      <c r="H384" s="486"/>
      <c r="I384" s="486"/>
      <c r="J384" s="486"/>
      <c r="K384" s="486"/>
      <c r="L384" s="486"/>
      <c r="M384" s="486"/>
      <c r="N384" s="486"/>
      <c r="O384" s="486"/>
      <c r="P384" s="486"/>
      <c r="Q384" s="24"/>
      <c r="R384" s="476">
        <v>46935.0</v>
      </c>
      <c r="S384" s="482">
        <v>0.0</v>
      </c>
      <c r="T384" s="482">
        <v>0.0</v>
      </c>
      <c r="U384" s="482">
        <v>0.0</v>
      </c>
      <c r="V384" s="482">
        <v>0.0</v>
      </c>
      <c r="W384" s="482">
        <v>0.0</v>
      </c>
      <c r="X384" s="482">
        <v>0.0</v>
      </c>
      <c r="Y384" s="482">
        <v>0.0</v>
      </c>
      <c r="Z384" s="482">
        <v>0.0</v>
      </c>
      <c r="AA384" s="482">
        <v>0.0</v>
      </c>
    </row>
    <row r="385" ht="12.75" customHeight="1">
      <c r="A385" s="24"/>
      <c r="B385" s="24"/>
      <c r="C385" s="24"/>
      <c r="D385" s="24"/>
      <c r="E385" s="24"/>
      <c r="F385" s="24"/>
      <c r="G385" s="474">
        <v>46966.0</v>
      </c>
      <c r="H385" s="486"/>
      <c r="I385" s="486"/>
      <c r="J385" s="486"/>
      <c r="K385" s="486"/>
      <c r="L385" s="486"/>
      <c r="M385" s="486"/>
      <c r="N385" s="486"/>
      <c r="O385" s="486"/>
      <c r="P385" s="486"/>
      <c r="Q385" s="24"/>
      <c r="R385" s="476">
        <v>46966.0</v>
      </c>
      <c r="S385" s="482">
        <v>0.0</v>
      </c>
      <c r="T385" s="482">
        <v>0.0</v>
      </c>
      <c r="U385" s="482">
        <v>0.0</v>
      </c>
      <c r="V385" s="482">
        <v>0.0</v>
      </c>
      <c r="W385" s="482">
        <v>0.0</v>
      </c>
      <c r="X385" s="482">
        <v>0.0</v>
      </c>
      <c r="Y385" s="482">
        <v>0.0</v>
      </c>
      <c r="Z385" s="482">
        <v>0.0</v>
      </c>
      <c r="AA385" s="482">
        <v>0.0</v>
      </c>
    </row>
    <row r="386" ht="12.75" customHeight="1">
      <c r="A386" s="24"/>
      <c r="B386" s="24"/>
      <c r="C386" s="24"/>
      <c r="D386" s="24"/>
      <c r="E386" s="24"/>
      <c r="F386" s="24"/>
      <c r="G386" s="474">
        <v>46997.0</v>
      </c>
      <c r="H386" s="486"/>
      <c r="I386" s="486"/>
      <c r="J386" s="486"/>
      <c r="K386" s="486"/>
      <c r="L386" s="486"/>
      <c r="M386" s="486"/>
      <c r="N386" s="486"/>
      <c r="O386" s="486"/>
      <c r="P386" s="486"/>
      <c r="Q386" s="24"/>
      <c r="R386" s="476">
        <v>46997.0</v>
      </c>
      <c r="S386" s="482">
        <v>0.0</v>
      </c>
      <c r="T386" s="482">
        <v>0.0</v>
      </c>
      <c r="U386" s="482">
        <v>0.0</v>
      </c>
      <c r="V386" s="482">
        <v>0.0</v>
      </c>
      <c r="W386" s="482">
        <v>0.0</v>
      </c>
      <c r="X386" s="482">
        <v>0.0</v>
      </c>
      <c r="Y386" s="482">
        <v>0.0</v>
      </c>
      <c r="Z386" s="482">
        <v>0.0</v>
      </c>
      <c r="AA386" s="482">
        <v>0.0</v>
      </c>
    </row>
    <row r="387" ht="12.75" customHeight="1">
      <c r="A387" s="24"/>
      <c r="B387" s="24"/>
      <c r="C387" s="24"/>
      <c r="D387" s="24"/>
      <c r="E387" s="24"/>
      <c r="F387" s="24"/>
      <c r="G387" s="474">
        <v>47027.0</v>
      </c>
      <c r="H387" s="486"/>
      <c r="I387" s="486"/>
      <c r="J387" s="486"/>
      <c r="K387" s="486"/>
      <c r="L387" s="486"/>
      <c r="M387" s="486"/>
      <c r="N387" s="486"/>
      <c r="O387" s="486"/>
      <c r="P387" s="486"/>
      <c r="Q387" s="24"/>
      <c r="R387" s="476">
        <v>47027.0</v>
      </c>
      <c r="S387" s="482">
        <v>0.0</v>
      </c>
      <c r="T387" s="482">
        <v>0.0</v>
      </c>
      <c r="U387" s="482">
        <v>0.0</v>
      </c>
      <c r="V387" s="482">
        <v>0.0</v>
      </c>
      <c r="W387" s="482">
        <v>0.0</v>
      </c>
      <c r="X387" s="482">
        <v>0.0</v>
      </c>
      <c r="Y387" s="482">
        <v>0.0</v>
      </c>
      <c r="Z387" s="482">
        <v>0.0</v>
      </c>
      <c r="AA387" s="482">
        <v>0.0</v>
      </c>
    </row>
    <row r="388" ht="12.75" customHeight="1">
      <c r="A388" s="24"/>
      <c r="B388" s="24"/>
      <c r="C388" s="24"/>
      <c r="D388" s="24"/>
      <c r="E388" s="24"/>
      <c r="F388" s="24"/>
      <c r="G388" s="474">
        <v>47058.0</v>
      </c>
      <c r="H388" s="486"/>
      <c r="I388" s="486"/>
      <c r="J388" s="486"/>
      <c r="K388" s="486"/>
      <c r="L388" s="486"/>
      <c r="M388" s="486"/>
      <c r="N388" s="486"/>
      <c r="O388" s="486"/>
      <c r="P388" s="486"/>
      <c r="Q388" s="24"/>
      <c r="R388" s="476">
        <v>47058.0</v>
      </c>
      <c r="S388" s="482">
        <v>0.0</v>
      </c>
      <c r="T388" s="482">
        <v>0.0</v>
      </c>
      <c r="U388" s="482">
        <v>0.0</v>
      </c>
      <c r="V388" s="482">
        <v>0.0</v>
      </c>
      <c r="W388" s="482">
        <v>0.0</v>
      </c>
      <c r="X388" s="482">
        <v>0.0</v>
      </c>
      <c r="Y388" s="482">
        <v>0.0</v>
      </c>
      <c r="Z388" s="482">
        <v>0.0</v>
      </c>
      <c r="AA388" s="482">
        <v>0.0</v>
      </c>
    </row>
    <row r="389" ht="12.75" customHeight="1">
      <c r="A389" s="24"/>
      <c r="B389" s="24"/>
      <c r="C389" s="24"/>
      <c r="D389" s="24"/>
      <c r="E389" s="24"/>
      <c r="F389" s="24"/>
      <c r="G389" s="474">
        <v>47088.0</v>
      </c>
      <c r="H389" s="486"/>
      <c r="I389" s="486"/>
      <c r="J389" s="486"/>
      <c r="K389" s="486"/>
      <c r="L389" s="486"/>
      <c r="M389" s="486"/>
      <c r="N389" s="486"/>
      <c r="O389" s="486"/>
      <c r="P389" s="486"/>
      <c r="Q389" s="24"/>
      <c r="R389" s="476">
        <v>47088.0</v>
      </c>
      <c r="S389" s="482">
        <v>0.0</v>
      </c>
      <c r="T389" s="482">
        <v>0.0</v>
      </c>
      <c r="U389" s="482">
        <v>0.0</v>
      </c>
      <c r="V389" s="482">
        <v>0.0</v>
      </c>
      <c r="W389" s="482">
        <v>0.0</v>
      </c>
      <c r="X389" s="482">
        <v>0.0</v>
      </c>
      <c r="Y389" s="482">
        <v>0.0</v>
      </c>
      <c r="Z389" s="482">
        <v>0.0</v>
      </c>
      <c r="AA389" s="482">
        <v>0.0</v>
      </c>
    </row>
    <row r="390" ht="12.75" customHeight="1">
      <c r="A390" s="24"/>
      <c r="B390" s="24"/>
      <c r="C390" s="24"/>
      <c r="D390" s="24"/>
      <c r="E390" s="24"/>
      <c r="F390" s="24"/>
      <c r="G390" s="470"/>
      <c r="H390" s="24"/>
      <c r="I390" s="24"/>
      <c r="J390" s="24"/>
      <c r="K390" s="24"/>
      <c r="L390" s="24"/>
      <c r="M390" s="24"/>
      <c r="N390" s="24"/>
      <c r="O390" s="24"/>
      <c r="P390" s="24"/>
      <c r="Q390" s="24"/>
      <c r="R390" s="471"/>
      <c r="S390" s="481"/>
      <c r="T390" s="481"/>
      <c r="U390" s="481"/>
      <c r="V390" s="481"/>
      <c r="W390" s="481"/>
      <c r="X390" s="481"/>
      <c r="Y390" s="481"/>
      <c r="Z390" s="481"/>
      <c r="AA390" s="481"/>
    </row>
    <row r="391" ht="12.75" customHeight="1">
      <c r="A391" s="24"/>
      <c r="B391" s="24"/>
      <c r="C391" s="24"/>
      <c r="D391" s="24"/>
      <c r="E391" s="24"/>
      <c r="F391" s="24"/>
      <c r="G391" s="474">
        <v>47119.0</v>
      </c>
      <c r="H391" s="486"/>
      <c r="I391" s="486"/>
      <c r="J391" s="486"/>
      <c r="K391" s="486"/>
      <c r="L391" s="486"/>
      <c r="M391" s="486"/>
      <c r="N391" s="486"/>
      <c r="O391" s="486"/>
      <c r="P391" s="486"/>
      <c r="Q391" s="24"/>
      <c r="R391" s="476">
        <v>47119.0</v>
      </c>
      <c r="S391" s="482">
        <v>0.0</v>
      </c>
      <c r="T391" s="482">
        <v>0.0</v>
      </c>
      <c r="U391" s="482">
        <v>0.0</v>
      </c>
      <c r="V391" s="482">
        <v>0.0</v>
      </c>
      <c r="W391" s="482">
        <v>0.0</v>
      </c>
      <c r="X391" s="482">
        <v>0.0</v>
      </c>
      <c r="Y391" s="482">
        <v>0.0</v>
      </c>
      <c r="Z391" s="482">
        <v>0.0</v>
      </c>
      <c r="AA391" s="482">
        <v>0.0</v>
      </c>
    </row>
    <row r="392" ht="12.75" customHeight="1">
      <c r="A392" s="24"/>
      <c r="B392" s="24"/>
      <c r="C392" s="24"/>
      <c r="D392" s="24"/>
      <c r="E392" s="24"/>
      <c r="F392" s="24"/>
      <c r="G392" s="474">
        <v>47150.0</v>
      </c>
      <c r="H392" s="486"/>
      <c r="I392" s="486"/>
      <c r="J392" s="486"/>
      <c r="K392" s="486"/>
      <c r="L392" s="486"/>
      <c r="M392" s="486"/>
      <c r="N392" s="486"/>
      <c r="O392" s="486"/>
      <c r="P392" s="486"/>
      <c r="Q392" s="24"/>
      <c r="R392" s="476">
        <v>47150.0</v>
      </c>
      <c r="S392" s="482">
        <v>0.0</v>
      </c>
      <c r="T392" s="482">
        <v>0.0</v>
      </c>
      <c r="U392" s="482">
        <v>0.0</v>
      </c>
      <c r="V392" s="482">
        <v>0.0</v>
      </c>
      <c r="W392" s="482">
        <v>0.0</v>
      </c>
      <c r="X392" s="482">
        <v>0.0</v>
      </c>
      <c r="Y392" s="482">
        <v>0.0</v>
      </c>
      <c r="Z392" s="482">
        <v>0.0</v>
      </c>
      <c r="AA392" s="482">
        <v>0.0</v>
      </c>
    </row>
    <row r="393" ht="12.75" customHeight="1">
      <c r="A393" s="24"/>
      <c r="B393" s="24"/>
      <c r="C393" s="24"/>
      <c r="D393" s="24"/>
      <c r="E393" s="24"/>
      <c r="F393" s="24"/>
      <c r="G393" s="474">
        <v>47178.0</v>
      </c>
      <c r="H393" s="486"/>
      <c r="I393" s="486"/>
      <c r="J393" s="486"/>
      <c r="K393" s="486"/>
      <c r="L393" s="486"/>
      <c r="M393" s="486"/>
      <c r="N393" s="486"/>
      <c r="O393" s="486"/>
      <c r="P393" s="486"/>
      <c r="Q393" s="24"/>
      <c r="R393" s="476">
        <v>47178.0</v>
      </c>
      <c r="S393" s="482">
        <v>0.0</v>
      </c>
      <c r="T393" s="482">
        <v>0.0</v>
      </c>
      <c r="U393" s="482">
        <v>0.0</v>
      </c>
      <c r="V393" s="482">
        <v>0.0</v>
      </c>
      <c r="W393" s="482">
        <v>0.0</v>
      </c>
      <c r="X393" s="482">
        <v>0.0</v>
      </c>
      <c r="Y393" s="482">
        <v>0.0</v>
      </c>
      <c r="Z393" s="482">
        <v>0.0</v>
      </c>
      <c r="AA393" s="482">
        <v>0.0</v>
      </c>
    </row>
    <row r="394" ht="12.75" customHeight="1">
      <c r="A394" s="24"/>
      <c r="B394" s="24"/>
      <c r="C394" s="24"/>
      <c r="D394" s="24"/>
      <c r="E394" s="24"/>
      <c r="F394" s="24"/>
      <c r="G394" s="474">
        <v>47209.0</v>
      </c>
      <c r="H394" s="486"/>
      <c r="I394" s="486"/>
      <c r="J394" s="486"/>
      <c r="K394" s="486"/>
      <c r="L394" s="486"/>
      <c r="M394" s="486"/>
      <c r="N394" s="486"/>
      <c r="O394" s="486"/>
      <c r="P394" s="486"/>
      <c r="Q394" s="24"/>
      <c r="R394" s="476">
        <v>47209.0</v>
      </c>
      <c r="S394" s="482">
        <v>0.0</v>
      </c>
      <c r="T394" s="482">
        <v>0.0</v>
      </c>
      <c r="U394" s="482">
        <v>0.0</v>
      </c>
      <c r="V394" s="482">
        <v>0.0</v>
      </c>
      <c r="W394" s="482">
        <v>0.0</v>
      </c>
      <c r="X394" s="482">
        <v>0.0</v>
      </c>
      <c r="Y394" s="482">
        <v>0.0</v>
      </c>
      <c r="Z394" s="482">
        <v>0.0</v>
      </c>
      <c r="AA394" s="482">
        <v>0.0</v>
      </c>
    </row>
    <row r="395" ht="12.75" customHeight="1">
      <c r="A395" s="24"/>
      <c r="B395" s="24"/>
      <c r="C395" s="24"/>
      <c r="D395" s="24"/>
      <c r="E395" s="24"/>
      <c r="F395" s="24"/>
      <c r="G395" s="474">
        <v>47239.0</v>
      </c>
      <c r="H395" s="486"/>
      <c r="I395" s="486"/>
      <c r="J395" s="486"/>
      <c r="K395" s="486"/>
      <c r="L395" s="486"/>
      <c r="M395" s="486"/>
      <c r="N395" s="486"/>
      <c r="O395" s="486"/>
      <c r="P395" s="486"/>
      <c r="Q395" s="24"/>
      <c r="R395" s="476">
        <v>47239.0</v>
      </c>
      <c r="S395" s="482">
        <v>0.0</v>
      </c>
      <c r="T395" s="482">
        <v>0.0</v>
      </c>
      <c r="U395" s="482">
        <v>0.0</v>
      </c>
      <c r="V395" s="482">
        <v>0.0</v>
      </c>
      <c r="W395" s="482">
        <v>0.0</v>
      </c>
      <c r="X395" s="482">
        <v>0.0</v>
      </c>
      <c r="Y395" s="482">
        <v>0.0</v>
      </c>
      <c r="Z395" s="482">
        <v>0.0</v>
      </c>
      <c r="AA395" s="482">
        <v>0.0</v>
      </c>
    </row>
    <row r="396" ht="12.75" customHeight="1">
      <c r="A396" s="24"/>
      <c r="B396" s="24"/>
      <c r="C396" s="24"/>
      <c r="D396" s="24"/>
      <c r="E396" s="24"/>
      <c r="F396" s="24"/>
      <c r="G396" s="474">
        <v>47270.0</v>
      </c>
      <c r="H396" s="486"/>
      <c r="I396" s="486"/>
      <c r="J396" s="486"/>
      <c r="K396" s="486"/>
      <c r="L396" s="486"/>
      <c r="M396" s="486"/>
      <c r="N396" s="486"/>
      <c r="O396" s="486"/>
      <c r="P396" s="486"/>
      <c r="Q396" s="24"/>
      <c r="R396" s="476">
        <v>47270.0</v>
      </c>
      <c r="S396" s="482">
        <v>0.0</v>
      </c>
      <c r="T396" s="482">
        <v>0.0</v>
      </c>
      <c r="U396" s="482">
        <v>0.0</v>
      </c>
      <c r="V396" s="482">
        <v>0.0</v>
      </c>
      <c r="W396" s="482">
        <v>0.0</v>
      </c>
      <c r="X396" s="482">
        <v>0.0</v>
      </c>
      <c r="Y396" s="482">
        <v>0.0</v>
      </c>
      <c r="Z396" s="482">
        <v>0.0</v>
      </c>
      <c r="AA396" s="482">
        <v>0.0</v>
      </c>
    </row>
    <row r="397" ht="12.75" customHeight="1">
      <c r="A397" s="24"/>
      <c r="B397" s="24"/>
      <c r="C397" s="24"/>
      <c r="D397" s="24"/>
      <c r="E397" s="24"/>
      <c r="F397" s="24"/>
      <c r="G397" s="474">
        <v>47300.0</v>
      </c>
      <c r="H397" s="486"/>
      <c r="I397" s="486"/>
      <c r="J397" s="486"/>
      <c r="K397" s="486"/>
      <c r="L397" s="486"/>
      <c r="M397" s="486"/>
      <c r="N397" s="486"/>
      <c r="O397" s="486"/>
      <c r="P397" s="486"/>
      <c r="Q397" s="24"/>
      <c r="R397" s="476">
        <v>47300.0</v>
      </c>
      <c r="S397" s="482">
        <v>0.0</v>
      </c>
      <c r="T397" s="482">
        <v>0.0</v>
      </c>
      <c r="U397" s="482">
        <v>0.0</v>
      </c>
      <c r="V397" s="482">
        <v>0.0</v>
      </c>
      <c r="W397" s="482">
        <v>0.0</v>
      </c>
      <c r="X397" s="482">
        <v>0.0</v>
      </c>
      <c r="Y397" s="482">
        <v>0.0</v>
      </c>
      <c r="Z397" s="482">
        <v>0.0</v>
      </c>
      <c r="AA397" s="482">
        <v>0.0</v>
      </c>
    </row>
    <row r="398" ht="12.75" customHeight="1">
      <c r="A398" s="24"/>
      <c r="B398" s="24"/>
      <c r="C398" s="24"/>
      <c r="D398" s="24"/>
      <c r="E398" s="24"/>
      <c r="F398" s="24"/>
      <c r="G398" s="474">
        <v>47331.0</v>
      </c>
      <c r="H398" s="486"/>
      <c r="I398" s="486"/>
      <c r="J398" s="486"/>
      <c r="K398" s="486"/>
      <c r="L398" s="486"/>
      <c r="M398" s="486"/>
      <c r="N398" s="486"/>
      <c r="O398" s="486"/>
      <c r="P398" s="486"/>
      <c r="Q398" s="24"/>
      <c r="R398" s="476">
        <v>47331.0</v>
      </c>
      <c r="S398" s="482">
        <v>0.0</v>
      </c>
      <c r="T398" s="482">
        <v>0.0</v>
      </c>
      <c r="U398" s="482">
        <v>0.0</v>
      </c>
      <c r="V398" s="482">
        <v>0.0</v>
      </c>
      <c r="W398" s="482">
        <v>0.0</v>
      </c>
      <c r="X398" s="482">
        <v>0.0</v>
      </c>
      <c r="Y398" s="482">
        <v>0.0</v>
      </c>
      <c r="Z398" s="482">
        <v>0.0</v>
      </c>
      <c r="AA398" s="482">
        <v>0.0</v>
      </c>
    </row>
    <row r="399" ht="12.75" customHeight="1">
      <c r="A399" s="24"/>
      <c r="B399" s="24"/>
      <c r="C399" s="24"/>
      <c r="D399" s="24"/>
      <c r="E399" s="24"/>
      <c r="F399" s="24"/>
      <c r="G399" s="474">
        <v>47362.0</v>
      </c>
      <c r="H399" s="486"/>
      <c r="I399" s="486"/>
      <c r="J399" s="486"/>
      <c r="K399" s="486"/>
      <c r="L399" s="486"/>
      <c r="M399" s="486"/>
      <c r="N399" s="486"/>
      <c r="O399" s="486"/>
      <c r="P399" s="486"/>
      <c r="Q399" s="24"/>
      <c r="R399" s="476">
        <v>47362.0</v>
      </c>
      <c r="S399" s="482">
        <v>0.0</v>
      </c>
      <c r="T399" s="482">
        <v>0.0</v>
      </c>
      <c r="U399" s="482">
        <v>0.0</v>
      </c>
      <c r="V399" s="482">
        <v>0.0</v>
      </c>
      <c r="W399" s="482">
        <v>0.0</v>
      </c>
      <c r="X399" s="482">
        <v>0.0</v>
      </c>
      <c r="Y399" s="482">
        <v>0.0</v>
      </c>
      <c r="Z399" s="482">
        <v>0.0</v>
      </c>
      <c r="AA399" s="482">
        <v>0.0</v>
      </c>
    </row>
    <row r="400" ht="12.75" customHeight="1">
      <c r="A400" s="24"/>
      <c r="B400" s="24"/>
      <c r="C400" s="24"/>
      <c r="D400" s="24"/>
      <c r="E400" s="24"/>
      <c r="F400" s="24"/>
      <c r="G400" s="474">
        <v>47392.0</v>
      </c>
      <c r="H400" s="486"/>
      <c r="I400" s="486"/>
      <c r="J400" s="486"/>
      <c r="K400" s="486"/>
      <c r="L400" s="486"/>
      <c r="M400" s="486"/>
      <c r="N400" s="486"/>
      <c r="O400" s="486"/>
      <c r="P400" s="486"/>
      <c r="Q400" s="24"/>
      <c r="R400" s="476">
        <v>47392.0</v>
      </c>
      <c r="S400" s="482">
        <v>0.0</v>
      </c>
      <c r="T400" s="482">
        <v>0.0</v>
      </c>
      <c r="U400" s="482">
        <v>0.0</v>
      </c>
      <c r="V400" s="482">
        <v>0.0</v>
      </c>
      <c r="W400" s="482">
        <v>0.0</v>
      </c>
      <c r="X400" s="482">
        <v>0.0</v>
      </c>
      <c r="Y400" s="482">
        <v>0.0</v>
      </c>
      <c r="Z400" s="482">
        <v>0.0</v>
      </c>
      <c r="AA400" s="482">
        <v>0.0</v>
      </c>
    </row>
    <row r="401" ht="12.75" customHeight="1">
      <c r="A401" s="24"/>
      <c r="B401" s="24"/>
      <c r="C401" s="24"/>
      <c r="D401" s="24"/>
      <c r="E401" s="24"/>
      <c r="F401" s="24"/>
      <c r="G401" s="474">
        <v>47423.0</v>
      </c>
      <c r="H401" s="486"/>
      <c r="I401" s="486"/>
      <c r="J401" s="486"/>
      <c r="K401" s="486"/>
      <c r="L401" s="486"/>
      <c r="M401" s="486"/>
      <c r="N401" s="486"/>
      <c r="O401" s="486"/>
      <c r="P401" s="486"/>
      <c r="Q401" s="24"/>
      <c r="R401" s="476">
        <v>47423.0</v>
      </c>
      <c r="S401" s="482">
        <v>0.0</v>
      </c>
      <c r="T401" s="482">
        <v>0.0</v>
      </c>
      <c r="U401" s="482">
        <v>0.0</v>
      </c>
      <c r="V401" s="482">
        <v>0.0</v>
      </c>
      <c r="W401" s="482">
        <v>0.0</v>
      </c>
      <c r="X401" s="482">
        <v>0.0</v>
      </c>
      <c r="Y401" s="482">
        <v>0.0</v>
      </c>
      <c r="Z401" s="482">
        <v>0.0</v>
      </c>
      <c r="AA401" s="482">
        <v>0.0</v>
      </c>
    </row>
    <row r="402" ht="12.75" customHeight="1">
      <c r="A402" s="24"/>
      <c r="B402" s="24"/>
      <c r="C402" s="24"/>
      <c r="D402" s="24"/>
      <c r="E402" s="24"/>
      <c r="F402" s="24"/>
      <c r="G402" s="474">
        <v>47453.0</v>
      </c>
      <c r="H402" s="486"/>
      <c r="I402" s="486"/>
      <c r="J402" s="486"/>
      <c r="K402" s="486"/>
      <c r="L402" s="486"/>
      <c r="M402" s="486"/>
      <c r="N402" s="486"/>
      <c r="O402" s="486"/>
      <c r="P402" s="486"/>
      <c r="Q402" s="24"/>
      <c r="R402" s="476">
        <v>47453.0</v>
      </c>
      <c r="S402" s="482">
        <v>0.0</v>
      </c>
      <c r="T402" s="482">
        <v>0.0</v>
      </c>
      <c r="U402" s="482">
        <v>0.0</v>
      </c>
      <c r="V402" s="482">
        <v>0.0</v>
      </c>
      <c r="W402" s="482">
        <v>0.0</v>
      </c>
      <c r="X402" s="482">
        <v>0.0</v>
      </c>
      <c r="Y402" s="482">
        <v>0.0</v>
      </c>
      <c r="Z402" s="482">
        <v>0.0</v>
      </c>
      <c r="AA402" s="482">
        <v>0.0</v>
      </c>
    </row>
    <row r="403" ht="12.75" customHeight="1">
      <c r="A403" s="24"/>
      <c r="B403" s="24"/>
      <c r="C403" s="24"/>
      <c r="D403" s="24"/>
      <c r="E403" s="24"/>
      <c r="F403" s="24"/>
      <c r="G403" s="470"/>
      <c r="H403" s="24"/>
      <c r="I403" s="24"/>
      <c r="J403" s="24"/>
      <c r="K403" s="24"/>
      <c r="L403" s="24"/>
      <c r="M403" s="24"/>
      <c r="N403" s="24"/>
      <c r="O403" s="24"/>
      <c r="P403" s="24"/>
      <c r="Q403" s="24"/>
      <c r="R403" s="471"/>
      <c r="S403" s="481"/>
      <c r="T403" s="481"/>
      <c r="U403" s="481"/>
      <c r="V403" s="481"/>
      <c r="W403" s="481"/>
      <c r="X403" s="481"/>
      <c r="Y403" s="481"/>
      <c r="Z403" s="481"/>
      <c r="AA403" s="481"/>
    </row>
    <row r="404" ht="12.75" customHeight="1">
      <c r="A404" s="24"/>
      <c r="B404" s="24"/>
      <c r="C404" s="24"/>
      <c r="D404" s="24"/>
      <c r="E404" s="24"/>
      <c r="F404" s="24"/>
      <c r="G404" s="474">
        <v>47484.0</v>
      </c>
      <c r="H404" s="486"/>
      <c r="I404" s="486"/>
      <c r="J404" s="486"/>
      <c r="K404" s="486"/>
      <c r="L404" s="486"/>
      <c r="M404" s="486"/>
      <c r="N404" s="486"/>
      <c r="O404" s="486"/>
      <c r="P404" s="486"/>
      <c r="Q404" s="24"/>
      <c r="R404" s="476">
        <v>47484.0</v>
      </c>
      <c r="S404" s="482">
        <v>0.0</v>
      </c>
      <c r="T404" s="482">
        <v>0.0</v>
      </c>
      <c r="U404" s="482">
        <v>0.0</v>
      </c>
      <c r="V404" s="482">
        <v>0.0</v>
      </c>
      <c r="W404" s="482">
        <v>0.0</v>
      </c>
      <c r="X404" s="482">
        <v>0.0</v>
      </c>
      <c r="Y404" s="482">
        <v>0.0</v>
      </c>
      <c r="Z404" s="482">
        <v>0.0</v>
      </c>
      <c r="AA404" s="482">
        <v>0.0</v>
      </c>
    </row>
    <row r="405" ht="12.75" customHeight="1">
      <c r="A405" s="24"/>
      <c r="B405" s="24"/>
      <c r="C405" s="24"/>
      <c r="D405" s="24"/>
      <c r="E405" s="24"/>
      <c r="F405" s="24"/>
      <c r="G405" s="474">
        <v>47515.0</v>
      </c>
      <c r="H405" s="486"/>
      <c r="I405" s="486"/>
      <c r="J405" s="486"/>
      <c r="K405" s="486"/>
      <c r="L405" s="486"/>
      <c r="M405" s="486"/>
      <c r="N405" s="486"/>
      <c r="O405" s="486"/>
      <c r="P405" s="486"/>
      <c r="Q405" s="24"/>
      <c r="R405" s="476">
        <v>47515.0</v>
      </c>
      <c r="S405" s="482">
        <v>0.0</v>
      </c>
      <c r="T405" s="482">
        <v>0.0</v>
      </c>
      <c r="U405" s="482">
        <v>0.0</v>
      </c>
      <c r="V405" s="482">
        <v>0.0</v>
      </c>
      <c r="W405" s="482">
        <v>0.0</v>
      </c>
      <c r="X405" s="482">
        <v>0.0</v>
      </c>
      <c r="Y405" s="482">
        <v>0.0</v>
      </c>
      <c r="Z405" s="482">
        <v>0.0</v>
      </c>
      <c r="AA405" s="482">
        <v>0.0</v>
      </c>
    </row>
    <row r="406" ht="12.75" customHeight="1">
      <c r="A406" s="24"/>
      <c r="B406" s="24"/>
      <c r="C406" s="24"/>
      <c r="D406" s="24"/>
      <c r="E406" s="24"/>
      <c r="F406" s="24"/>
      <c r="G406" s="474">
        <v>47543.0</v>
      </c>
      <c r="H406" s="486"/>
      <c r="I406" s="486"/>
      <c r="J406" s="486"/>
      <c r="K406" s="486"/>
      <c r="L406" s="486"/>
      <c r="M406" s="486"/>
      <c r="N406" s="486"/>
      <c r="O406" s="486"/>
      <c r="P406" s="486"/>
      <c r="Q406" s="24"/>
      <c r="R406" s="476">
        <v>47543.0</v>
      </c>
      <c r="S406" s="482">
        <v>0.0</v>
      </c>
      <c r="T406" s="482">
        <v>0.0</v>
      </c>
      <c r="U406" s="482">
        <v>0.0</v>
      </c>
      <c r="V406" s="482">
        <v>0.0</v>
      </c>
      <c r="W406" s="482">
        <v>0.0</v>
      </c>
      <c r="X406" s="482">
        <v>0.0</v>
      </c>
      <c r="Y406" s="482">
        <v>0.0</v>
      </c>
      <c r="Z406" s="482">
        <v>0.0</v>
      </c>
      <c r="AA406" s="482">
        <v>0.0</v>
      </c>
    </row>
    <row r="407" ht="12.75" customHeight="1">
      <c r="A407" s="24"/>
      <c r="B407" s="24"/>
      <c r="C407" s="24"/>
      <c r="D407" s="24"/>
      <c r="E407" s="24"/>
      <c r="F407" s="24"/>
      <c r="G407" s="474">
        <v>47574.0</v>
      </c>
      <c r="H407" s="486"/>
      <c r="I407" s="486"/>
      <c r="J407" s="486"/>
      <c r="K407" s="486"/>
      <c r="L407" s="486"/>
      <c r="M407" s="486"/>
      <c r="N407" s="486"/>
      <c r="O407" s="486"/>
      <c r="P407" s="486"/>
      <c r="Q407" s="24"/>
      <c r="R407" s="476">
        <v>47574.0</v>
      </c>
      <c r="S407" s="482">
        <v>0.0</v>
      </c>
      <c r="T407" s="482">
        <v>0.0</v>
      </c>
      <c r="U407" s="482">
        <v>0.0</v>
      </c>
      <c r="V407" s="482">
        <v>0.0</v>
      </c>
      <c r="W407" s="482">
        <v>0.0</v>
      </c>
      <c r="X407" s="482">
        <v>0.0</v>
      </c>
      <c r="Y407" s="482">
        <v>0.0</v>
      </c>
      <c r="Z407" s="482">
        <v>0.0</v>
      </c>
      <c r="AA407" s="482">
        <v>0.0</v>
      </c>
    </row>
    <row r="408" ht="12.75" customHeight="1">
      <c r="A408" s="24"/>
      <c r="B408" s="24"/>
      <c r="C408" s="24"/>
      <c r="D408" s="24"/>
      <c r="E408" s="24"/>
      <c r="F408" s="24"/>
      <c r="G408" s="474">
        <v>47604.0</v>
      </c>
      <c r="H408" s="486"/>
      <c r="I408" s="486"/>
      <c r="J408" s="486"/>
      <c r="K408" s="486"/>
      <c r="L408" s="486"/>
      <c r="M408" s="486"/>
      <c r="N408" s="486"/>
      <c r="O408" s="486"/>
      <c r="P408" s="486"/>
      <c r="Q408" s="24"/>
      <c r="R408" s="476">
        <v>47604.0</v>
      </c>
      <c r="S408" s="482">
        <v>0.0</v>
      </c>
      <c r="T408" s="482">
        <v>0.0</v>
      </c>
      <c r="U408" s="482">
        <v>0.0</v>
      </c>
      <c r="V408" s="482">
        <v>0.0</v>
      </c>
      <c r="W408" s="482">
        <v>0.0</v>
      </c>
      <c r="X408" s="482">
        <v>0.0</v>
      </c>
      <c r="Y408" s="482">
        <v>0.0</v>
      </c>
      <c r="Z408" s="482">
        <v>0.0</v>
      </c>
      <c r="AA408" s="482">
        <v>0.0</v>
      </c>
    </row>
    <row r="409" ht="12.75" customHeight="1">
      <c r="A409" s="24"/>
      <c r="B409" s="24"/>
      <c r="C409" s="24"/>
      <c r="D409" s="24"/>
      <c r="E409" s="24"/>
      <c r="F409" s="24"/>
      <c r="G409" s="474">
        <v>47635.0</v>
      </c>
      <c r="H409" s="486"/>
      <c r="I409" s="486"/>
      <c r="J409" s="486"/>
      <c r="K409" s="486"/>
      <c r="L409" s="486"/>
      <c r="M409" s="486"/>
      <c r="N409" s="486"/>
      <c r="O409" s="486"/>
      <c r="P409" s="486"/>
      <c r="Q409" s="24"/>
      <c r="R409" s="476">
        <v>47635.0</v>
      </c>
      <c r="S409" s="482">
        <v>0.0</v>
      </c>
      <c r="T409" s="482">
        <v>0.0</v>
      </c>
      <c r="U409" s="482">
        <v>0.0</v>
      </c>
      <c r="V409" s="482">
        <v>0.0</v>
      </c>
      <c r="W409" s="482">
        <v>0.0</v>
      </c>
      <c r="X409" s="482">
        <v>0.0</v>
      </c>
      <c r="Y409" s="482">
        <v>0.0</v>
      </c>
      <c r="Z409" s="482">
        <v>0.0</v>
      </c>
      <c r="AA409" s="482">
        <v>0.0</v>
      </c>
    </row>
    <row r="410" ht="12.75" customHeight="1">
      <c r="A410" s="24"/>
      <c r="B410" s="24"/>
      <c r="C410" s="24"/>
      <c r="D410" s="24"/>
      <c r="E410" s="24"/>
      <c r="F410" s="24"/>
      <c r="G410" s="474">
        <v>47665.0</v>
      </c>
      <c r="H410" s="486"/>
      <c r="I410" s="486"/>
      <c r="J410" s="486"/>
      <c r="K410" s="486"/>
      <c r="L410" s="486"/>
      <c r="M410" s="486"/>
      <c r="N410" s="486"/>
      <c r="O410" s="486"/>
      <c r="P410" s="486"/>
      <c r="Q410" s="24"/>
      <c r="R410" s="476">
        <v>47665.0</v>
      </c>
      <c r="S410" s="482">
        <v>0.0</v>
      </c>
      <c r="T410" s="482">
        <v>0.0</v>
      </c>
      <c r="U410" s="482">
        <v>0.0</v>
      </c>
      <c r="V410" s="482">
        <v>0.0</v>
      </c>
      <c r="W410" s="482">
        <v>0.0</v>
      </c>
      <c r="X410" s="482">
        <v>0.0</v>
      </c>
      <c r="Y410" s="482">
        <v>0.0</v>
      </c>
      <c r="Z410" s="482">
        <v>0.0</v>
      </c>
      <c r="AA410" s="482">
        <v>0.0</v>
      </c>
    </row>
    <row r="411" ht="12.75" customHeight="1">
      <c r="A411" s="24"/>
      <c r="B411" s="24"/>
      <c r="C411" s="24"/>
      <c r="D411" s="24"/>
      <c r="E411" s="24"/>
      <c r="F411" s="24"/>
      <c r="G411" s="474">
        <v>47696.0</v>
      </c>
      <c r="H411" s="486"/>
      <c r="I411" s="486"/>
      <c r="J411" s="486"/>
      <c r="K411" s="486"/>
      <c r="L411" s="486"/>
      <c r="M411" s="486"/>
      <c r="N411" s="486"/>
      <c r="O411" s="486"/>
      <c r="P411" s="486"/>
      <c r="Q411" s="24"/>
      <c r="R411" s="476">
        <v>47696.0</v>
      </c>
      <c r="S411" s="482">
        <v>0.0</v>
      </c>
      <c r="T411" s="482">
        <v>0.0</v>
      </c>
      <c r="U411" s="482">
        <v>0.0</v>
      </c>
      <c r="V411" s="482">
        <v>0.0</v>
      </c>
      <c r="W411" s="482">
        <v>0.0</v>
      </c>
      <c r="X411" s="482">
        <v>0.0</v>
      </c>
      <c r="Y411" s="482">
        <v>0.0</v>
      </c>
      <c r="Z411" s="482">
        <v>0.0</v>
      </c>
      <c r="AA411" s="482">
        <v>0.0</v>
      </c>
    </row>
    <row r="412" ht="12.75" customHeight="1">
      <c r="A412" s="24"/>
      <c r="B412" s="24"/>
      <c r="C412" s="24"/>
      <c r="D412" s="24"/>
      <c r="E412" s="24"/>
      <c r="F412" s="24"/>
      <c r="G412" s="474">
        <v>47727.0</v>
      </c>
      <c r="H412" s="486"/>
      <c r="I412" s="486"/>
      <c r="J412" s="486"/>
      <c r="K412" s="486"/>
      <c r="L412" s="486"/>
      <c r="M412" s="486"/>
      <c r="N412" s="486"/>
      <c r="O412" s="486"/>
      <c r="P412" s="486"/>
      <c r="Q412" s="24"/>
      <c r="R412" s="476">
        <v>47727.0</v>
      </c>
      <c r="S412" s="482">
        <v>0.0</v>
      </c>
      <c r="T412" s="482">
        <v>0.0</v>
      </c>
      <c r="U412" s="482">
        <v>0.0</v>
      </c>
      <c r="V412" s="482">
        <v>0.0</v>
      </c>
      <c r="W412" s="482">
        <v>0.0</v>
      </c>
      <c r="X412" s="482">
        <v>0.0</v>
      </c>
      <c r="Y412" s="482">
        <v>0.0</v>
      </c>
      <c r="Z412" s="482">
        <v>0.0</v>
      </c>
      <c r="AA412" s="482">
        <v>0.0</v>
      </c>
    </row>
    <row r="413" ht="12.75" customHeight="1">
      <c r="A413" s="24"/>
      <c r="B413" s="24"/>
      <c r="C413" s="24"/>
      <c r="D413" s="24"/>
      <c r="E413" s="24"/>
      <c r="F413" s="24"/>
      <c r="G413" s="474">
        <v>47757.0</v>
      </c>
      <c r="H413" s="486"/>
      <c r="I413" s="486"/>
      <c r="J413" s="486"/>
      <c r="K413" s="486"/>
      <c r="L413" s="486"/>
      <c r="M413" s="486"/>
      <c r="N413" s="486"/>
      <c r="O413" s="486"/>
      <c r="P413" s="486"/>
      <c r="Q413" s="24"/>
      <c r="R413" s="476">
        <v>47757.0</v>
      </c>
      <c r="S413" s="482">
        <v>0.0</v>
      </c>
      <c r="T413" s="482">
        <v>0.0</v>
      </c>
      <c r="U413" s="482">
        <v>0.0</v>
      </c>
      <c r="V413" s="482">
        <v>0.0</v>
      </c>
      <c r="W413" s="482">
        <v>0.0</v>
      </c>
      <c r="X413" s="482">
        <v>0.0</v>
      </c>
      <c r="Y413" s="482">
        <v>0.0</v>
      </c>
      <c r="Z413" s="482">
        <v>0.0</v>
      </c>
      <c r="AA413" s="482">
        <v>0.0</v>
      </c>
    </row>
    <row r="414" ht="12.75" customHeight="1">
      <c r="A414" s="24"/>
      <c r="B414" s="24"/>
      <c r="C414" s="24"/>
      <c r="D414" s="24"/>
      <c r="E414" s="24"/>
      <c r="F414" s="24"/>
      <c r="G414" s="474">
        <v>47788.0</v>
      </c>
      <c r="H414" s="486"/>
      <c r="I414" s="486"/>
      <c r="J414" s="486"/>
      <c r="K414" s="486"/>
      <c r="L414" s="486"/>
      <c r="M414" s="486"/>
      <c r="N414" s="486"/>
      <c r="O414" s="486"/>
      <c r="P414" s="486"/>
      <c r="Q414" s="24"/>
      <c r="R414" s="476">
        <v>47788.0</v>
      </c>
      <c r="S414" s="482">
        <v>0.0</v>
      </c>
      <c r="T414" s="482">
        <v>0.0</v>
      </c>
      <c r="U414" s="482">
        <v>0.0</v>
      </c>
      <c r="V414" s="482">
        <v>0.0</v>
      </c>
      <c r="W414" s="482">
        <v>0.0</v>
      </c>
      <c r="X414" s="482">
        <v>0.0</v>
      </c>
      <c r="Y414" s="482">
        <v>0.0</v>
      </c>
      <c r="Z414" s="482">
        <v>0.0</v>
      </c>
      <c r="AA414" s="482">
        <v>0.0</v>
      </c>
    </row>
    <row r="415" ht="12.75" customHeight="1">
      <c r="A415" s="24"/>
      <c r="B415" s="24"/>
      <c r="C415" s="24"/>
      <c r="D415" s="24"/>
      <c r="E415" s="24"/>
      <c r="F415" s="24"/>
      <c r="G415" s="474">
        <v>47818.0</v>
      </c>
      <c r="H415" s="486"/>
      <c r="I415" s="486"/>
      <c r="J415" s="486"/>
      <c r="K415" s="486"/>
      <c r="L415" s="486"/>
      <c r="M415" s="486"/>
      <c r="N415" s="486"/>
      <c r="O415" s="486"/>
      <c r="P415" s="486"/>
      <c r="Q415" s="24"/>
      <c r="R415" s="476">
        <v>47818.0</v>
      </c>
      <c r="S415" s="482">
        <v>0.0</v>
      </c>
      <c r="T415" s="482">
        <v>0.0</v>
      </c>
      <c r="U415" s="482">
        <v>0.0</v>
      </c>
      <c r="V415" s="482">
        <v>0.0</v>
      </c>
      <c r="W415" s="482">
        <v>0.0</v>
      </c>
      <c r="X415" s="482">
        <v>0.0</v>
      </c>
      <c r="Y415" s="482">
        <v>0.0</v>
      </c>
      <c r="Z415" s="482">
        <v>0.0</v>
      </c>
      <c r="AA415" s="482">
        <v>0.0</v>
      </c>
    </row>
    <row r="416" ht="12.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row>
    <row r="417" ht="12.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row>
    <row r="418" ht="12.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row>
    <row r="419" ht="12.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row>
    <row r="420" ht="12.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row>
    <row r="421" ht="12.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row>
    <row r="422" ht="12.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row>
    <row r="423" ht="12.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row>
    <row r="424" ht="12.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row>
    <row r="425" ht="12.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row>
    <row r="426" ht="12.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row>
    <row r="427" ht="12.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row>
    <row r="428" ht="12.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row>
    <row r="429" ht="12.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row>
    <row r="430" ht="12.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row>
    <row r="431" ht="12.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row>
    <row r="432" ht="12.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row>
    <row r="433" ht="12.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row>
    <row r="434" ht="12.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row>
    <row r="435" ht="12.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row>
    <row r="436" ht="12.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row>
    <row r="437" ht="12.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row>
    <row r="438" ht="12.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row>
    <row r="439" ht="12.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row>
    <row r="440" ht="12.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row>
    <row r="441" ht="12.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row>
    <row r="442" ht="12.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row>
    <row r="443" ht="12.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row>
    <row r="444" ht="12.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row>
    <row r="445" ht="12.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row>
    <row r="446" ht="12.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row>
    <row r="447" ht="12.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row>
    <row r="448" ht="12.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row>
    <row r="449" ht="12.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row>
    <row r="450" ht="12.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row>
    <row r="451" ht="12.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row>
    <row r="452" ht="12.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row>
    <row r="453" ht="12.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row>
    <row r="454" ht="12.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row>
    <row r="455" ht="12.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row>
    <row r="456" ht="12.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row>
    <row r="457" ht="12.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row>
    <row r="458" ht="12.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row>
    <row r="459" ht="12.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row>
    <row r="460" ht="12.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row>
    <row r="461" ht="12.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row>
    <row r="462" ht="12.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row>
    <row r="463" ht="12.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row>
    <row r="464" ht="12.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row>
    <row r="465" ht="12.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row>
    <row r="466" ht="12.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row>
    <row r="467" ht="12.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row>
    <row r="468" ht="12.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row>
    <row r="469" ht="12.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row>
    <row r="470" ht="12.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row>
    <row r="471" ht="12.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row>
    <row r="472" ht="12.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row>
    <row r="473" ht="12.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row>
    <row r="474" ht="12.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row>
    <row r="475" ht="12.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row>
    <row r="476" ht="12.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row>
    <row r="477" ht="12.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row>
    <row r="478" ht="12.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row>
    <row r="479" ht="12.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row>
    <row r="480" ht="12.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row>
    <row r="481" ht="12.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row>
    <row r="482" ht="12.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row>
    <row r="483" ht="12.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row>
    <row r="484" ht="12.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row>
    <row r="485" ht="12.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row>
    <row r="486" ht="12.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row>
    <row r="487" ht="12.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row>
    <row r="488" ht="12.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row>
    <row r="489" ht="12.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row>
    <row r="490" ht="12.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row>
    <row r="491" ht="12.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row>
    <row r="492" ht="12.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row>
    <row r="493" ht="12.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row>
    <row r="494" ht="12.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row>
    <row r="495" ht="12.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row>
    <row r="496" ht="12.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row>
    <row r="497" ht="12.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row>
    <row r="498" ht="12.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row>
    <row r="499" ht="12.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row>
    <row r="500" ht="12.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row>
    <row r="501" ht="12.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row>
    <row r="502" ht="12.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row>
    <row r="503" ht="12.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row>
    <row r="504" ht="12.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row>
    <row r="505" ht="12.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row>
    <row r="506" ht="12.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row>
    <row r="507" ht="12.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row>
    <row r="508" ht="12.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row>
    <row r="509" ht="12.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row>
    <row r="510" ht="12.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row>
    <row r="511" ht="12.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row>
    <row r="512" ht="12.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row>
    <row r="513" ht="12.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row>
    <row r="514" ht="12.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row>
    <row r="515" ht="12.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row>
    <row r="516" ht="12.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row>
    <row r="517" ht="12.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row>
    <row r="518" ht="12.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row>
    <row r="519" ht="12.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row>
    <row r="520" ht="12.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row>
    <row r="521" ht="12.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row>
    <row r="522" ht="12.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row>
    <row r="523" ht="12.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row>
    <row r="524" ht="12.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row>
    <row r="525" ht="12.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row>
    <row r="526" ht="12.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row>
    <row r="527" ht="12.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row>
    <row r="528" ht="12.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row>
    <row r="529" ht="12.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row>
    <row r="530" ht="12.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row>
    <row r="531" ht="12.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row>
    <row r="532" ht="12.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row>
    <row r="533" ht="12.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row>
    <row r="534" ht="12.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row>
    <row r="535" ht="12.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row>
    <row r="536" ht="12.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row>
    <row r="537" ht="12.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row>
    <row r="538" ht="12.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row>
    <row r="539" ht="12.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row>
    <row r="540" ht="12.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row>
    <row r="541" ht="12.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row>
    <row r="542" ht="12.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row>
    <row r="543" ht="12.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row>
    <row r="544" ht="12.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row>
    <row r="545" ht="12.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row>
    <row r="546" ht="12.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row>
    <row r="547" ht="12.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row>
    <row r="548" ht="12.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row>
    <row r="549" ht="12.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row>
    <row r="550" ht="12.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row>
    <row r="551" ht="12.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row>
    <row r="552" ht="12.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row>
    <row r="553" ht="12.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row>
    <row r="554" ht="12.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row>
    <row r="555" ht="12.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row>
    <row r="556" ht="12.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row>
    <row r="557" ht="12.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row>
    <row r="558" ht="12.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row>
    <row r="559" ht="12.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row>
    <row r="560" ht="12.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row>
    <row r="561" ht="12.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row>
    <row r="562" ht="12.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row>
    <row r="563" ht="12.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row>
    <row r="564" ht="12.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row>
    <row r="565" ht="12.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row>
    <row r="566" ht="12.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row>
    <row r="567" ht="12.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row>
    <row r="568" ht="12.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row>
    <row r="569" ht="12.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row>
    <row r="570" ht="12.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row>
    <row r="571" ht="12.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row>
    <row r="572" ht="12.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row>
    <row r="573" ht="12.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row>
    <row r="574" ht="12.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row>
    <row r="575" ht="12.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row>
    <row r="576" ht="12.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row>
    <row r="577" ht="12.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row>
    <row r="578" ht="12.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row>
    <row r="579" ht="12.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row>
    <row r="580" ht="12.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row>
    <row r="581" ht="12.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row>
    <row r="582" ht="12.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row>
    <row r="583" ht="12.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row>
    <row r="584" ht="12.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row>
    <row r="585" ht="12.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row>
    <row r="586" ht="12.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row>
    <row r="587" ht="12.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row>
    <row r="588" ht="12.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row>
    <row r="589" ht="12.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row>
    <row r="590" ht="12.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row>
    <row r="591" ht="12.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row>
    <row r="592" ht="12.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row>
    <row r="593" ht="12.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row>
    <row r="594" ht="12.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row>
    <row r="595" ht="12.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row>
    <row r="596" ht="12.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row>
    <row r="597" ht="12.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row>
    <row r="598" ht="12.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row>
    <row r="599" ht="12.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row>
    <row r="600" ht="12.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row>
    <row r="601" ht="12.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row>
    <row r="602" ht="12.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row>
    <row r="603" ht="12.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row>
    <row r="604" ht="12.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row>
    <row r="605" ht="12.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row>
    <row r="606" ht="12.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row>
    <row r="607" ht="12.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row>
    <row r="608" ht="12.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row>
    <row r="609" ht="12.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row>
    <row r="610" ht="12.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row>
    <row r="611" ht="12.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row>
    <row r="612" ht="12.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row>
    <row r="613" ht="12.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row>
    <row r="614" ht="12.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row>
    <row r="615" ht="12.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row>
    <row r="616" ht="12.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row>
    <row r="617" ht="12.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row>
    <row r="618" ht="12.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row>
    <row r="619" ht="12.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row>
    <row r="620" ht="12.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row>
    <row r="621" ht="12.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row>
    <row r="622" ht="12.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row>
    <row r="623" ht="12.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row>
    <row r="624" ht="12.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row>
    <row r="625" ht="12.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row>
    <row r="626" ht="12.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row>
    <row r="627" ht="12.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row>
    <row r="628" ht="12.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row>
    <row r="629" ht="12.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row>
    <row r="630" ht="12.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row>
    <row r="631" ht="12.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row>
    <row r="632" ht="12.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row>
    <row r="633" ht="12.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row>
    <row r="634" ht="12.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row>
    <row r="635" ht="12.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row>
    <row r="636" ht="12.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row>
    <row r="637" ht="12.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row>
    <row r="638" ht="12.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row>
    <row r="639" ht="12.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row>
    <row r="640" ht="12.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row>
    <row r="641" ht="12.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row>
    <row r="642" ht="12.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row>
    <row r="643" ht="12.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row>
    <row r="644" ht="12.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row>
    <row r="645" ht="12.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row>
    <row r="646" ht="12.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row>
    <row r="647" ht="12.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row>
    <row r="648" ht="12.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row>
    <row r="649" ht="12.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row>
    <row r="650" ht="12.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row>
    <row r="651" ht="12.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row>
    <row r="652" ht="12.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row>
    <row r="653" ht="12.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row>
    <row r="654" ht="12.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row>
    <row r="655" ht="12.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row>
    <row r="656" ht="12.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row>
    <row r="657" ht="12.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row>
    <row r="658" ht="12.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row>
    <row r="659" ht="12.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row>
    <row r="660" ht="12.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row>
    <row r="661" ht="12.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row>
    <row r="662" ht="12.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row>
    <row r="663" ht="12.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row>
    <row r="664" ht="12.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row>
    <row r="665" ht="12.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row>
    <row r="666" ht="12.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row>
    <row r="667" ht="12.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row>
    <row r="668" ht="12.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row>
    <row r="669" ht="12.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row>
    <row r="670" ht="12.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row>
    <row r="671" ht="12.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row>
    <row r="672" ht="12.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row>
    <row r="673" ht="12.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row>
    <row r="674" ht="12.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row>
    <row r="675" ht="12.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row>
    <row r="676" ht="12.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row>
    <row r="677" ht="12.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row>
    <row r="678" ht="12.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row>
    <row r="679" ht="12.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row>
    <row r="680" ht="12.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row>
    <row r="681" ht="12.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row>
    <row r="682" ht="12.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row>
    <row r="683" ht="12.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row>
    <row r="684" ht="12.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row>
    <row r="685" ht="12.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row>
    <row r="686" ht="12.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row>
    <row r="687" ht="12.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row>
    <row r="688" ht="12.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row>
    <row r="689" ht="12.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row>
    <row r="690" ht="12.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row>
    <row r="691" ht="12.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row>
    <row r="692" ht="12.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row>
    <row r="693" ht="12.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row>
    <row r="694" ht="12.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row>
    <row r="695" ht="12.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row>
    <row r="696" ht="12.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row>
    <row r="697" ht="12.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row>
    <row r="698" ht="12.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row>
    <row r="699" ht="12.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row>
    <row r="700" ht="12.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row>
    <row r="701" ht="12.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row>
    <row r="702" ht="12.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row>
    <row r="703" ht="12.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row>
    <row r="704" ht="12.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row>
    <row r="705" ht="12.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row>
    <row r="706" ht="12.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row>
    <row r="707" ht="12.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row>
    <row r="708" ht="12.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row>
    <row r="709" ht="12.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row>
    <row r="710" ht="12.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row>
    <row r="711" ht="12.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row>
    <row r="712" ht="12.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row>
    <row r="713" ht="12.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row>
    <row r="714" ht="12.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row>
    <row r="715" ht="12.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row>
    <row r="716" ht="12.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row>
    <row r="717" ht="12.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row>
    <row r="718" ht="12.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row>
    <row r="719" ht="12.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row>
    <row r="720" ht="12.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row>
    <row r="721" ht="12.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row>
    <row r="722" ht="12.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row>
    <row r="723" ht="12.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row>
    <row r="724" ht="12.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row>
    <row r="725" ht="12.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row>
    <row r="726" ht="12.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row>
    <row r="727" ht="12.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row>
    <row r="728" ht="12.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row>
    <row r="729" ht="12.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row>
    <row r="730" ht="12.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row>
    <row r="731" ht="12.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row>
    <row r="732" ht="12.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row>
    <row r="733" ht="12.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row>
    <row r="734" ht="12.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row>
    <row r="735" ht="12.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row>
    <row r="736" ht="12.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row>
    <row r="737" ht="12.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row>
    <row r="738" ht="12.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row>
    <row r="739" ht="12.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row>
    <row r="740" ht="12.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row>
    <row r="741" ht="12.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row>
    <row r="742" ht="12.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row>
    <row r="743" ht="12.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row>
    <row r="744" ht="12.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row>
    <row r="745" ht="12.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row>
    <row r="746" ht="12.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row>
    <row r="747" ht="12.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row>
    <row r="748" ht="12.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row>
    <row r="749" ht="12.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row>
    <row r="750" ht="12.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row>
    <row r="751" ht="12.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row>
    <row r="752" ht="12.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row>
    <row r="753" ht="12.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row>
    <row r="754" ht="12.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row>
    <row r="755" ht="12.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row>
    <row r="756" ht="12.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row>
    <row r="757" ht="12.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row>
    <row r="758" ht="12.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row>
    <row r="759" ht="12.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row>
    <row r="760" ht="12.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row>
    <row r="761" ht="12.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row>
    <row r="762" ht="12.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row>
    <row r="763" ht="12.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row>
    <row r="764" ht="12.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row>
    <row r="765" ht="12.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row>
    <row r="766" ht="12.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row>
    <row r="767" ht="12.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row>
    <row r="768" ht="12.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row>
    <row r="769" ht="12.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row>
    <row r="770" ht="12.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row>
    <row r="771" ht="12.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row>
    <row r="772" ht="12.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row>
    <row r="773" ht="12.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row>
    <row r="774" ht="12.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row>
    <row r="775" ht="12.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row>
    <row r="776" ht="12.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row>
    <row r="777" ht="12.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row>
    <row r="778" ht="12.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row>
    <row r="779" ht="12.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row>
    <row r="780" ht="12.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row>
    <row r="781" ht="12.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row>
    <row r="782" ht="12.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row>
    <row r="783" ht="12.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row>
    <row r="784" ht="12.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row>
    <row r="785" ht="12.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row>
    <row r="786" ht="12.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row>
    <row r="787" ht="12.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row>
    <row r="788" ht="12.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row>
    <row r="789" ht="12.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row>
    <row r="790" ht="12.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row>
    <row r="791" ht="12.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row>
    <row r="792" ht="12.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row>
    <row r="793" ht="12.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row>
    <row r="794" ht="12.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row>
    <row r="795" ht="12.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row>
    <row r="796" ht="12.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row>
    <row r="797" ht="12.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row>
    <row r="798" ht="12.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row>
    <row r="799" ht="12.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row>
    <row r="800" ht="12.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row>
    <row r="801" ht="12.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row>
    <row r="802" ht="12.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row>
    <row r="803" ht="12.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row>
    <row r="804" ht="12.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row>
    <row r="805" ht="12.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row>
    <row r="806" ht="12.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row>
    <row r="807" ht="12.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row>
    <row r="808" ht="12.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row>
    <row r="809" ht="12.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row>
    <row r="810" ht="12.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row>
    <row r="811" ht="12.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row>
    <row r="812" ht="12.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row>
    <row r="813" ht="12.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row>
    <row r="814" ht="12.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row>
    <row r="815" ht="12.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row>
    <row r="816" ht="12.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row>
    <row r="817" ht="12.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row>
    <row r="818" ht="12.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row>
    <row r="819" ht="12.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row>
    <row r="820" ht="12.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row>
    <row r="821" ht="12.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row>
    <row r="822" ht="12.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row>
    <row r="823" ht="12.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row>
    <row r="824" ht="12.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row>
    <row r="825" ht="12.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row>
    <row r="826" ht="12.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row>
    <row r="827" ht="12.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row>
    <row r="828" ht="12.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row>
    <row r="829" ht="12.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row>
    <row r="830" ht="12.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row>
    <row r="831" ht="12.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row>
    <row r="832" ht="12.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row>
    <row r="833" ht="12.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row>
    <row r="834" ht="12.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row>
    <row r="835" ht="12.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row>
    <row r="836" ht="12.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row>
    <row r="837" ht="12.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row>
    <row r="838" ht="12.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row>
    <row r="839" ht="12.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row>
    <row r="840" ht="12.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row>
    <row r="841" ht="12.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row>
    <row r="842" ht="12.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row>
    <row r="843" ht="12.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row>
    <row r="844" ht="12.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row>
    <row r="845" ht="12.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row>
    <row r="846" ht="12.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row>
    <row r="847" ht="12.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row>
    <row r="848" ht="12.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row>
    <row r="849" ht="12.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row>
    <row r="850" ht="12.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row>
    <row r="851" ht="12.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row>
    <row r="852" ht="12.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row>
    <row r="853" ht="12.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row>
    <row r="854" ht="12.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row>
    <row r="855" ht="12.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row>
    <row r="856" ht="12.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row>
    <row r="857" ht="12.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row>
    <row r="858" ht="12.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row>
    <row r="859" ht="12.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row>
    <row r="860" ht="12.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row>
    <row r="861" ht="12.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row>
    <row r="862" ht="12.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row>
    <row r="863" ht="12.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row>
    <row r="864" ht="12.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row>
    <row r="865" ht="12.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row>
    <row r="866" ht="12.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row>
    <row r="867" ht="12.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row>
    <row r="868" ht="12.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row>
    <row r="869" ht="12.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row>
    <row r="870" ht="12.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row>
    <row r="871" ht="12.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row>
    <row r="872" ht="12.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row>
    <row r="873" ht="12.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row>
    <row r="874" ht="12.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row>
    <row r="875" ht="12.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row>
    <row r="876" ht="12.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row>
    <row r="877" ht="12.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row>
    <row r="878" ht="12.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row>
    <row r="879" ht="12.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row>
    <row r="880" ht="12.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row>
    <row r="881" ht="12.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row>
    <row r="882" ht="12.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row>
    <row r="883" ht="12.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row>
    <row r="884" ht="12.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row>
    <row r="885" ht="12.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row>
    <row r="886" ht="12.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row>
    <row r="887" ht="12.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row>
    <row r="888" ht="12.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row>
    <row r="889" ht="12.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row>
    <row r="890" ht="12.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row>
    <row r="891" ht="12.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row>
    <row r="892" ht="12.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row>
    <row r="893" ht="12.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row>
    <row r="894" ht="12.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row>
    <row r="895" ht="12.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row>
    <row r="896" ht="12.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row>
    <row r="897" ht="12.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row>
    <row r="898" ht="12.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row>
    <row r="899" ht="12.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row>
    <row r="900" ht="12.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row>
    <row r="901" ht="12.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row>
    <row r="902" ht="12.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row>
    <row r="903" ht="12.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row>
    <row r="904" ht="12.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row>
    <row r="905" ht="12.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row>
    <row r="906" ht="12.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row>
    <row r="907" ht="12.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row>
    <row r="908" ht="12.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row>
    <row r="909" ht="12.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row>
    <row r="910" ht="12.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row>
    <row r="911" ht="12.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row>
    <row r="912" ht="12.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row>
    <row r="913" ht="12.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row>
    <row r="914" ht="12.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row>
    <row r="915" ht="12.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row>
    <row r="916" ht="12.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row>
    <row r="917" ht="12.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row>
    <row r="918" ht="12.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row>
    <row r="919" ht="12.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row>
    <row r="920" ht="12.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row>
    <row r="921" ht="12.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row>
    <row r="922" ht="12.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row>
    <row r="923" ht="12.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row>
    <row r="924" ht="12.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row>
    <row r="925" ht="12.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row>
    <row r="926" ht="12.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row>
    <row r="927" ht="12.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row>
    <row r="928" ht="12.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row>
    <row r="929" ht="12.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row>
    <row r="930" ht="12.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row>
    <row r="931" ht="12.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row>
    <row r="932" ht="12.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row>
    <row r="933" ht="12.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row>
    <row r="934" ht="12.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row>
    <row r="935" ht="12.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row>
    <row r="936" ht="12.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row>
    <row r="937" ht="12.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row>
    <row r="938" ht="12.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row>
    <row r="939" ht="12.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row>
    <row r="940" ht="12.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row>
    <row r="941" ht="12.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row>
    <row r="942" ht="12.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row>
    <row r="943" ht="12.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row>
    <row r="944" ht="12.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row>
    <row r="945" ht="12.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row>
    <row r="946" ht="12.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row>
    <row r="947" ht="12.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row>
    <row r="948" ht="12.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row>
    <row r="949" ht="12.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row>
    <row r="950" ht="12.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row>
    <row r="951" ht="12.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row>
    <row r="952" ht="12.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row>
    <row r="953" ht="12.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row>
    <row r="954" ht="12.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row>
    <row r="955" ht="12.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row>
    <row r="956" ht="12.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row>
    <row r="957" ht="12.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row>
    <row r="958" ht="12.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row>
    <row r="959" ht="12.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row>
    <row r="960" ht="12.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row>
    <row r="961" ht="12.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row>
    <row r="962" ht="12.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row>
    <row r="963" ht="12.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row>
    <row r="964" ht="12.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row>
    <row r="965" ht="12.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row>
    <row r="966" ht="12.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row>
    <row r="967" ht="12.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row>
    <row r="968" ht="12.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row>
    <row r="969" ht="12.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row>
    <row r="970" ht="12.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row>
    <row r="971" ht="12.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row>
    <row r="972" ht="12.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row>
    <row r="973" ht="12.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row>
    <row r="974" ht="12.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row>
    <row r="975" ht="12.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row>
    <row r="976" ht="12.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row>
    <row r="977" ht="12.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row>
    <row r="978" ht="12.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row>
    <row r="979" ht="12.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row>
    <row r="980" ht="12.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row>
    <row r="981" ht="12.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row>
    <row r="982" ht="12.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row>
    <row r="983" ht="12.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row>
    <row r="984" ht="12.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row>
    <row r="985" ht="12.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row>
    <row r="986" ht="12.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row>
    <row r="987" ht="12.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row>
    <row r="988" ht="12.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row>
    <row r="989" ht="12.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row>
    <row r="990" ht="12.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row>
    <row r="991" ht="12.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row>
    <row r="992" ht="12.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row>
    <row r="993" ht="12.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row>
    <row r="994" ht="12.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row>
    <row r="995" ht="12.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row>
    <row r="996" ht="12.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row>
    <row r="997" ht="12.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row>
    <row r="998" ht="12.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row>
    <row r="999" ht="12.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row>
    <row r="1000" ht="12.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row>
  </sheetData>
  <mergeCells count="10">
    <mergeCell ref="G10:P10"/>
    <mergeCell ref="G11:P11"/>
    <mergeCell ref="G9:P9"/>
    <mergeCell ref="B12:C12"/>
    <mergeCell ref="D12:E12"/>
    <mergeCell ref="A11:E11"/>
    <mergeCell ref="R8:AA8"/>
    <mergeCell ref="R11:AA11"/>
    <mergeCell ref="R10:AA10"/>
    <mergeCell ref="R9:AA9"/>
  </mergeCells>
  <hyperlinks>
    <hyperlink r:id="rId1" ref="G11"/>
    <hyperlink r:id="rId2" ref="R11"/>
  </hyperlinks>
  <printOptions/>
  <pageMargins bottom="0.75" footer="0.0" header="0.0" left="0.7" right="0.7" top="0.75"/>
  <pageSetup orientation="portrait"/>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AAC"/>
    <pageSetUpPr/>
  </sheetPr>
  <sheetViews>
    <sheetView workbookViewId="0"/>
  </sheetViews>
  <sheetFormatPr customHeight="1" defaultColWidth="14.43" defaultRowHeight="15.0"/>
  <cols>
    <col customWidth="1" min="1" max="1" width="23.14"/>
    <col customWidth="1" min="2" max="2" width="14.86"/>
    <col customWidth="1" min="3" max="3" width="19.86"/>
    <col customWidth="1" min="4" max="4" width="12.29"/>
    <col customWidth="1" min="5" max="5" width="18.29"/>
    <col customWidth="1" min="6" max="6" width="16.57"/>
    <col customWidth="1" min="7" max="7" width="24.0"/>
    <col customWidth="1" min="8" max="8" width="31.71"/>
    <col customWidth="1" min="9" max="9" width="16.57"/>
    <col customWidth="1" min="10" max="10" width="28.57"/>
    <col customWidth="1" min="11" max="13" width="16.57"/>
    <col customWidth="1" min="14" max="14" width="17.29"/>
    <col customWidth="1" min="15" max="16" width="16.57"/>
    <col customWidth="1" min="17" max="17" width="20.57"/>
    <col customWidth="1" min="18" max="19" width="26.0"/>
    <col customWidth="1" min="20" max="21" width="16.57"/>
    <col customWidth="1" min="22" max="22" width="18.57"/>
    <col customWidth="1" min="23" max="23" width="27.71"/>
    <col customWidth="1" min="24" max="25" width="16.57"/>
    <col customWidth="1" min="26" max="26" width="19.86"/>
    <col customWidth="1" min="27" max="27" width="18.86"/>
    <col customWidth="1" min="28" max="28" width="16.57"/>
  </cols>
  <sheetData>
    <row r="1">
      <c r="A1" s="331" t="s">
        <v>505</v>
      </c>
      <c r="G1" s="487" t="s">
        <v>506</v>
      </c>
    </row>
    <row r="2">
      <c r="A2" t="s">
        <v>507</v>
      </c>
      <c r="F2" s="401" t="s">
        <v>508</v>
      </c>
      <c r="G2" s="402" t="s">
        <v>509</v>
      </c>
    </row>
    <row r="3">
      <c r="A3" s="489" t="s">
        <v>511</v>
      </c>
      <c r="B3" s="489"/>
      <c r="C3" s="489"/>
      <c r="F3" s="401" t="s">
        <v>512</v>
      </c>
      <c r="G3" t="s">
        <v>513</v>
      </c>
    </row>
    <row r="4">
      <c r="F4" s="401" t="s">
        <v>514</v>
      </c>
      <c r="G4" t="s">
        <v>515</v>
      </c>
    </row>
    <row r="7">
      <c r="A7" s="491" t="s">
        <v>516</v>
      </c>
      <c r="B7" s="491" t="s">
        <v>517</v>
      </c>
      <c r="C7" s="491" t="s">
        <v>518</v>
      </c>
      <c r="D7" s="491" t="s">
        <v>519</v>
      </c>
      <c r="E7" s="491" t="s">
        <v>397</v>
      </c>
      <c r="F7" s="491" t="s">
        <v>520</v>
      </c>
      <c r="G7" s="491" t="s">
        <v>521</v>
      </c>
      <c r="H7" s="491" t="s">
        <v>522</v>
      </c>
      <c r="I7" s="491" t="s">
        <v>523</v>
      </c>
      <c r="J7" s="491" t="s">
        <v>524</v>
      </c>
      <c r="K7" s="491" t="s">
        <v>525</v>
      </c>
      <c r="L7" s="491" t="s">
        <v>526</v>
      </c>
      <c r="M7" s="491" t="s">
        <v>527</v>
      </c>
      <c r="N7" s="491" t="s">
        <v>528</v>
      </c>
      <c r="O7" s="491" t="s">
        <v>529</v>
      </c>
      <c r="P7" s="491" t="s">
        <v>530</v>
      </c>
      <c r="Q7" s="491" t="s">
        <v>531</v>
      </c>
      <c r="R7" s="491" t="s">
        <v>532</v>
      </c>
      <c r="S7" s="491" t="s">
        <v>533</v>
      </c>
      <c r="T7" s="491" t="s">
        <v>534</v>
      </c>
      <c r="U7" s="491" t="s">
        <v>535</v>
      </c>
      <c r="V7" s="491" t="s">
        <v>536</v>
      </c>
      <c r="W7" s="491" t="s">
        <v>537</v>
      </c>
      <c r="X7" s="491" t="s">
        <v>538</v>
      </c>
      <c r="Y7" s="491" t="s">
        <v>539</v>
      </c>
      <c r="Z7" s="491" t="s">
        <v>540</v>
      </c>
      <c r="AA7" s="491" t="s">
        <v>541</v>
      </c>
      <c r="AB7" s="491" t="s">
        <v>542</v>
      </c>
    </row>
    <row r="8">
      <c r="A8" s="493" t="s">
        <v>543</v>
      </c>
      <c r="B8" s="494">
        <v>2.0</v>
      </c>
      <c r="C8" s="494">
        <f t="shared" ref="C8:AB8" si="1">B8+1</f>
        <v>3</v>
      </c>
      <c r="D8" s="494">
        <f t="shared" si="1"/>
        <v>4</v>
      </c>
      <c r="E8" s="494">
        <f t="shared" si="1"/>
        <v>5</v>
      </c>
      <c r="F8" s="494">
        <f t="shared" si="1"/>
        <v>6</v>
      </c>
      <c r="G8" s="494">
        <f t="shared" si="1"/>
        <v>7</v>
      </c>
      <c r="H8" s="494">
        <f t="shared" si="1"/>
        <v>8</v>
      </c>
      <c r="I8" s="494">
        <f t="shared" si="1"/>
        <v>9</v>
      </c>
      <c r="J8" s="494">
        <f t="shared" si="1"/>
        <v>10</v>
      </c>
      <c r="K8" s="494">
        <f t="shared" si="1"/>
        <v>11</v>
      </c>
      <c r="L8" s="494">
        <f t="shared" si="1"/>
        <v>12</v>
      </c>
      <c r="M8" s="494">
        <f t="shared" si="1"/>
        <v>13</v>
      </c>
      <c r="N8" s="494">
        <f t="shared" si="1"/>
        <v>14</v>
      </c>
      <c r="O8" s="494">
        <f t="shared" si="1"/>
        <v>15</v>
      </c>
      <c r="P8" s="494">
        <f t="shared" si="1"/>
        <v>16</v>
      </c>
      <c r="Q8" s="494">
        <f t="shared" si="1"/>
        <v>17</v>
      </c>
      <c r="R8" s="494">
        <f t="shared" si="1"/>
        <v>18</v>
      </c>
      <c r="S8" s="494">
        <f t="shared" si="1"/>
        <v>19</v>
      </c>
      <c r="T8" s="494">
        <f t="shared" si="1"/>
        <v>20</v>
      </c>
      <c r="U8" s="494">
        <f t="shared" si="1"/>
        <v>21</v>
      </c>
      <c r="V8" s="494">
        <f t="shared" si="1"/>
        <v>22</v>
      </c>
      <c r="W8" s="494">
        <f t="shared" si="1"/>
        <v>23</v>
      </c>
      <c r="X8" s="494">
        <f t="shared" si="1"/>
        <v>24</v>
      </c>
      <c r="Y8" s="494">
        <f t="shared" si="1"/>
        <v>25</v>
      </c>
      <c r="Z8" s="494">
        <f t="shared" si="1"/>
        <v>26</v>
      </c>
      <c r="AA8" s="494">
        <f t="shared" si="1"/>
        <v>27</v>
      </c>
      <c r="AB8" s="494">
        <f t="shared" si="1"/>
        <v>28</v>
      </c>
    </row>
    <row r="9">
      <c r="A9" s="493" t="s">
        <v>545</v>
      </c>
      <c r="B9" s="494" t="s">
        <v>546</v>
      </c>
      <c r="C9" s="494" t="s">
        <v>547</v>
      </c>
      <c r="D9" s="494" t="s">
        <v>548</v>
      </c>
      <c r="E9" s="494" t="s">
        <v>549</v>
      </c>
      <c r="F9" s="494" t="s">
        <v>549</v>
      </c>
      <c r="G9" s="494" t="s">
        <v>548</v>
      </c>
      <c r="H9" s="494" t="s">
        <v>549</v>
      </c>
      <c r="I9" s="494" t="s">
        <v>549</v>
      </c>
      <c r="J9" s="494" t="s">
        <v>549</v>
      </c>
      <c r="K9" s="494" t="s">
        <v>549</v>
      </c>
      <c r="L9" s="494" t="s">
        <v>549</v>
      </c>
      <c r="M9" s="494" t="s">
        <v>549</v>
      </c>
      <c r="N9" s="494" t="s">
        <v>549</v>
      </c>
      <c r="O9" s="494" t="s">
        <v>549</v>
      </c>
      <c r="P9" s="494" t="s">
        <v>549</v>
      </c>
      <c r="Q9" s="494" t="s">
        <v>549</v>
      </c>
      <c r="R9" s="494" t="s">
        <v>548</v>
      </c>
      <c r="S9" s="494" t="s">
        <v>549</v>
      </c>
      <c r="T9" s="494" t="s">
        <v>549</v>
      </c>
      <c r="U9" s="494" t="s">
        <v>549</v>
      </c>
      <c r="V9" s="494" t="s">
        <v>549</v>
      </c>
      <c r="W9" s="494" t="s">
        <v>549</v>
      </c>
      <c r="X9" s="494" t="s">
        <v>549</v>
      </c>
      <c r="Y9" s="494" t="s">
        <v>549</v>
      </c>
      <c r="Z9" s="494" t="s">
        <v>548</v>
      </c>
      <c r="AA9" s="494" t="s">
        <v>548</v>
      </c>
      <c r="AB9" s="494" t="s">
        <v>549</v>
      </c>
    </row>
    <row r="10">
      <c r="A10" s="493" t="s">
        <v>550</v>
      </c>
      <c r="B10" s="494" t="s">
        <v>551</v>
      </c>
      <c r="C10" s="494" t="s">
        <v>551</v>
      </c>
      <c r="D10" s="494" t="s">
        <v>552</v>
      </c>
      <c r="E10" s="494" t="s">
        <v>553</v>
      </c>
      <c r="F10" s="494" t="s">
        <v>553</v>
      </c>
      <c r="G10" s="494" t="s">
        <v>552</v>
      </c>
      <c r="H10" s="494" t="s">
        <v>553</v>
      </c>
      <c r="I10" s="494" t="s">
        <v>553</v>
      </c>
      <c r="J10" s="494" t="s">
        <v>552</v>
      </c>
      <c r="K10" s="494" t="s">
        <v>553</v>
      </c>
      <c r="L10" s="494" t="s">
        <v>553</v>
      </c>
      <c r="M10" s="494" t="s">
        <v>553</v>
      </c>
      <c r="N10" s="494" t="s">
        <v>553</v>
      </c>
      <c r="O10" s="494" t="s">
        <v>553</v>
      </c>
      <c r="P10" s="494" t="s">
        <v>553</v>
      </c>
      <c r="Q10" s="494" t="s">
        <v>553</v>
      </c>
      <c r="R10" s="494" t="s">
        <v>552</v>
      </c>
      <c r="S10" s="494" t="s">
        <v>553</v>
      </c>
      <c r="T10" s="494" t="s">
        <v>553</v>
      </c>
      <c r="U10" s="494" t="s">
        <v>553</v>
      </c>
      <c r="V10" s="494" t="s">
        <v>553</v>
      </c>
      <c r="W10" s="494" t="s">
        <v>553</v>
      </c>
      <c r="X10" s="494" t="s">
        <v>553</v>
      </c>
      <c r="Y10" s="494" t="s">
        <v>553</v>
      </c>
      <c r="Z10" s="494" t="s">
        <v>552</v>
      </c>
      <c r="AA10" s="494" t="s">
        <v>552</v>
      </c>
      <c r="AB10" s="494" t="s">
        <v>553</v>
      </c>
    </row>
    <row r="11">
      <c r="A11" s="493" t="s">
        <v>554</v>
      </c>
      <c r="B11" s="494" t="s">
        <v>555</v>
      </c>
      <c r="C11" s="494" t="s">
        <v>556</v>
      </c>
      <c r="D11" s="494" t="s">
        <v>555</v>
      </c>
      <c r="E11" s="494" t="s">
        <v>556</v>
      </c>
      <c r="F11" s="494" t="s">
        <v>556</v>
      </c>
      <c r="G11" s="494" t="s">
        <v>555</v>
      </c>
      <c r="H11" s="494" t="s">
        <v>556</v>
      </c>
      <c r="I11" s="494" t="s">
        <v>556</v>
      </c>
      <c r="J11" s="494" t="s">
        <v>556</v>
      </c>
      <c r="K11" s="494" t="s">
        <v>556</v>
      </c>
      <c r="L11" s="494" t="s">
        <v>556</v>
      </c>
      <c r="M11" s="494" t="s">
        <v>556</v>
      </c>
      <c r="N11" s="494" t="s">
        <v>556</v>
      </c>
      <c r="O11" s="494" t="s">
        <v>556</v>
      </c>
      <c r="P11" s="494" t="s">
        <v>556</v>
      </c>
      <c r="Q11" s="494" t="s">
        <v>556</v>
      </c>
      <c r="R11" s="494" t="s">
        <v>555</v>
      </c>
      <c r="S11" s="494" t="s">
        <v>556</v>
      </c>
      <c r="T11" s="494" t="s">
        <v>556</v>
      </c>
      <c r="U11" s="494" t="s">
        <v>556</v>
      </c>
      <c r="V11" s="494" t="s">
        <v>556</v>
      </c>
      <c r="W11" s="494" t="s">
        <v>556</v>
      </c>
      <c r="X11" s="494" t="s">
        <v>556</v>
      </c>
      <c r="Y11" s="494" t="s">
        <v>557</v>
      </c>
      <c r="Z11" s="494" t="s">
        <v>555</v>
      </c>
      <c r="AA11" s="494" t="s">
        <v>555</v>
      </c>
      <c r="AB11" s="494" t="s">
        <v>557</v>
      </c>
    </row>
    <row r="12">
      <c r="A12" s="496" t="s">
        <v>558</v>
      </c>
      <c r="B12" s="498" t="s">
        <v>7</v>
      </c>
      <c r="C12" s="498" t="s">
        <v>7</v>
      </c>
      <c r="D12" s="498" t="s">
        <v>7</v>
      </c>
      <c r="E12" s="498">
        <v>4801337.0</v>
      </c>
      <c r="F12" s="498">
        <v>4800732.0</v>
      </c>
      <c r="G12" s="498">
        <v>4800154.0</v>
      </c>
      <c r="H12" s="498">
        <v>4801180.0</v>
      </c>
      <c r="I12" s="498">
        <v>4800977.0</v>
      </c>
      <c r="J12" s="498">
        <v>4801646.0</v>
      </c>
      <c r="K12" s="498">
        <v>4801200.0</v>
      </c>
      <c r="L12" s="498">
        <v>4801034.0</v>
      </c>
      <c r="M12" s="498">
        <v>4801215.0</v>
      </c>
      <c r="N12" s="498">
        <v>4800992.0</v>
      </c>
      <c r="O12" s="498">
        <v>4801429.0</v>
      </c>
      <c r="P12" s="498">
        <v>4801078.0</v>
      </c>
      <c r="Q12" s="498">
        <v>4800995.0</v>
      </c>
      <c r="R12" s="498">
        <v>4800152.0</v>
      </c>
      <c r="S12" s="498">
        <v>4800997.0</v>
      </c>
      <c r="T12" s="498">
        <v>4800677.0</v>
      </c>
      <c r="U12" s="498">
        <v>4800086.0</v>
      </c>
      <c r="V12" s="498">
        <v>4800900.0</v>
      </c>
      <c r="W12" s="498">
        <v>4801353.0</v>
      </c>
      <c r="X12" s="498">
        <v>4800993.0</v>
      </c>
      <c r="Y12" s="498">
        <v>4800828.0</v>
      </c>
      <c r="Z12" s="498">
        <v>4801295.0</v>
      </c>
      <c r="AA12" s="498">
        <v>4800155.0</v>
      </c>
      <c r="AB12" s="498">
        <v>4800083.0</v>
      </c>
    </row>
    <row r="13">
      <c r="A13" s="496" t="s">
        <v>559</v>
      </c>
      <c r="B13" s="498" t="s">
        <v>560</v>
      </c>
      <c r="C13" s="498" t="s">
        <v>7</v>
      </c>
      <c r="D13" s="498" t="s">
        <v>7</v>
      </c>
      <c r="E13" s="498" t="s">
        <v>547</v>
      </c>
      <c r="F13" s="498" t="s">
        <v>547</v>
      </c>
      <c r="G13" s="498" t="s">
        <v>561</v>
      </c>
      <c r="H13" s="498" t="s">
        <v>547</v>
      </c>
      <c r="I13" s="498" t="s">
        <v>547</v>
      </c>
      <c r="J13" s="498" t="s">
        <v>547</v>
      </c>
      <c r="K13" s="498" t="s">
        <v>547</v>
      </c>
      <c r="L13" s="498" t="s">
        <v>547</v>
      </c>
      <c r="M13" s="498" t="s">
        <v>547</v>
      </c>
      <c r="N13" s="498" t="s">
        <v>547</v>
      </c>
      <c r="O13" s="498" t="s">
        <v>547</v>
      </c>
      <c r="P13" s="498" t="s">
        <v>547</v>
      </c>
      <c r="Q13" s="498" t="s">
        <v>547</v>
      </c>
      <c r="R13" s="498" t="s">
        <v>561</v>
      </c>
      <c r="S13" s="498" t="s">
        <v>547</v>
      </c>
      <c r="T13" s="498" t="s">
        <v>547</v>
      </c>
      <c r="U13" s="498" t="s">
        <v>547</v>
      </c>
      <c r="V13" s="498" t="s">
        <v>547</v>
      </c>
      <c r="W13" s="498" t="s">
        <v>547</v>
      </c>
      <c r="X13" s="498" t="s">
        <v>547</v>
      </c>
      <c r="Y13" s="498" t="s">
        <v>547</v>
      </c>
      <c r="Z13" s="498" t="s">
        <v>561</v>
      </c>
      <c r="AA13" s="498" t="s">
        <v>561</v>
      </c>
      <c r="AB13" s="498" t="s">
        <v>547</v>
      </c>
    </row>
    <row r="14">
      <c r="A14" s="496" t="s">
        <v>562</v>
      </c>
      <c r="B14" s="498">
        <v>3.0</v>
      </c>
      <c r="C14" s="498" t="s">
        <v>7</v>
      </c>
      <c r="D14" s="498" t="s">
        <v>7</v>
      </c>
      <c r="E14" s="498">
        <v>3.0</v>
      </c>
      <c r="F14" s="498">
        <v>3.0</v>
      </c>
      <c r="G14" s="498">
        <v>1.0</v>
      </c>
      <c r="H14" s="498">
        <v>3.0</v>
      </c>
      <c r="I14" s="498">
        <v>3.0</v>
      </c>
      <c r="J14" s="498">
        <v>1.0</v>
      </c>
      <c r="K14" s="498">
        <v>3.0</v>
      </c>
      <c r="L14" s="498">
        <v>3.0</v>
      </c>
      <c r="M14" s="498">
        <v>3.0</v>
      </c>
      <c r="N14" s="498">
        <v>3.0</v>
      </c>
      <c r="O14" s="498">
        <v>3.0</v>
      </c>
      <c r="P14" s="498">
        <v>3.0</v>
      </c>
      <c r="Q14" s="498">
        <v>3.0</v>
      </c>
      <c r="R14" s="498">
        <v>1.0</v>
      </c>
      <c r="S14" s="498">
        <v>3.0</v>
      </c>
      <c r="T14" s="498">
        <v>3.0</v>
      </c>
      <c r="U14" s="498">
        <v>3.0</v>
      </c>
      <c r="V14" s="498">
        <v>3.0</v>
      </c>
      <c r="W14" s="498">
        <v>3.0</v>
      </c>
      <c r="X14" s="498">
        <v>3.0</v>
      </c>
      <c r="Y14" s="498">
        <v>3.0</v>
      </c>
      <c r="Z14" s="498">
        <v>1.0</v>
      </c>
      <c r="AA14" s="498">
        <v>1.0</v>
      </c>
      <c r="AB14" s="498">
        <v>3.0</v>
      </c>
    </row>
    <row r="15">
      <c r="A15" s="493">
        <v>2000.0</v>
      </c>
      <c r="B15" s="499">
        <v>152687.0</v>
      </c>
      <c r="C15" s="499">
        <f t="shared" ref="C15:C45" si="2">SUM(E15+F15+H15+I15+J15+K15+L15+M15+N15+O15+P15+T15+U15+W15+X15+AB15+V15+Y15)</f>
        <v>291867632</v>
      </c>
      <c r="D15" s="499">
        <f t="shared" ref="D15:D45" si="3">G15+R15+Z15+AA15</f>
        <v>1535183</v>
      </c>
      <c r="E15" s="499">
        <v>2.297123E7</v>
      </c>
      <c r="F15" s="499">
        <v>1.5015064E7</v>
      </c>
      <c r="G15" s="499">
        <v>283744.0</v>
      </c>
      <c r="H15" s="499">
        <v>3725923.0</v>
      </c>
      <c r="I15" s="499">
        <v>6.0102031E7</v>
      </c>
      <c r="J15" s="499">
        <v>0.0</v>
      </c>
      <c r="K15" s="499">
        <v>1.5833179E7</v>
      </c>
      <c r="L15" s="499">
        <v>2.559566E7</v>
      </c>
      <c r="M15" s="499">
        <v>4190057.0</v>
      </c>
      <c r="N15" s="499">
        <v>3.8698196E7</v>
      </c>
      <c r="O15" s="499">
        <v>2284475.0</v>
      </c>
      <c r="P15" s="499">
        <v>1.8622992E7</v>
      </c>
      <c r="Q15" s="499">
        <v>0.0</v>
      </c>
      <c r="R15" s="499">
        <v>409523.0</v>
      </c>
      <c r="S15" s="499">
        <v>2.8307022E7</v>
      </c>
      <c r="T15" s="499">
        <v>6506632.0</v>
      </c>
      <c r="U15" s="499">
        <v>3725982.0</v>
      </c>
      <c r="V15" s="499">
        <v>372615.0</v>
      </c>
      <c r="W15" s="499">
        <v>7.0769071E7</v>
      </c>
      <c r="X15" s="499"/>
      <c r="Y15" s="499">
        <v>402783.0</v>
      </c>
      <c r="Z15" s="499">
        <v>308247.0</v>
      </c>
      <c r="AA15" s="499">
        <v>533669.0</v>
      </c>
      <c r="AB15" s="499">
        <v>3051742.0</v>
      </c>
    </row>
    <row r="16">
      <c r="A16" s="493">
        <v>2001.0</v>
      </c>
      <c r="B16" s="499">
        <v>202240.0</v>
      </c>
      <c r="C16" s="499">
        <f t="shared" si="2"/>
        <v>315431854</v>
      </c>
      <c r="D16" s="499">
        <f t="shared" si="3"/>
        <v>1577609</v>
      </c>
      <c r="E16" s="499">
        <v>2.4520144E7</v>
      </c>
      <c r="F16" s="499">
        <v>1.1760831E7</v>
      </c>
      <c r="G16" s="499">
        <v>288897.0</v>
      </c>
      <c r="H16" s="499">
        <v>3437514.0</v>
      </c>
      <c r="I16" s="499">
        <v>6.7621885E7</v>
      </c>
      <c r="J16" s="499">
        <v>0.0</v>
      </c>
      <c r="K16" s="499">
        <v>1.9176796E7</v>
      </c>
      <c r="L16" s="499">
        <v>2.7095831E7</v>
      </c>
      <c r="M16" s="499">
        <v>0.0</v>
      </c>
      <c r="N16" s="499">
        <v>4.3358546E7</v>
      </c>
      <c r="O16" s="499">
        <v>4029100.0</v>
      </c>
      <c r="P16" s="499">
        <v>2.4823834E7</v>
      </c>
      <c r="Q16" s="499">
        <v>0.0</v>
      </c>
      <c r="R16" s="499">
        <v>433643.0</v>
      </c>
      <c r="S16" s="499">
        <v>2.9335345E7</v>
      </c>
      <c r="T16" s="499">
        <v>6110696.0</v>
      </c>
      <c r="U16" s="499">
        <v>4495264.0</v>
      </c>
      <c r="V16" s="499">
        <v>406806.0</v>
      </c>
      <c r="W16" s="499">
        <v>7.477746E7</v>
      </c>
      <c r="X16" s="499"/>
      <c r="Y16" s="499">
        <v>298987.0</v>
      </c>
      <c r="Z16" s="499">
        <v>334796.0</v>
      </c>
      <c r="AA16" s="499">
        <v>520273.0</v>
      </c>
      <c r="AB16" s="499">
        <v>3518160.0</v>
      </c>
    </row>
    <row r="17">
      <c r="A17" s="493">
        <v>2002.0</v>
      </c>
      <c r="B17" s="499">
        <v>192236.0</v>
      </c>
      <c r="C17" s="499">
        <f t="shared" si="2"/>
        <v>317549235</v>
      </c>
      <c r="D17" s="499">
        <f t="shared" si="3"/>
        <v>1512060</v>
      </c>
      <c r="E17" s="499">
        <v>2.6808505E7</v>
      </c>
      <c r="F17" s="499">
        <v>1.7431329E7</v>
      </c>
      <c r="G17" s="499">
        <v>283222.0</v>
      </c>
      <c r="H17" s="499">
        <v>2817409.0</v>
      </c>
      <c r="I17" s="499">
        <v>6.5125564E7</v>
      </c>
      <c r="J17" s="499">
        <v>0.0</v>
      </c>
      <c r="K17" s="499">
        <v>1.8334186E7</v>
      </c>
      <c r="L17" s="499">
        <v>2.5967932E7</v>
      </c>
      <c r="M17" s="499">
        <v>0.0</v>
      </c>
      <c r="N17" s="499">
        <v>3.82771E7</v>
      </c>
      <c r="O17" s="499">
        <v>4889214.0</v>
      </c>
      <c r="P17" s="499">
        <v>2.4901828E7</v>
      </c>
      <c r="Q17" s="499">
        <v>0.0</v>
      </c>
      <c r="R17" s="499">
        <v>388822.0</v>
      </c>
      <c r="S17" s="499">
        <v>3.1728341E7</v>
      </c>
      <c r="T17" s="499">
        <v>5782014.0</v>
      </c>
      <c r="U17" s="499">
        <v>4242456.0</v>
      </c>
      <c r="V17" s="499">
        <v>455872.0</v>
      </c>
      <c r="W17" s="499">
        <v>7.4792642E7</v>
      </c>
      <c r="X17" s="499">
        <v>3484619.0</v>
      </c>
      <c r="Y17" s="499">
        <v>258705.0</v>
      </c>
      <c r="Z17" s="499">
        <v>327719.0</v>
      </c>
      <c r="AA17" s="499">
        <v>512297.0</v>
      </c>
      <c r="AB17" s="499">
        <v>3979860.0</v>
      </c>
    </row>
    <row r="18">
      <c r="A18" s="493">
        <v>2003.0</v>
      </c>
      <c r="B18" s="499">
        <v>171445.0</v>
      </c>
      <c r="C18" s="499">
        <f t="shared" si="2"/>
        <v>316855624</v>
      </c>
      <c r="D18" s="499">
        <f t="shared" si="3"/>
        <v>1506120</v>
      </c>
      <c r="E18" s="499">
        <v>2.9533072E7</v>
      </c>
      <c r="F18" s="499">
        <v>1.7844826E7</v>
      </c>
      <c r="G18" s="499">
        <v>271119.0</v>
      </c>
      <c r="H18" s="499">
        <v>2962357.0</v>
      </c>
      <c r="I18" s="499">
        <v>6.2620417E7</v>
      </c>
      <c r="J18" s="499">
        <v>0.0</v>
      </c>
      <c r="K18" s="499">
        <v>1.7539156E7</v>
      </c>
      <c r="L18" s="499">
        <v>2.2743284E7</v>
      </c>
      <c r="M18" s="499">
        <v>0.0</v>
      </c>
      <c r="N18" s="499">
        <v>3.6083743E7</v>
      </c>
      <c r="O18" s="499">
        <v>4363683.0</v>
      </c>
      <c r="P18" s="499">
        <v>2.4728392E7</v>
      </c>
      <c r="Q18" s="499">
        <v>0.0</v>
      </c>
      <c r="R18" s="499">
        <v>370656.0</v>
      </c>
      <c r="S18" s="499">
        <v>3.5491218E7</v>
      </c>
      <c r="T18" s="499">
        <v>5604516.0</v>
      </c>
      <c r="U18" s="499">
        <v>4067346.0</v>
      </c>
      <c r="V18" s="499">
        <v>139038.0</v>
      </c>
      <c r="W18" s="499">
        <v>8.0083444E7</v>
      </c>
      <c r="X18" s="499">
        <v>3632940.0</v>
      </c>
      <c r="Y18" s="499">
        <v>136866.0</v>
      </c>
      <c r="Z18" s="499">
        <v>349972.0</v>
      </c>
      <c r="AA18" s="499">
        <v>514373.0</v>
      </c>
      <c r="AB18" s="499">
        <v>4772544.0</v>
      </c>
    </row>
    <row r="19">
      <c r="A19" s="493">
        <v>2004.0</v>
      </c>
      <c r="B19" s="499">
        <v>206935.0</v>
      </c>
      <c r="C19" s="499">
        <f t="shared" si="2"/>
        <v>341719495</v>
      </c>
      <c r="D19" s="499">
        <f t="shared" si="3"/>
        <v>1566179</v>
      </c>
      <c r="E19" s="499">
        <v>2.9682854E7</v>
      </c>
      <c r="F19" s="499">
        <v>1.8704482E7</v>
      </c>
      <c r="G19" s="499">
        <v>284102.0</v>
      </c>
      <c r="H19" s="499">
        <v>3808563.0</v>
      </c>
      <c r="I19" s="499">
        <v>7.2220213E7</v>
      </c>
      <c r="J19" s="499">
        <v>43187.0</v>
      </c>
      <c r="K19" s="499">
        <v>2.0266859E7</v>
      </c>
      <c r="L19" s="499">
        <v>2.648095E7</v>
      </c>
      <c r="M19" s="499">
        <v>0.0</v>
      </c>
      <c r="N19" s="499">
        <v>3.8743666E7</v>
      </c>
      <c r="O19" s="499">
        <v>4533621.0</v>
      </c>
      <c r="P19" s="499">
        <v>2.3004687E7</v>
      </c>
      <c r="Q19" s="499">
        <v>0.0</v>
      </c>
      <c r="R19" s="499">
        <v>401653.0</v>
      </c>
      <c r="S19" s="499">
        <v>3.8548799E7</v>
      </c>
      <c r="T19" s="499">
        <v>5597531.0</v>
      </c>
      <c r="U19" s="499">
        <v>4490573.0</v>
      </c>
      <c r="V19" s="499">
        <v>16692.0</v>
      </c>
      <c r="W19" s="499">
        <v>8.2471922E7</v>
      </c>
      <c r="X19" s="499">
        <v>6869989.0</v>
      </c>
      <c r="Y19" s="499">
        <v>3605.0</v>
      </c>
      <c r="Z19" s="499">
        <v>352626.0</v>
      </c>
      <c r="AA19" s="499">
        <v>527798.0</v>
      </c>
      <c r="AB19" s="499">
        <v>4780101.0</v>
      </c>
    </row>
    <row r="20">
      <c r="A20" s="493">
        <v>2005.0</v>
      </c>
      <c r="B20" s="499">
        <v>180579.0</v>
      </c>
      <c r="C20" s="499">
        <f t="shared" si="2"/>
        <v>367049719</v>
      </c>
      <c r="D20" s="499">
        <f t="shared" si="3"/>
        <v>1598166</v>
      </c>
      <c r="E20" s="499">
        <v>2.9953375E7</v>
      </c>
      <c r="F20" s="499">
        <v>1.9326943E7</v>
      </c>
      <c r="G20" s="499">
        <v>303591.0</v>
      </c>
      <c r="H20" s="499">
        <v>3773760.0</v>
      </c>
      <c r="I20" s="499">
        <v>8.7586375E7</v>
      </c>
      <c r="J20" s="499">
        <v>410065.0</v>
      </c>
      <c r="K20" s="499">
        <v>1.9568058E7</v>
      </c>
      <c r="L20" s="499">
        <v>3.0532313E7</v>
      </c>
      <c r="M20" s="499">
        <v>0.0</v>
      </c>
      <c r="N20" s="499">
        <v>3.7836811E7</v>
      </c>
      <c r="O20" s="499">
        <v>4093611.0</v>
      </c>
      <c r="P20" s="499">
        <v>2.4133324E7</v>
      </c>
      <c r="Q20" s="499">
        <v>6206.0</v>
      </c>
      <c r="R20" s="499">
        <v>382883.0</v>
      </c>
      <c r="S20" s="499">
        <v>3.727782E7</v>
      </c>
      <c r="T20" s="499">
        <v>5391902.0</v>
      </c>
      <c r="U20" s="499">
        <v>4616597.0</v>
      </c>
      <c r="V20" s="499">
        <v>0.0</v>
      </c>
      <c r="W20" s="499">
        <v>8.2688918E7</v>
      </c>
      <c r="X20" s="499">
        <v>1.2430351E7</v>
      </c>
      <c r="Y20" s="499">
        <v>0.0</v>
      </c>
      <c r="Z20" s="499">
        <v>387745.0</v>
      </c>
      <c r="AA20" s="499">
        <v>523947.0</v>
      </c>
      <c r="AB20" s="499">
        <v>4707316.0</v>
      </c>
    </row>
    <row r="21" ht="15.75" customHeight="1">
      <c r="A21" s="493">
        <v>2006.0</v>
      </c>
      <c r="B21" s="499">
        <v>194204.0</v>
      </c>
      <c r="C21" s="499">
        <f t="shared" si="2"/>
        <v>404898737</v>
      </c>
      <c r="D21" s="499">
        <f t="shared" si="3"/>
        <v>1588496</v>
      </c>
      <c r="E21" s="499">
        <v>3.3879292E7</v>
      </c>
      <c r="F21" s="499">
        <v>2.4593035E7</v>
      </c>
      <c r="G21" s="499">
        <v>293674.0</v>
      </c>
      <c r="H21" s="499">
        <v>3410309.0</v>
      </c>
      <c r="I21" s="499">
        <v>9.265325E7</v>
      </c>
      <c r="J21" s="499">
        <v>519151.0</v>
      </c>
      <c r="K21" s="499">
        <v>2.2768303E7</v>
      </c>
      <c r="L21" s="499">
        <v>3.2775697E7</v>
      </c>
      <c r="M21" s="499">
        <v>3097584.0</v>
      </c>
      <c r="N21" s="499">
        <v>3.974762E7</v>
      </c>
      <c r="O21" s="499">
        <v>5860998.0</v>
      </c>
      <c r="P21" s="499">
        <v>2.5355158E7</v>
      </c>
      <c r="Q21" s="499">
        <v>1086.0</v>
      </c>
      <c r="R21" s="499">
        <v>389468.0</v>
      </c>
      <c r="S21" s="499">
        <v>4.0000376E7</v>
      </c>
      <c r="T21" s="499">
        <v>5414423.0</v>
      </c>
      <c r="U21" s="499">
        <v>4565158.0</v>
      </c>
      <c r="V21" s="499">
        <v>0.0</v>
      </c>
      <c r="W21" s="499">
        <v>8.8527969E7</v>
      </c>
      <c r="X21" s="499">
        <v>1.7032317E7</v>
      </c>
      <c r="Y21" s="499">
        <v>0.0</v>
      </c>
      <c r="Z21" s="499">
        <v>407607.0</v>
      </c>
      <c r="AA21" s="499">
        <v>497747.0</v>
      </c>
      <c r="AB21" s="499">
        <v>4698473.0</v>
      </c>
    </row>
    <row r="22" ht="15.75" customHeight="1">
      <c r="A22" s="493">
        <v>2007.0</v>
      </c>
      <c r="B22" s="499">
        <v>206033.0</v>
      </c>
      <c r="C22" s="499">
        <f t="shared" si="2"/>
        <v>413729566</v>
      </c>
      <c r="D22" s="499">
        <f t="shared" si="3"/>
        <v>1542975</v>
      </c>
      <c r="E22" s="499">
        <v>3.4474682E7</v>
      </c>
      <c r="F22" s="499">
        <v>2.6608765E7</v>
      </c>
      <c r="G22" s="499">
        <v>283104.0</v>
      </c>
      <c r="H22" s="499">
        <v>3655146.0</v>
      </c>
      <c r="I22" s="499">
        <v>8.6196275E7</v>
      </c>
      <c r="J22" s="499">
        <v>2821835.0</v>
      </c>
      <c r="K22" s="499">
        <v>2.5268145E7</v>
      </c>
      <c r="L22" s="499">
        <v>3.1172396E7</v>
      </c>
      <c r="M22" s="499">
        <v>1.0216194E7</v>
      </c>
      <c r="N22" s="499">
        <v>4.0467627E7</v>
      </c>
      <c r="O22" s="499">
        <v>5303516.0</v>
      </c>
      <c r="P22" s="499">
        <v>2.4985991E7</v>
      </c>
      <c r="Q22" s="499">
        <v>443.0</v>
      </c>
      <c r="R22" s="499">
        <v>373106.0</v>
      </c>
      <c r="S22" s="499">
        <v>3.810156E7</v>
      </c>
      <c r="T22" s="499">
        <v>3651975.0</v>
      </c>
      <c r="U22" s="499">
        <v>5190147.0</v>
      </c>
      <c r="V22" s="499">
        <v>0.0</v>
      </c>
      <c r="W22" s="499">
        <v>9.152328E7</v>
      </c>
      <c r="X22" s="499">
        <v>1.7144361E7</v>
      </c>
      <c r="Y22" s="499">
        <v>0.0</v>
      </c>
      <c r="Z22" s="499">
        <v>404763.0</v>
      </c>
      <c r="AA22" s="499">
        <v>482002.0</v>
      </c>
      <c r="AB22" s="499">
        <v>5049231.0</v>
      </c>
    </row>
    <row r="23" ht="15.75" customHeight="1">
      <c r="A23" s="493">
        <v>2008.0</v>
      </c>
      <c r="B23" s="499">
        <v>182873.0</v>
      </c>
      <c r="C23" s="499">
        <f t="shared" si="2"/>
        <v>423898918</v>
      </c>
      <c r="D23" s="499">
        <f t="shared" si="3"/>
        <v>1571060</v>
      </c>
      <c r="E23" s="499">
        <v>3.5777489E7</v>
      </c>
      <c r="F23" s="499">
        <v>2.8707982E7</v>
      </c>
      <c r="G23" s="499">
        <v>300648.0</v>
      </c>
      <c r="H23" s="499">
        <v>3687169.0</v>
      </c>
      <c r="I23" s="499">
        <v>8.8584704E7</v>
      </c>
      <c r="J23" s="499">
        <v>3501147.0</v>
      </c>
      <c r="K23" s="499">
        <v>2.6076355E7</v>
      </c>
      <c r="L23" s="499">
        <v>3.1205381E7</v>
      </c>
      <c r="M23" s="499">
        <v>1.1453546E7</v>
      </c>
      <c r="N23" s="499">
        <v>4.0033283E7</v>
      </c>
      <c r="O23" s="499">
        <v>5261242.0</v>
      </c>
      <c r="P23" s="499">
        <v>2.0442963E7</v>
      </c>
      <c r="Q23" s="499">
        <v>168.0</v>
      </c>
      <c r="R23" s="499">
        <v>398500.0</v>
      </c>
      <c r="S23" s="499">
        <v>4.2145705E7</v>
      </c>
      <c r="T23" s="499">
        <v>2165881.0</v>
      </c>
      <c r="U23" s="499">
        <v>4988841.0</v>
      </c>
      <c r="V23" s="499">
        <v>0.0</v>
      </c>
      <c r="W23" s="499">
        <v>9.7578499E7</v>
      </c>
      <c r="X23" s="499">
        <v>1.8418546E7</v>
      </c>
      <c r="Y23" s="499">
        <v>0.0</v>
      </c>
      <c r="Z23" s="499">
        <v>393341.0</v>
      </c>
      <c r="AA23" s="499">
        <v>478571.0</v>
      </c>
      <c r="AB23" s="499">
        <v>6015890.0</v>
      </c>
    </row>
    <row r="24" ht="15.75" customHeight="1">
      <c r="A24" s="493">
        <v>2009.0</v>
      </c>
      <c r="B24" s="499">
        <v>197979.0</v>
      </c>
      <c r="C24" s="499">
        <f t="shared" si="2"/>
        <v>401284616</v>
      </c>
      <c r="D24" s="499">
        <f t="shared" si="3"/>
        <v>1399328</v>
      </c>
      <c r="E24" s="499">
        <v>3.3975524E7</v>
      </c>
      <c r="F24" s="499">
        <v>2.8395952E7</v>
      </c>
      <c r="G24" s="499">
        <v>255238.0</v>
      </c>
      <c r="H24" s="499">
        <v>3876766.0</v>
      </c>
      <c r="I24" s="499">
        <v>8.1079043E7</v>
      </c>
      <c r="J24" s="499">
        <v>3471844.0</v>
      </c>
      <c r="K24" s="499">
        <v>2.5411798E7</v>
      </c>
      <c r="L24" s="499">
        <v>2.3252475E7</v>
      </c>
      <c r="M24" s="499">
        <v>9766852.0</v>
      </c>
      <c r="N24" s="499">
        <v>3.9380964E7</v>
      </c>
      <c r="O24" s="499">
        <v>5233980.0</v>
      </c>
      <c r="P24" s="499">
        <v>2.1479183E7</v>
      </c>
      <c r="Q24" s="499">
        <v>12711.0</v>
      </c>
      <c r="R24" s="499">
        <v>373933.0</v>
      </c>
      <c r="S24" s="499">
        <v>2.9021485E7</v>
      </c>
      <c r="T24" s="499">
        <v>1361625.0</v>
      </c>
      <c r="U24" s="499">
        <v>4460896.0</v>
      </c>
      <c r="V24" s="499">
        <v>0.0</v>
      </c>
      <c r="W24" s="499">
        <v>9.8279377E7</v>
      </c>
      <c r="X24" s="499">
        <v>1.5842274E7</v>
      </c>
      <c r="Y24" s="499">
        <v>0.0</v>
      </c>
      <c r="Z24" s="499">
        <v>364542.0</v>
      </c>
      <c r="AA24" s="499">
        <v>405615.0</v>
      </c>
      <c r="AB24" s="499">
        <v>6016063.0</v>
      </c>
    </row>
    <row r="25" ht="15.75" customHeight="1">
      <c r="A25" s="493">
        <v>2010.0</v>
      </c>
      <c r="B25" s="499">
        <v>188194.0</v>
      </c>
      <c r="C25" s="499">
        <f t="shared" si="2"/>
        <v>442139104</v>
      </c>
      <c r="D25" s="499">
        <f t="shared" si="3"/>
        <v>1477405</v>
      </c>
      <c r="E25" s="499">
        <v>3.5908216E7</v>
      </c>
      <c r="F25" s="499">
        <v>2.5766025E7</v>
      </c>
      <c r="G25" s="499">
        <v>251830.0</v>
      </c>
      <c r="H25" s="499">
        <v>3128758.0</v>
      </c>
      <c r="I25" s="499">
        <v>1.16225536E8</v>
      </c>
      <c r="J25" s="499">
        <v>3819144.0</v>
      </c>
      <c r="K25" s="499">
        <v>2.5532509E7</v>
      </c>
      <c r="L25" s="499">
        <v>2.3500122E7</v>
      </c>
      <c r="M25" s="499">
        <v>1.1414277E7</v>
      </c>
      <c r="N25" s="499">
        <v>3.8499809E7</v>
      </c>
      <c r="O25" s="499">
        <v>5448073.0</v>
      </c>
      <c r="P25" s="499">
        <v>2.3225757E7</v>
      </c>
      <c r="Q25" s="499">
        <v>25913.0</v>
      </c>
      <c r="R25" s="499">
        <v>402814.0</v>
      </c>
      <c r="S25" s="499">
        <v>0.0</v>
      </c>
      <c r="T25" s="499">
        <v>1994499.0</v>
      </c>
      <c r="U25" s="499">
        <v>4760173.0</v>
      </c>
      <c r="V25" s="499">
        <v>0.0</v>
      </c>
      <c r="W25" s="499">
        <v>1.05755685E8</v>
      </c>
      <c r="X25" s="499">
        <v>1.1229907E7</v>
      </c>
      <c r="Y25" s="499">
        <v>0.0</v>
      </c>
      <c r="Z25" s="499">
        <v>373144.0</v>
      </c>
      <c r="AA25" s="499">
        <v>449617.0</v>
      </c>
      <c r="AB25" s="499">
        <v>5930614.0</v>
      </c>
    </row>
    <row r="26" ht="15.75" customHeight="1">
      <c r="A26" s="493">
        <v>2011.0</v>
      </c>
      <c r="B26" s="499">
        <v>193765.0</v>
      </c>
      <c r="C26" s="499">
        <f t="shared" si="2"/>
        <v>438389031</v>
      </c>
      <c r="D26" s="499">
        <f t="shared" si="3"/>
        <v>1582723</v>
      </c>
      <c r="E26" s="499">
        <v>3.7060246E7</v>
      </c>
      <c r="F26" s="499">
        <v>2.4582007E7</v>
      </c>
      <c r="G26" s="499">
        <v>280933.0</v>
      </c>
      <c r="H26" s="499">
        <v>3274768.0</v>
      </c>
      <c r="I26" s="499">
        <v>1.04958277E8</v>
      </c>
      <c r="J26" s="499">
        <v>3043110.0</v>
      </c>
      <c r="K26" s="499">
        <v>2.4967006E7</v>
      </c>
      <c r="L26" s="499">
        <v>2.4137594E7</v>
      </c>
      <c r="M26" s="499">
        <v>1.0013251E7</v>
      </c>
      <c r="N26" s="499">
        <v>3.945559E7</v>
      </c>
      <c r="O26" s="499">
        <v>5776092.0</v>
      </c>
      <c r="P26" s="499">
        <v>2.5365054E7</v>
      </c>
      <c r="Q26" s="499">
        <v>28738.0</v>
      </c>
      <c r="R26" s="499">
        <v>401536.0</v>
      </c>
      <c r="S26" s="499">
        <v>0.0</v>
      </c>
      <c r="T26" s="499">
        <v>1421715.0</v>
      </c>
      <c r="U26" s="499">
        <v>4567225.0</v>
      </c>
      <c r="V26" s="499">
        <v>0.0</v>
      </c>
      <c r="W26" s="499">
        <v>1.09064323E8</v>
      </c>
      <c r="X26" s="499">
        <v>1.5011017E7</v>
      </c>
      <c r="Y26" s="499">
        <v>0.0</v>
      </c>
      <c r="Z26" s="499">
        <v>409878.0</v>
      </c>
      <c r="AA26" s="499">
        <v>490376.0</v>
      </c>
      <c r="AB26" s="499">
        <v>5691756.0</v>
      </c>
    </row>
    <row r="27" ht="15.75" customHeight="1">
      <c r="A27" s="493">
        <v>2012.0</v>
      </c>
      <c r="B27" s="499">
        <v>180478.0</v>
      </c>
      <c r="C27" s="499">
        <f t="shared" si="2"/>
        <v>401416785</v>
      </c>
      <c r="D27" s="499">
        <f t="shared" si="3"/>
        <v>1547369</v>
      </c>
      <c r="E27" s="499">
        <v>3.4316314E7</v>
      </c>
      <c r="F27" s="499">
        <v>2.4227846E7</v>
      </c>
      <c r="G27" s="499">
        <v>301619.0</v>
      </c>
      <c r="H27" s="499">
        <v>2871825.0</v>
      </c>
      <c r="I27" s="499">
        <v>9.3082919E7</v>
      </c>
      <c r="J27" s="499">
        <v>4636557.0</v>
      </c>
      <c r="K27" s="499">
        <v>1.8058827E7</v>
      </c>
      <c r="L27" s="499">
        <v>1.6841183E7</v>
      </c>
      <c r="M27" s="499">
        <v>7564231.0</v>
      </c>
      <c r="N27" s="499">
        <v>3.9204736E7</v>
      </c>
      <c r="O27" s="499">
        <v>6006787.0</v>
      </c>
      <c r="P27" s="499">
        <v>2.2466733E7</v>
      </c>
      <c r="Q27" s="499">
        <v>24040.0</v>
      </c>
      <c r="R27" s="499">
        <v>382871.0</v>
      </c>
      <c r="S27" s="499">
        <v>0.0</v>
      </c>
      <c r="T27" s="499">
        <v>887654.0</v>
      </c>
      <c r="U27" s="499">
        <v>4644628.0</v>
      </c>
      <c r="V27" s="499">
        <v>0.0</v>
      </c>
      <c r="W27" s="499">
        <v>1.07639188E8</v>
      </c>
      <c r="X27" s="499">
        <v>1.4721376E7</v>
      </c>
      <c r="Y27" s="499">
        <v>0.0</v>
      </c>
      <c r="Z27" s="499">
        <v>372098.0</v>
      </c>
      <c r="AA27" s="499">
        <v>490781.0</v>
      </c>
      <c r="AB27" s="499">
        <v>4245981.0</v>
      </c>
    </row>
    <row r="28" ht="15.75" customHeight="1">
      <c r="A28" s="493">
        <v>2013.0</v>
      </c>
      <c r="B28" s="499">
        <v>157962.0</v>
      </c>
      <c r="C28" s="499">
        <f t="shared" si="2"/>
        <v>387897241</v>
      </c>
      <c r="D28" s="499">
        <f t="shared" si="3"/>
        <v>1580204</v>
      </c>
      <c r="E28" s="499">
        <v>3.1354248E7</v>
      </c>
      <c r="F28" s="499">
        <v>1.8258922E7</v>
      </c>
      <c r="G28" s="499">
        <v>299276.0</v>
      </c>
      <c r="H28" s="499">
        <v>3657036.0</v>
      </c>
      <c r="I28" s="499">
        <v>1.00687876E8</v>
      </c>
      <c r="J28" s="499">
        <v>4442616.0</v>
      </c>
      <c r="K28" s="499">
        <v>1.5023906E7</v>
      </c>
      <c r="L28" s="499">
        <v>8979111.0</v>
      </c>
      <c r="M28" s="499">
        <v>8522265.0</v>
      </c>
      <c r="N28" s="499">
        <v>3.667045E7</v>
      </c>
      <c r="O28" s="499">
        <v>5433936.0</v>
      </c>
      <c r="P28" s="499">
        <v>1.9904433E7</v>
      </c>
      <c r="Q28" s="499">
        <v>26587.0</v>
      </c>
      <c r="R28" s="499">
        <v>400857.0</v>
      </c>
      <c r="S28" s="499">
        <v>0.0</v>
      </c>
      <c r="T28" s="499">
        <v>785984.0</v>
      </c>
      <c r="U28" s="499">
        <v>4639135.0</v>
      </c>
      <c r="V28" s="499">
        <v>0.0</v>
      </c>
      <c r="W28" s="499">
        <v>1.11005549E8</v>
      </c>
      <c r="X28" s="499">
        <v>1.4246329E7</v>
      </c>
      <c r="Y28" s="499">
        <v>0.0</v>
      </c>
      <c r="Z28" s="499">
        <v>373172.0</v>
      </c>
      <c r="AA28" s="499">
        <v>506899.0</v>
      </c>
      <c r="AB28" s="499">
        <v>4285445.0</v>
      </c>
    </row>
    <row r="29" ht="15.75" customHeight="1">
      <c r="A29" s="493">
        <v>2014.0</v>
      </c>
      <c r="B29" s="499">
        <v>140844.0</v>
      </c>
      <c r="C29" s="499">
        <f t="shared" si="2"/>
        <v>395607099</v>
      </c>
      <c r="D29" s="499">
        <f t="shared" si="3"/>
        <v>1525614</v>
      </c>
      <c r="E29" s="499">
        <v>3.364696E7</v>
      </c>
      <c r="F29" s="499">
        <v>1.5796556E7</v>
      </c>
      <c r="G29" s="499">
        <v>285535.0</v>
      </c>
      <c r="H29" s="499">
        <v>4017845.0</v>
      </c>
      <c r="I29" s="499">
        <v>1.0101686E8</v>
      </c>
      <c r="J29" s="499">
        <v>3369731.0</v>
      </c>
      <c r="K29" s="499">
        <v>1.5334726E7</v>
      </c>
      <c r="L29" s="499">
        <v>7990986.0</v>
      </c>
      <c r="M29" s="499">
        <v>9414483.0</v>
      </c>
      <c r="N29" s="499">
        <v>3.4809101E7</v>
      </c>
      <c r="O29" s="499">
        <v>5373973.0</v>
      </c>
      <c r="P29" s="499">
        <v>2.0690237E7</v>
      </c>
      <c r="Q29" s="499">
        <v>12900.0</v>
      </c>
      <c r="R29" s="499">
        <v>378565.0</v>
      </c>
      <c r="S29" s="499">
        <v>0.0</v>
      </c>
      <c r="T29" s="499">
        <v>1990376.0</v>
      </c>
      <c r="U29" s="499">
        <v>4399253.0</v>
      </c>
      <c r="V29" s="499">
        <v>0.0</v>
      </c>
      <c r="W29" s="499">
        <v>1.17965515E8</v>
      </c>
      <c r="X29" s="499">
        <v>1.5473474E7</v>
      </c>
      <c r="Y29" s="499">
        <v>0.0</v>
      </c>
      <c r="Z29" s="499">
        <v>373472.0</v>
      </c>
      <c r="AA29" s="499">
        <v>488042.0</v>
      </c>
      <c r="AB29" s="499">
        <v>4317023.0</v>
      </c>
    </row>
    <row r="30" ht="15.75" customHeight="1">
      <c r="A30" s="493">
        <v>2015.0</v>
      </c>
      <c r="B30" s="499">
        <v>145694.0</v>
      </c>
      <c r="C30" s="499">
        <f t="shared" si="2"/>
        <v>375772504</v>
      </c>
      <c r="D30" s="499">
        <f t="shared" si="3"/>
        <v>1496189</v>
      </c>
      <c r="E30" s="499">
        <v>3.5181059E7</v>
      </c>
      <c r="F30" s="499">
        <v>1.8318629E7</v>
      </c>
      <c r="G30" s="499">
        <v>280471.0</v>
      </c>
      <c r="H30" s="499">
        <v>2735308.0</v>
      </c>
      <c r="I30" s="499">
        <v>9.9450689E7</v>
      </c>
      <c r="J30" s="499">
        <v>3090175.0</v>
      </c>
      <c r="K30" s="499">
        <v>1.366683E7</v>
      </c>
      <c r="L30" s="499">
        <v>1.1402062E7</v>
      </c>
      <c r="M30" s="499">
        <v>7840491.0</v>
      </c>
      <c r="N30" s="499">
        <v>2.2871976E7</v>
      </c>
      <c r="O30" s="499">
        <v>6369206.0</v>
      </c>
      <c r="P30" s="499">
        <v>1.9649723E7</v>
      </c>
      <c r="Q30" s="499">
        <v>0.0</v>
      </c>
      <c r="R30" s="499">
        <v>377490.0</v>
      </c>
      <c r="S30" s="499">
        <v>0.0</v>
      </c>
      <c r="T30" s="499">
        <v>2073197.0</v>
      </c>
      <c r="U30" s="499">
        <v>4470864.0</v>
      </c>
      <c r="V30" s="499">
        <v>0.0</v>
      </c>
      <c r="W30" s="499">
        <v>1.09343913E8</v>
      </c>
      <c r="X30" s="499">
        <v>1.5167996E7</v>
      </c>
      <c r="Y30" s="499">
        <v>0.0</v>
      </c>
      <c r="Z30" s="499">
        <v>368978.0</v>
      </c>
      <c r="AA30" s="499">
        <v>469250.0</v>
      </c>
      <c r="AB30" s="499">
        <v>4140386.0</v>
      </c>
    </row>
    <row r="31" ht="15.75" customHeight="1">
      <c r="A31" s="493">
        <v>2016.0</v>
      </c>
      <c r="B31" s="499">
        <v>161291.0</v>
      </c>
      <c r="C31" s="499">
        <f t="shared" si="2"/>
        <v>297118132</v>
      </c>
      <c r="D31" s="499">
        <f t="shared" si="3"/>
        <v>1304842</v>
      </c>
      <c r="E31" s="499">
        <v>2.9793257E7</v>
      </c>
      <c r="F31" s="499">
        <v>1.4883227E7</v>
      </c>
      <c r="G31" s="499">
        <v>268366.0</v>
      </c>
      <c r="H31" s="499">
        <v>2160163.0</v>
      </c>
      <c r="I31" s="499">
        <v>6.7889779E7</v>
      </c>
      <c r="J31" s="499">
        <v>1167265.0</v>
      </c>
      <c r="K31" s="499">
        <v>7130578.0</v>
      </c>
      <c r="L31" s="499">
        <v>1.1221557E7</v>
      </c>
      <c r="M31" s="499">
        <v>8179632.0</v>
      </c>
      <c r="N31" s="499">
        <v>1.8332046E7</v>
      </c>
      <c r="O31" s="499">
        <v>6141433.0</v>
      </c>
      <c r="P31" s="499">
        <v>1.9003005E7</v>
      </c>
      <c r="Q31" s="499">
        <v>0.0</v>
      </c>
      <c r="R31" s="499">
        <v>248727.0</v>
      </c>
      <c r="S31" s="499">
        <v>0.0</v>
      </c>
      <c r="T31" s="499">
        <v>2449926.0</v>
      </c>
      <c r="U31" s="499">
        <v>4105900.0</v>
      </c>
      <c r="V31" s="499">
        <v>0.0</v>
      </c>
      <c r="W31" s="499">
        <v>9.2863811E7</v>
      </c>
      <c r="X31" s="499">
        <v>8079139.0</v>
      </c>
      <c r="Y31" s="499">
        <v>0.0</v>
      </c>
      <c r="Z31" s="499">
        <v>366062.0</v>
      </c>
      <c r="AA31" s="499">
        <v>421687.0</v>
      </c>
      <c r="AB31" s="499">
        <v>3717414.0</v>
      </c>
    </row>
    <row r="32" ht="15.75" customHeight="1">
      <c r="A32" s="493">
        <v>2017.0</v>
      </c>
      <c r="B32" s="499">
        <v>188135.0</v>
      </c>
      <c r="C32" s="499">
        <f t="shared" si="2"/>
        <v>316269517</v>
      </c>
      <c r="D32" s="499">
        <f t="shared" si="3"/>
        <v>1395634</v>
      </c>
      <c r="E32" s="499">
        <v>2.8503504E7</v>
      </c>
      <c r="F32" s="499">
        <v>1.5826344E7</v>
      </c>
      <c r="G32" s="499">
        <v>279979.0</v>
      </c>
      <c r="H32" s="499">
        <v>2555732.0</v>
      </c>
      <c r="I32" s="499">
        <v>7.0513365E7</v>
      </c>
      <c r="J32" s="499">
        <v>1715801.0</v>
      </c>
      <c r="K32" s="499">
        <v>1.4517853E7</v>
      </c>
      <c r="L32" s="499">
        <v>1.1125949E7</v>
      </c>
      <c r="M32" s="499">
        <v>8963048.0</v>
      </c>
      <c r="N32" s="499">
        <v>1.6393569E7</v>
      </c>
      <c r="O32" s="499">
        <v>6045618.0</v>
      </c>
      <c r="P32" s="499">
        <v>1.7264483E7</v>
      </c>
      <c r="Q32" s="499">
        <v>0.0</v>
      </c>
      <c r="R32" s="499">
        <v>327759.0</v>
      </c>
      <c r="S32" s="499">
        <v>0.0</v>
      </c>
      <c r="T32" s="499">
        <v>2495558.0</v>
      </c>
      <c r="U32" s="499">
        <v>4224426.0</v>
      </c>
      <c r="V32" s="499">
        <v>0.0</v>
      </c>
      <c r="W32" s="499">
        <v>1.01595323E8</v>
      </c>
      <c r="X32" s="499">
        <v>1.0346144E7</v>
      </c>
      <c r="Y32" s="499">
        <v>0.0</v>
      </c>
      <c r="Z32" s="499">
        <v>353365.0</v>
      </c>
      <c r="AA32" s="499">
        <v>434531.0</v>
      </c>
      <c r="AB32" s="499">
        <v>4182800.0</v>
      </c>
    </row>
    <row r="33" ht="15.75" customHeight="1">
      <c r="A33" s="493">
        <v>2018.0</v>
      </c>
      <c r="B33" s="499">
        <v>190230.0</v>
      </c>
      <c r="C33" s="499">
        <f t="shared" si="2"/>
        <v>304187602</v>
      </c>
      <c r="D33" s="499">
        <f t="shared" si="3"/>
        <v>1423015</v>
      </c>
      <c r="E33" s="499">
        <v>2.3155741E7</v>
      </c>
      <c r="F33" s="499">
        <v>1.8467405E7</v>
      </c>
      <c r="G33" s="499">
        <v>293636.0</v>
      </c>
      <c r="H33" s="499">
        <v>2499798.0</v>
      </c>
      <c r="I33" s="499">
        <v>7.1134606E7</v>
      </c>
      <c r="J33" s="499">
        <v>2210433.0</v>
      </c>
      <c r="K33" s="499">
        <v>1.3508689E7</v>
      </c>
      <c r="L33" s="499">
        <v>1.1333467E7</v>
      </c>
      <c r="M33" s="499">
        <v>7987838.0</v>
      </c>
      <c r="N33" s="499">
        <v>1.2609413E7</v>
      </c>
      <c r="O33" s="499">
        <v>6304022.0</v>
      </c>
      <c r="P33" s="499">
        <v>1.7055796E7</v>
      </c>
      <c r="Q33" s="499">
        <v>0.0</v>
      </c>
      <c r="R33" s="499">
        <v>353184.0</v>
      </c>
      <c r="S33" s="499">
        <v>0.0</v>
      </c>
      <c r="T33" s="499">
        <v>1997883.0</v>
      </c>
      <c r="U33" s="499">
        <v>4016923.0</v>
      </c>
      <c r="V33" s="499">
        <v>0.0</v>
      </c>
      <c r="W33" s="499">
        <v>9.8315794E7</v>
      </c>
      <c r="X33" s="499">
        <v>9504750.0</v>
      </c>
      <c r="Y33" s="499">
        <v>0.0</v>
      </c>
      <c r="Z33" s="499">
        <v>347200.0</v>
      </c>
      <c r="AA33" s="499">
        <v>428995.0</v>
      </c>
      <c r="AB33" s="499">
        <v>4085044.0</v>
      </c>
    </row>
    <row r="34" ht="15.75" customHeight="1">
      <c r="A34" s="493">
        <v>2019.0</v>
      </c>
      <c r="B34" s="502"/>
      <c r="C34" s="499">
        <f t="shared" si="2"/>
        <v>0</v>
      </c>
      <c r="D34" s="499">
        <f t="shared" si="3"/>
        <v>0</v>
      </c>
      <c r="E34" s="502"/>
      <c r="F34" s="502"/>
      <c r="G34" s="502"/>
      <c r="H34" s="502"/>
      <c r="I34" s="502"/>
      <c r="J34" s="502"/>
      <c r="K34" s="502"/>
      <c r="L34" s="502"/>
      <c r="M34" s="502"/>
      <c r="N34" s="502"/>
      <c r="O34" s="502"/>
      <c r="P34" s="502"/>
      <c r="Q34" s="502"/>
      <c r="R34" s="502"/>
      <c r="S34" s="502"/>
      <c r="T34" s="502"/>
      <c r="U34" s="502"/>
      <c r="V34" s="502"/>
      <c r="W34" s="502"/>
      <c r="X34" s="502"/>
      <c r="Y34" s="502"/>
      <c r="Z34" s="502"/>
      <c r="AA34" s="502"/>
      <c r="AB34" s="502"/>
    </row>
    <row r="35" ht="15.75" customHeight="1">
      <c r="A35" s="493">
        <v>2020.0</v>
      </c>
      <c r="B35" s="502"/>
      <c r="C35" s="499">
        <f t="shared" si="2"/>
        <v>0</v>
      </c>
      <c r="D35" s="499">
        <f t="shared" si="3"/>
        <v>0</v>
      </c>
      <c r="E35" s="502"/>
      <c r="F35" s="502"/>
      <c r="G35" s="502"/>
      <c r="H35" s="502"/>
      <c r="I35" s="502"/>
      <c r="J35" s="502"/>
      <c r="K35" s="502"/>
      <c r="L35" s="502"/>
      <c r="M35" s="502"/>
      <c r="N35" s="502"/>
      <c r="O35" s="502"/>
      <c r="P35" s="502"/>
      <c r="Q35" s="502"/>
      <c r="R35" s="502"/>
      <c r="S35" s="502"/>
      <c r="T35" s="502"/>
      <c r="U35" s="502"/>
      <c r="V35" s="502"/>
      <c r="W35" s="502"/>
      <c r="X35" s="502"/>
      <c r="Y35" s="502"/>
      <c r="Z35" s="502"/>
      <c r="AA35" s="502"/>
      <c r="AB35" s="502"/>
    </row>
    <row r="36" ht="15.75" customHeight="1">
      <c r="A36" s="493">
        <v>2021.0</v>
      </c>
      <c r="B36" s="502"/>
      <c r="C36" s="499">
        <f t="shared" si="2"/>
        <v>0</v>
      </c>
      <c r="D36" s="499">
        <f t="shared" si="3"/>
        <v>0</v>
      </c>
      <c r="E36" s="502"/>
      <c r="F36" s="502"/>
      <c r="G36" s="502"/>
      <c r="H36" s="502"/>
      <c r="I36" s="502"/>
      <c r="J36" s="502"/>
      <c r="K36" s="502"/>
      <c r="L36" s="502"/>
      <c r="M36" s="502"/>
      <c r="N36" s="502"/>
      <c r="O36" s="502"/>
      <c r="P36" s="502"/>
      <c r="Q36" s="502"/>
      <c r="R36" s="502"/>
      <c r="S36" s="502"/>
      <c r="T36" s="502"/>
      <c r="U36" s="502"/>
      <c r="V36" s="502"/>
      <c r="W36" s="502"/>
      <c r="X36" s="502"/>
      <c r="Y36" s="502"/>
      <c r="Z36" s="502"/>
      <c r="AA36" s="502"/>
      <c r="AB36" s="502"/>
    </row>
    <row r="37" ht="15.75" customHeight="1">
      <c r="A37" s="493">
        <v>2022.0</v>
      </c>
      <c r="B37" s="502"/>
      <c r="C37" s="499">
        <f t="shared" si="2"/>
        <v>0</v>
      </c>
      <c r="D37" s="499">
        <f t="shared" si="3"/>
        <v>0</v>
      </c>
      <c r="E37" s="502"/>
      <c r="F37" s="502"/>
      <c r="G37" s="502"/>
      <c r="H37" s="502"/>
      <c r="I37" s="502"/>
      <c r="J37" s="502"/>
      <c r="K37" s="502"/>
      <c r="L37" s="502"/>
      <c r="M37" s="502"/>
      <c r="N37" s="502"/>
      <c r="O37" s="502"/>
      <c r="P37" s="502"/>
      <c r="Q37" s="502"/>
      <c r="R37" s="502"/>
      <c r="S37" s="502"/>
      <c r="T37" s="502"/>
      <c r="U37" s="502"/>
      <c r="V37" s="502"/>
      <c r="W37" s="502"/>
      <c r="X37" s="502"/>
      <c r="Y37" s="502"/>
      <c r="Z37" s="502"/>
      <c r="AA37" s="502"/>
      <c r="AB37" s="502"/>
    </row>
    <row r="38" ht="15.75" customHeight="1">
      <c r="A38" s="493">
        <v>2023.0</v>
      </c>
      <c r="B38" s="502"/>
      <c r="C38" s="499">
        <f t="shared" si="2"/>
        <v>0</v>
      </c>
      <c r="D38" s="499">
        <f t="shared" si="3"/>
        <v>0</v>
      </c>
      <c r="E38" s="502"/>
      <c r="F38" s="502"/>
      <c r="G38" s="502"/>
      <c r="H38" s="502"/>
      <c r="I38" s="502"/>
      <c r="J38" s="502"/>
      <c r="K38" s="502"/>
      <c r="L38" s="502"/>
      <c r="M38" s="502"/>
      <c r="N38" s="502"/>
      <c r="O38" s="502"/>
      <c r="P38" s="502"/>
      <c r="Q38" s="502"/>
      <c r="R38" s="502"/>
      <c r="S38" s="502"/>
      <c r="T38" s="502"/>
      <c r="U38" s="502"/>
      <c r="V38" s="502"/>
      <c r="W38" s="502"/>
      <c r="X38" s="502"/>
      <c r="Y38" s="502"/>
      <c r="Z38" s="502"/>
      <c r="AA38" s="502"/>
      <c r="AB38" s="502"/>
    </row>
    <row r="39" ht="15.75" customHeight="1">
      <c r="A39" s="493">
        <v>2024.0</v>
      </c>
      <c r="B39" s="502"/>
      <c r="C39" s="499">
        <f t="shared" si="2"/>
        <v>0</v>
      </c>
      <c r="D39" s="499">
        <f t="shared" si="3"/>
        <v>0</v>
      </c>
      <c r="E39" s="502"/>
      <c r="F39" s="502"/>
      <c r="G39" s="502"/>
      <c r="H39" s="502"/>
      <c r="I39" s="502"/>
      <c r="J39" s="502"/>
      <c r="K39" s="502"/>
      <c r="L39" s="502"/>
      <c r="M39" s="502"/>
      <c r="N39" s="502"/>
      <c r="O39" s="502"/>
      <c r="P39" s="502"/>
      <c r="Q39" s="502"/>
      <c r="R39" s="502"/>
      <c r="S39" s="502"/>
      <c r="T39" s="502"/>
      <c r="U39" s="502"/>
      <c r="V39" s="502"/>
      <c r="W39" s="502"/>
      <c r="X39" s="502"/>
      <c r="Y39" s="502"/>
      <c r="Z39" s="502"/>
      <c r="AA39" s="502"/>
      <c r="AB39" s="502"/>
    </row>
    <row r="40" ht="15.75" customHeight="1">
      <c r="A40" s="493">
        <v>2025.0</v>
      </c>
      <c r="B40" s="502"/>
      <c r="C40" s="499">
        <f t="shared" si="2"/>
        <v>0</v>
      </c>
      <c r="D40" s="499">
        <f t="shared" si="3"/>
        <v>0</v>
      </c>
      <c r="E40" s="502"/>
      <c r="F40" s="502"/>
      <c r="G40" s="502"/>
      <c r="H40" s="502"/>
      <c r="I40" s="502"/>
      <c r="J40" s="502"/>
      <c r="K40" s="502"/>
      <c r="L40" s="502"/>
      <c r="M40" s="502"/>
      <c r="N40" s="502"/>
      <c r="O40" s="502"/>
      <c r="P40" s="502"/>
      <c r="Q40" s="502"/>
      <c r="R40" s="502"/>
      <c r="S40" s="502"/>
      <c r="T40" s="502"/>
      <c r="U40" s="502"/>
      <c r="V40" s="502"/>
      <c r="W40" s="502"/>
      <c r="X40" s="502"/>
      <c r="Y40" s="502"/>
      <c r="Z40" s="502"/>
      <c r="AA40" s="502"/>
      <c r="AB40" s="502"/>
    </row>
    <row r="41" ht="15.75" customHeight="1">
      <c r="A41" s="493">
        <v>2026.0</v>
      </c>
      <c r="B41" s="502"/>
      <c r="C41" s="499">
        <f t="shared" si="2"/>
        <v>0</v>
      </c>
      <c r="D41" s="499">
        <f t="shared" si="3"/>
        <v>0</v>
      </c>
      <c r="E41" s="502"/>
      <c r="F41" s="502"/>
      <c r="G41" s="502"/>
      <c r="H41" s="502"/>
      <c r="I41" s="502"/>
      <c r="J41" s="502"/>
      <c r="K41" s="502"/>
      <c r="L41" s="502"/>
      <c r="M41" s="502"/>
      <c r="N41" s="502"/>
      <c r="O41" s="502"/>
      <c r="P41" s="502"/>
      <c r="Q41" s="502"/>
      <c r="R41" s="502"/>
      <c r="S41" s="502"/>
      <c r="T41" s="502"/>
      <c r="U41" s="502"/>
      <c r="V41" s="502"/>
      <c r="W41" s="502"/>
      <c r="X41" s="502"/>
      <c r="Y41" s="502"/>
      <c r="Z41" s="502"/>
      <c r="AA41" s="502"/>
      <c r="AB41" s="502"/>
    </row>
    <row r="42" ht="15.75" customHeight="1">
      <c r="A42" s="493">
        <v>2027.0</v>
      </c>
      <c r="B42" s="502"/>
      <c r="C42" s="499">
        <f t="shared" si="2"/>
        <v>0</v>
      </c>
      <c r="D42" s="499">
        <f t="shared" si="3"/>
        <v>0</v>
      </c>
      <c r="E42" s="502"/>
      <c r="F42" s="502"/>
      <c r="G42" s="502"/>
      <c r="H42" s="502"/>
      <c r="I42" s="502"/>
      <c r="J42" s="502"/>
      <c r="K42" s="502"/>
      <c r="L42" s="502"/>
      <c r="M42" s="502"/>
      <c r="N42" s="502"/>
      <c r="O42" s="502"/>
      <c r="P42" s="502"/>
      <c r="Q42" s="502"/>
      <c r="R42" s="502"/>
      <c r="S42" s="502"/>
      <c r="T42" s="502"/>
      <c r="U42" s="502"/>
      <c r="V42" s="502"/>
      <c r="W42" s="502"/>
      <c r="X42" s="502"/>
      <c r="Y42" s="502"/>
      <c r="Z42" s="502"/>
      <c r="AA42" s="502"/>
      <c r="AB42" s="502"/>
    </row>
    <row r="43" ht="15.75" customHeight="1">
      <c r="A43" s="493">
        <v>2028.0</v>
      </c>
      <c r="B43" s="502"/>
      <c r="C43" s="499">
        <f t="shared" si="2"/>
        <v>0</v>
      </c>
      <c r="D43" s="499">
        <f t="shared" si="3"/>
        <v>0</v>
      </c>
      <c r="E43" s="502"/>
      <c r="F43" s="502"/>
      <c r="G43" s="502"/>
      <c r="H43" s="502"/>
      <c r="I43" s="502"/>
      <c r="J43" s="502"/>
      <c r="K43" s="502"/>
      <c r="L43" s="502"/>
      <c r="M43" s="502"/>
      <c r="N43" s="502"/>
      <c r="O43" s="502"/>
      <c r="P43" s="502"/>
      <c r="Q43" s="502"/>
      <c r="R43" s="502"/>
      <c r="S43" s="502"/>
      <c r="T43" s="502"/>
      <c r="U43" s="502"/>
      <c r="V43" s="502"/>
      <c r="W43" s="502"/>
      <c r="X43" s="502"/>
      <c r="Y43" s="502"/>
      <c r="Z43" s="502"/>
      <c r="AA43" s="502"/>
      <c r="AB43" s="502"/>
    </row>
    <row r="44" ht="15.75" customHeight="1">
      <c r="A44" s="493">
        <v>2029.0</v>
      </c>
      <c r="B44" s="502"/>
      <c r="C44" s="499">
        <f t="shared" si="2"/>
        <v>0</v>
      </c>
      <c r="D44" s="499">
        <f t="shared" si="3"/>
        <v>0</v>
      </c>
      <c r="E44" s="502"/>
      <c r="F44" s="502"/>
      <c r="G44" s="502"/>
      <c r="H44" s="502"/>
      <c r="I44" s="502"/>
      <c r="J44" s="502"/>
      <c r="K44" s="502"/>
      <c r="L44" s="502"/>
      <c r="M44" s="502"/>
      <c r="N44" s="502"/>
      <c r="O44" s="502"/>
      <c r="P44" s="502"/>
      <c r="Q44" s="502"/>
      <c r="R44" s="502"/>
      <c r="S44" s="502"/>
      <c r="T44" s="502"/>
      <c r="U44" s="502"/>
      <c r="V44" s="502"/>
      <c r="W44" s="502"/>
      <c r="X44" s="502"/>
      <c r="Y44" s="502"/>
      <c r="Z44" s="502"/>
      <c r="AA44" s="502"/>
      <c r="AB44" s="502"/>
    </row>
    <row r="45" ht="15.75" customHeight="1">
      <c r="A45" s="493">
        <v>2030.0</v>
      </c>
      <c r="B45" s="502"/>
      <c r="C45" s="499">
        <f t="shared" si="2"/>
        <v>0</v>
      </c>
      <c r="D45" s="499">
        <f t="shared" si="3"/>
        <v>0</v>
      </c>
      <c r="E45" s="502"/>
      <c r="F45" s="502"/>
      <c r="G45" s="502"/>
      <c r="H45" s="502"/>
      <c r="I45" s="502"/>
      <c r="J45" s="502"/>
      <c r="K45" s="502"/>
      <c r="L45" s="502"/>
      <c r="M45" s="502"/>
      <c r="N45" s="502"/>
      <c r="O45" s="502"/>
      <c r="P45" s="502"/>
      <c r="Q45" s="502"/>
      <c r="R45" s="502"/>
      <c r="S45" s="502"/>
      <c r="T45" s="502"/>
      <c r="U45" s="502"/>
      <c r="V45" s="502"/>
      <c r="W45" s="502"/>
      <c r="X45" s="502"/>
      <c r="Y45" s="502"/>
      <c r="Z45" s="502"/>
      <c r="AA45" s="502"/>
      <c r="AB45" s="502"/>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s>
  <printOptions/>
  <pageMargins bottom="0.75" footer="0.0" header="0.0" left="0.7" right="0.7" top="0.75"/>
  <pageSetup orientation="portrait"/>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AAC"/>
    <pageSetUpPr/>
  </sheetPr>
  <sheetViews>
    <sheetView workbookViewId="0"/>
  </sheetViews>
  <sheetFormatPr customHeight="1" defaultColWidth="14.43" defaultRowHeight="15.0"/>
  <cols>
    <col customWidth="1" min="1" max="1" width="14.0"/>
    <col customWidth="1" min="2" max="7" width="23.86"/>
    <col customWidth="1" min="8" max="11" width="24.0"/>
    <col customWidth="1" min="12" max="26" width="8.71"/>
  </cols>
  <sheetData>
    <row r="1">
      <c r="A1" t="s">
        <v>567</v>
      </c>
    </row>
    <row r="2">
      <c r="A2" t="s">
        <v>568</v>
      </c>
    </row>
    <row r="3">
      <c r="A3" t="s">
        <v>569</v>
      </c>
    </row>
    <row r="4">
      <c r="A4" s="489" t="s">
        <v>570</v>
      </c>
      <c r="B4" s="489"/>
    </row>
    <row r="5">
      <c r="J5" s="503" t="s">
        <v>571</v>
      </c>
      <c r="K5" s="463"/>
    </row>
    <row r="6">
      <c r="A6" t="s">
        <v>572</v>
      </c>
      <c r="B6" s="504" t="s">
        <v>573</v>
      </c>
      <c r="C6" s="504" t="s">
        <v>574</v>
      </c>
      <c r="D6" s="504" t="s">
        <v>575</v>
      </c>
      <c r="E6" s="504" t="s">
        <v>576</v>
      </c>
      <c r="F6" s="504" t="s">
        <v>577</v>
      </c>
      <c r="G6" s="504" t="s">
        <v>578</v>
      </c>
      <c r="H6" s="504" t="s">
        <v>579</v>
      </c>
      <c r="I6" s="504" t="s">
        <v>580</v>
      </c>
      <c r="J6" s="504" t="s">
        <v>581</v>
      </c>
      <c r="K6" s="504" t="s">
        <v>581</v>
      </c>
    </row>
    <row r="7">
      <c r="A7" t="s">
        <v>583</v>
      </c>
      <c r="B7" s="504" t="s">
        <v>21</v>
      </c>
      <c r="C7" s="504" t="s">
        <v>21</v>
      </c>
      <c r="D7" s="504" t="s">
        <v>21</v>
      </c>
      <c r="E7" s="504" t="s">
        <v>21</v>
      </c>
      <c r="F7" s="504" t="s">
        <v>134</v>
      </c>
      <c r="G7" s="504" t="s">
        <v>134</v>
      </c>
      <c r="H7" s="504" t="s">
        <v>21</v>
      </c>
      <c r="I7" s="504" t="s">
        <v>21</v>
      </c>
      <c r="J7" s="504" t="s">
        <v>134</v>
      </c>
      <c r="K7" s="504" t="s">
        <v>21</v>
      </c>
    </row>
    <row r="8">
      <c r="A8" t="s">
        <v>554</v>
      </c>
      <c r="B8" s="504" t="s">
        <v>584</v>
      </c>
      <c r="C8" s="504" t="s">
        <v>584</v>
      </c>
      <c r="D8" s="504" t="s">
        <v>584</v>
      </c>
      <c r="E8" s="504" t="s">
        <v>584</v>
      </c>
      <c r="F8" s="504" t="s">
        <v>584</v>
      </c>
      <c r="G8" s="504" t="s">
        <v>584</v>
      </c>
      <c r="H8" s="504" t="s">
        <v>584</v>
      </c>
      <c r="I8" s="504" t="s">
        <v>584</v>
      </c>
      <c r="J8" s="504" t="s">
        <v>585</v>
      </c>
      <c r="K8" s="504" t="s">
        <v>585</v>
      </c>
    </row>
    <row r="9">
      <c r="A9" t="s">
        <v>586</v>
      </c>
      <c r="B9" s="504">
        <v>2.0</v>
      </c>
      <c r="C9" s="504">
        <v>3.0</v>
      </c>
      <c r="D9" s="504">
        <v>4.0</v>
      </c>
      <c r="E9" s="504">
        <v>5.0</v>
      </c>
      <c r="F9" s="504">
        <v>6.0</v>
      </c>
      <c r="G9" s="504">
        <v>7.0</v>
      </c>
      <c r="H9" s="504">
        <v>8.0</v>
      </c>
      <c r="I9" s="504">
        <v>9.0</v>
      </c>
      <c r="J9" s="504">
        <v>10.0</v>
      </c>
      <c r="K9" s="504">
        <v>11.0</v>
      </c>
    </row>
    <row r="10">
      <c r="A10" s="504">
        <v>1980.0</v>
      </c>
      <c r="B10" s="505" t="s">
        <v>7</v>
      </c>
      <c r="C10" s="505" t="s">
        <v>7</v>
      </c>
      <c r="D10" s="505" t="s">
        <v>7</v>
      </c>
      <c r="E10" s="505" t="s">
        <v>7</v>
      </c>
      <c r="F10" s="505" t="s">
        <v>7</v>
      </c>
      <c r="G10" s="505" t="s">
        <v>7</v>
      </c>
      <c r="H10" s="506">
        <v>0.0</v>
      </c>
      <c r="I10" s="505" t="s">
        <v>7</v>
      </c>
      <c r="J10" s="506">
        <f t="shared" ref="J10:J48" si="1">SUM(F10,G10)*42/325851</f>
        <v>0</v>
      </c>
      <c r="K10" s="506">
        <f t="shared" ref="K10:K48" si="2">SUM(B10:E10,H10:I10)*42/325851</f>
        <v>0</v>
      </c>
    </row>
    <row r="11">
      <c r="A11" s="504">
        <v>1981.0</v>
      </c>
      <c r="B11" s="505" t="s">
        <v>7</v>
      </c>
      <c r="C11" s="505" t="s">
        <v>7</v>
      </c>
      <c r="D11" s="505" t="s">
        <v>7</v>
      </c>
      <c r="E11" s="505" t="s">
        <v>7</v>
      </c>
      <c r="F11" s="505" t="s">
        <v>7</v>
      </c>
      <c r="G11" s="506">
        <v>0.0</v>
      </c>
      <c r="H11" s="506">
        <v>0.0</v>
      </c>
      <c r="I11" s="505" t="s">
        <v>7</v>
      </c>
      <c r="J11" s="506">
        <f t="shared" si="1"/>
        <v>0</v>
      </c>
      <c r="K11" s="506">
        <f t="shared" si="2"/>
        <v>0</v>
      </c>
    </row>
    <row r="12">
      <c r="A12" s="504">
        <v>1982.0</v>
      </c>
      <c r="B12" s="505" t="s">
        <v>7</v>
      </c>
      <c r="C12" s="505" t="s">
        <v>7</v>
      </c>
      <c r="D12" s="505" t="s">
        <v>7</v>
      </c>
      <c r="E12" s="505" t="s">
        <v>7</v>
      </c>
      <c r="F12" s="505" t="s">
        <v>7</v>
      </c>
      <c r="G12" s="506">
        <v>0.0</v>
      </c>
      <c r="H12" s="506">
        <v>0.0</v>
      </c>
      <c r="I12" s="505" t="s">
        <v>7</v>
      </c>
      <c r="J12" s="506">
        <f t="shared" si="1"/>
        <v>0</v>
      </c>
      <c r="K12" s="506">
        <f t="shared" si="2"/>
        <v>0</v>
      </c>
    </row>
    <row r="13">
      <c r="A13" s="504">
        <v>1983.0</v>
      </c>
      <c r="B13" s="505" t="s">
        <v>7</v>
      </c>
      <c r="C13" s="505" t="s">
        <v>7</v>
      </c>
      <c r="D13" s="505" t="s">
        <v>7</v>
      </c>
      <c r="E13" s="505" t="s">
        <v>7</v>
      </c>
      <c r="F13" s="505" t="s">
        <v>7</v>
      </c>
      <c r="G13" s="506">
        <v>0.0</v>
      </c>
      <c r="H13" s="506">
        <v>0.0</v>
      </c>
      <c r="I13" s="505" t="s">
        <v>7</v>
      </c>
      <c r="J13" s="506">
        <f t="shared" si="1"/>
        <v>0</v>
      </c>
      <c r="K13" s="506">
        <f t="shared" si="2"/>
        <v>0</v>
      </c>
    </row>
    <row r="14">
      <c r="A14" s="504">
        <v>1984.0</v>
      </c>
      <c r="B14" s="505" t="s">
        <v>7</v>
      </c>
      <c r="C14" s="505" t="s">
        <v>7</v>
      </c>
      <c r="D14" s="505" t="s">
        <v>7</v>
      </c>
      <c r="E14" s="505" t="s">
        <v>7</v>
      </c>
      <c r="F14" s="505" t="s">
        <v>7</v>
      </c>
      <c r="G14" s="506">
        <v>0.0</v>
      </c>
      <c r="H14" s="506">
        <v>0.0</v>
      </c>
      <c r="I14" s="505" t="s">
        <v>7</v>
      </c>
      <c r="J14" s="506">
        <f t="shared" si="1"/>
        <v>0</v>
      </c>
      <c r="K14" s="506">
        <f t="shared" si="2"/>
        <v>0</v>
      </c>
    </row>
    <row r="15">
      <c r="A15" s="504">
        <v>1985.0</v>
      </c>
      <c r="B15" s="505" t="s">
        <v>7</v>
      </c>
      <c r="C15" s="505" t="s">
        <v>7</v>
      </c>
      <c r="D15" s="505" t="s">
        <v>7</v>
      </c>
      <c r="E15" s="505" t="s">
        <v>7</v>
      </c>
      <c r="F15" s="505" t="s">
        <v>7</v>
      </c>
      <c r="G15" s="506">
        <v>0.0</v>
      </c>
      <c r="H15" s="506">
        <v>0.0</v>
      </c>
      <c r="I15" s="505" t="s">
        <v>7</v>
      </c>
      <c r="J15" s="506">
        <f t="shared" si="1"/>
        <v>0</v>
      </c>
      <c r="K15" s="506">
        <f t="shared" si="2"/>
        <v>0</v>
      </c>
    </row>
    <row r="16">
      <c r="A16" s="504">
        <v>1986.0</v>
      </c>
      <c r="B16" s="505" t="s">
        <v>7</v>
      </c>
      <c r="C16" s="505" t="s">
        <v>7</v>
      </c>
      <c r="D16" s="505">
        <v>0.0</v>
      </c>
      <c r="E16" s="505" t="s">
        <v>7</v>
      </c>
      <c r="F16" s="505" t="s">
        <v>7</v>
      </c>
      <c r="G16" s="506">
        <v>0.0</v>
      </c>
      <c r="H16" s="506">
        <v>0.0</v>
      </c>
      <c r="I16" s="505" t="s">
        <v>7</v>
      </c>
      <c r="J16" s="506">
        <f t="shared" si="1"/>
        <v>0</v>
      </c>
      <c r="K16" s="506">
        <f t="shared" si="2"/>
        <v>0</v>
      </c>
    </row>
    <row r="17">
      <c r="A17" s="504">
        <v>1987.0</v>
      </c>
      <c r="B17" s="505" t="s">
        <v>7</v>
      </c>
      <c r="C17" s="505" t="s">
        <v>7</v>
      </c>
      <c r="D17" s="505">
        <v>0.0</v>
      </c>
      <c r="E17" s="505" t="s">
        <v>7</v>
      </c>
      <c r="F17" s="505" t="s">
        <v>7</v>
      </c>
      <c r="G17" s="506">
        <v>0.0</v>
      </c>
      <c r="H17" s="506">
        <v>0.0</v>
      </c>
      <c r="I17" s="505" t="s">
        <v>7</v>
      </c>
      <c r="J17" s="506">
        <f t="shared" si="1"/>
        <v>0</v>
      </c>
      <c r="K17" s="506">
        <f t="shared" si="2"/>
        <v>0</v>
      </c>
    </row>
    <row r="18">
      <c r="A18" s="504">
        <v>1988.0</v>
      </c>
      <c r="B18" s="505" t="s">
        <v>7</v>
      </c>
      <c r="C18" s="505" t="s">
        <v>7</v>
      </c>
      <c r="D18" s="506">
        <v>1095.0</v>
      </c>
      <c r="E18" s="505">
        <v>0.0</v>
      </c>
      <c r="F18" s="505" t="s">
        <v>7</v>
      </c>
      <c r="G18" s="506">
        <v>0.0</v>
      </c>
      <c r="H18" s="506">
        <v>0.0</v>
      </c>
      <c r="I18" s="505" t="s">
        <v>7</v>
      </c>
      <c r="J18" s="506">
        <f t="shared" si="1"/>
        <v>0</v>
      </c>
      <c r="K18" s="506">
        <f t="shared" si="2"/>
        <v>0.1411381275</v>
      </c>
    </row>
    <row r="19">
      <c r="A19" s="504">
        <v>1989.0</v>
      </c>
      <c r="B19" s="505" t="s">
        <v>7</v>
      </c>
      <c r="C19" s="505" t="s">
        <v>7</v>
      </c>
      <c r="D19" s="506">
        <v>297855.0</v>
      </c>
      <c r="E19" s="505">
        <v>0.0</v>
      </c>
      <c r="F19" s="505" t="s">
        <v>7</v>
      </c>
      <c r="G19" s="506">
        <v>0.0</v>
      </c>
      <c r="H19" s="506">
        <v>213036.0</v>
      </c>
      <c r="I19" s="505" t="s">
        <v>7</v>
      </c>
      <c r="J19" s="506">
        <f t="shared" si="1"/>
        <v>0</v>
      </c>
      <c r="K19" s="506">
        <f t="shared" si="2"/>
        <v>65.85041016</v>
      </c>
    </row>
    <row r="20">
      <c r="A20" s="504">
        <v>1990.0</v>
      </c>
      <c r="B20" s="505" t="s">
        <v>7</v>
      </c>
      <c r="C20" s="505" t="s">
        <v>7</v>
      </c>
      <c r="D20" s="506">
        <v>583995.0</v>
      </c>
      <c r="E20" s="505">
        <v>0.0</v>
      </c>
      <c r="F20" s="505" t="s">
        <v>7</v>
      </c>
      <c r="G20" s="506">
        <v>0.0</v>
      </c>
      <c r="H20" s="506">
        <v>7275.0</v>
      </c>
      <c r="I20" s="505" t="s">
        <v>7</v>
      </c>
      <c r="J20" s="506">
        <f t="shared" si="1"/>
        <v>0</v>
      </c>
      <c r="K20" s="506">
        <f t="shared" si="2"/>
        <v>76.21072208</v>
      </c>
    </row>
    <row r="21" ht="15.75" customHeight="1">
      <c r="A21" s="504">
        <v>1991.0</v>
      </c>
      <c r="B21" s="505" t="s">
        <v>7</v>
      </c>
      <c r="C21" s="505" t="s">
        <v>7</v>
      </c>
      <c r="D21" s="506">
        <v>1806458.0</v>
      </c>
      <c r="E21" s="506">
        <v>9097.0</v>
      </c>
      <c r="F21" s="505" t="s">
        <v>7</v>
      </c>
      <c r="G21" s="506">
        <v>0.0</v>
      </c>
      <c r="H21" s="505">
        <v>0.0</v>
      </c>
      <c r="I21" s="505" t="s">
        <v>7</v>
      </c>
      <c r="J21" s="506">
        <f t="shared" si="1"/>
        <v>0</v>
      </c>
      <c r="K21" s="506">
        <f t="shared" si="2"/>
        <v>234.0128157</v>
      </c>
    </row>
    <row r="22" ht="15.75" customHeight="1">
      <c r="A22" s="504">
        <v>1992.0</v>
      </c>
      <c r="B22" s="505" t="s">
        <v>7</v>
      </c>
      <c r="C22" s="505" t="s">
        <v>7</v>
      </c>
      <c r="D22" s="506">
        <v>2153013.0</v>
      </c>
      <c r="E22" s="505">
        <v>0.0</v>
      </c>
      <c r="F22" s="505" t="s">
        <v>7</v>
      </c>
      <c r="G22" s="506">
        <v>135084.0</v>
      </c>
      <c r="H22" s="506">
        <v>3750893.0</v>
      </c>
      <c r="I22" s="505" t="s">
        <v>7</v>
      </c>
      <c r="J22" s="506">
        <f t="shared" si="1"/>
        <v>17.4114181</v>
      </c>
      <c r="K22" s="506">
        <f t="shared" si="2"/>
        <v>760.9737334</v>
      </c>
    </row>
    <row r="23" ht="15.75" customHeight="1">
      <c r="A23" s="504">
        <v>1993.0</v>
      </c>
      <c r="B23" s="505" t="s">
        <v>7</v>
      </c>
      <c r="C23" s="505" t="s">
        <v>7</v>
      </c>
      <c r="D23" s="506">
        <v>2273346.0</v>
      </c>
      <c r="E23" s="505">
        <v>0.0</v>
      </c>
      <c r="F23" s="505" t="s">
        <v>7</v>
      </c>
      <c r="G23" s="506">
        <v>3879357.0</v>
      </c>
      <c r="H23" s="506">
        <v>115.0</v>
      </c>
      <c r="I23" s="505" t="s">
        <v>7</v>
      </c>
      <c r="J23" s="506">
        <f t="shared" si="1"/>
        <v>500.0229982</v>
      </c>
      <c r="K23" s="506">
        <f t="shared" si="2"/>
        <v>293.0338161</v>
      </c>
    </row>
    <row r="24" ht="15.75" customHeight="1">
      <c r="A24" s="504">
        <v>1994.0</v>
      </c>
      <c r="B24" s="505" t="s">
        <v>7</v>
      </c>
      <c r="C24" s="505" t="s">
        <v>7</v>
      </c>
      <c r="D24" s="506">
        <v>2113858.0</v>
      </c>
      <c r="E24" s="506">
        <v>8.0</v>
      </c>
      <c r="F24" s="505" t="s">
        <v>7</v>
      </c>
      <c r="G24" s="506">
        <v>7301410.0</v>
      </c>
      <c r="H24" s="506">
        <v>120.0</v>
      </c>
      <c r="I24" s="505" t="s">
        <v>7</v>
      </c>
      <c r="J24" s="506">
        <f t="shared" si="1"/>
        <v>941.1025898</v>
      </c>
      <c r="K24" s="506">
        <f t="shared" si="2"/>
        <v>272.4785623</v>
      </c>
    </row>
    <row r="25" ht="15.75" customHeight="1">
      <c r="A25" s="504">
        <v>1995.0</v>
      </c>
      <c r="B25" s="505" t="s">
        <v>7</v>
      </c>
      <c r="C25" s="505" t="s">
        <v>7</v>
      </c>
      <c r="D25" s="506">
        <v>2808944.0</v>
      </c>
      <c r="E25" s="505">
        <v>0.0</v>
      </c>
      <c r="F25" s="505" t="s">
        <v>7</v>
      </c>
      <c r="G25" s="506">
        <v>1.4600442E7</v>
      </c>
      <c r="H25" s="505">
        <v>0.0</v>
      </c>
      <c r="I25" s="505" t="s">
        <v>7</v>
      </c>
      <c r="J25" s="506">
        <f t="shared" si="1"/>
        <v>1881.898671</v>
      </c>
      <c r="K25" s="506">
        <f t="shared" si="2"/>
        <v>362.0539695</v>
      </c>
    </row>
    <row r="26" ht="15.75" customHeight="1">
      <c r="A26" s="504">
        <v>1996.0</v>
      </c>
      <c r="B26" s="505" t="s">
        <v>7</v>
      </c>
      <c r="C26" s="505" t="s">
        <v>7</v>
      </c>
      <c r="D26" s="506">
        <v>3168274.0</v>
      </c>
      <c r="E26" s="505">
        <v>0.0</v>
      </c>
      <c r="F26" s="505">
        <v>0.0</v>
      </c>
      <c r="G26" s="506">
        <v>1.7080606E7</v>
      </c>
      <c r="H26" s="505">
        <v>0.0</v>
      </c>
      <c r="I26" s="505" t="s">
        <v>7</v>
      </c>
      <c r="J26" s="506">
        <f t="shared" si="1"/>
        <v>2201.575113</v>
      </c>
      <c r="K26" s="506">
        <f t="shared" si="2"/>
        <v>408.3691871</v>
      </c>
    </row>
    <row r="27" ht="15.75" customHeight="1">
      <c r="A27" s="504">
        <v>1997.0</v>
      </c>
      <c r="B27" s="505" t="s">
        <v>7</v>
      </c>
      <c r="C27" s="505" t="s">
        <v>7</v>
      </c>
      <c r="D27" s="506">
        <v>6520924.0</v>
      </c>
      <c r="E27" s="505">
        <v>0.0</v>
      </c>
      <c r="F27" s="506">
        <v>182383.0</v>
      </c>
      <c r="G27" s="506">
        <v>3.843225E7</v>
      </c>
      <c r="H27" s="505">
        <v>0.0</v>
      </c>
      <c r="I27" s="505" t="s">
        <v>7</v>
      </c>
      <c r="J27" s="506">
        <f t="shared" si="1"/>
        <v>4977.166208</v>
      </c>
      <c r="K27" s="506">
        <f t="shared" si="2"/>
        <v>840.5031993</v>
      </c>
    </row>
    <row r="28" ht="15.75" customHeight="1">
      <c r="A28" s="504">
        <v>1998.0</v>
      </c>
      <c r="B28" s="505" t="s">
        <v>7</v>
      </c>
      <c r="C28" s="505" t="s">
        <v>7</v>
      </c>
      <c r="D28" s="506">
        <v>1.6127161E7</v>
      </c>
      <c r="E28" s="505">
        <v>0.0</v>
      </c>
      <c r="F28" s="506">
        <v>865721.0</v>
      </c>
      <c r="G28" s="506">
        <v>5.5196422E7</v>
      </c>
      <c r="H28" s="506">
        <v>22610.0</v>
      </c>
      <c r="I28" s="505" t="s">
        <v>7</v>
      </c>
      <c r="J28" s="506">
        <f t="shared" si="1"/>
        <v>7226.032776</v>
      </c>
      <c r="K28" s="506">
        <f t="shared" si="2"/>
        <v>2081.596748</v>
      </c>
    </row>
    <row r="29" ht="15.75" customHeight="1">
      <c r="A29" s="504">
        <v>1999.0</v>
      </c>
      <c r="B29" s="505" t="s">
        <v>7</v>
      </c>
      <c r="C29" s="505" t="s">
        <v>7</v>
      </c>
      <c r="D29" s="506">
        <v>3.2687221E7</v>
      </c>
      <c r="E29" s="506">
        <v>2240203.0</v>
      </c>
      <c r="F29" s="506">
        <v>2.0567759E7</v>
      </c>
      <c r="G29" s="506">
        <v>8.6351171E7</v>
      </c>
      <c r="H29" s="506">
        <v>8829676.0</v>
      </c>
      <c r="I29" s="506">
        <v>2489402.0</v>
      </c>
      <c r="J29" s="506">
        <f t="shared" si="1"/>
        <v>13781.13021</v>
      </c>
      <c r="K29" s="506">
        <f t="shared" si="2"/>
        <v>5960.862738</v>
      </c>
    </row>
    <row r="30" ht="15.75" customHeight="1">
      <c r="A30" s="504">
        <v>2000.0</v>
      </c>
      <c r="B30" s="506">
        <v>69656.0</v>
      </c>
      <c r="C30" s="506">
        <v>0.0</v>
      </c>
      <c r="D30" s="506">
        <v>6.6576346E7</v>
      </c>
      <c r="E30" s="506">
        <v>7375815.0</v>
      </c>
      <c r="F30" s="506">
        <v>5.1187825E7</v>
      </c>
      <c r="G30" s="506">
        <v>2.01541696E8</v>
      </c>
      <c r="H30" s="506">
        <v>4.337019E7</v>
      </c>
      <c r="I30" s="506">
        <v>5654563.0</v>
      </c>
      <c r="J30" s="506">
        <f t="shared" si="1"/>
        <v>32575.13367</v>
      </c>
      <c r="K30" s="506">
        <f t="shared" si="2"/>
        <v>15859.87442</v>
      </c>
    </row>
    <row r="31" ht="15.75" customHeight="1">
      <c r="A31" s="504">
        <v>2001.0</v>
      </c>
      <c r="B31" s="506">
        <v>484723.0</v>
      </c>
      <c r="C31" s="506">
        <v>9862.0</v>
      </c>
      <c r="D31" s="506">
        <v>7.9937897E7</v>
      </c>
      <c r="E31" s="506">
        <v>1.9158991E7</v>
      </c>
      <c r="F31" s="506">
        <v>5.4938688E7</v>
      </c>
      <c r="G31" s="506">
        <v>2.39901934E8</v>
      </c>
      <c r="H31" s="506">
        <v>9.0989079E7</v>
      </c>
      <c r="I31" s="506">
        <v>2.6576673E7</v>
      </c>
      <c r="J31" s="506">
        <f t="shared" si="1"/>
        <v>38002.97106</v>
      </c>
      <c r="K31" s="506">
        <f t="shared" si="2"/>
        <v>27990.10422</v>
      </c>
    </row>
    <row r="32" ht="15.75" customHeight="1">
      <c r="A32" s="504">
        <v>2002.0</v>
      </c>
      <c r="B32" s="506">
        <v>6641074.0</v>
      </c>
      <c r="C32" s="506">
        <v>30821.0</v>
      </c>
      <c r="D32" s="506">
        <v>8.8380899E7</v>
      </c>
      <c r="E32" s="506">
        <v>3.0484426E7</v>
      </c>
      <c r="F32" s="506">
        <v>5.5228464E7</v>
      </c>
      <c r="G32" s="506">
        <v>2.07728334E8</v>
      </c>
      <c r="H32" s="506">
        <v>1.23139663E8</v>
      </c>
      <c r="I32" s="506">
        <v>6.7240332E7</v>
      </c>
      <c r="J32" s="506">
        <f t="shared" si="1"/>
        <v>33893.36082</v>
      </c>
      <c r="K32" s="506">
        <f t="shared" si="2"/>
        <v>40719.602</v>
      </c>
    </row>
    <row r="33" ht="15.75" customHeight="1">
      <c r="A33" s="504">
        <v>2003.0</v>
      </c>
      <c r="B33" s="506">
        <v>1.1402315E7</v>
      </c>
      <c r="C33" s="506">
        <v>4591.0</v>
      </c>
      <c r="D33" s="506">
        <v>6.8030807E7</v>
      </c>
      <c r="E33" s="506">
        <v>2.9958661E7</v>
      </c>
      <c r="F33" s="506">
        <v>5.760113E7</v>
      </c>
      <c r="G33" s="506">
        <v>1.8872784E8</v>
      </c>
      <c r="H33" s="506">
        <v>1.4419312E8</v>
      </c>
      <c r="I33" s="506">
        <v>6.6450112E7</v>
      </c>
      <c r="J33" s="506">
        <f t="shared" si="1"/>
        <v>31750.14574</v>
      </c>
      <c r="K33" s="506">
        <f t="shared" si="2"/>
        <v>41250.95044</v>
      </c>
    </row>
    <row r="34" ht="15.75" customHeight="1">
      <c r="A34" s="504">
        <v>2004.0</v>
      </c>
      <c r="B34" s="506">
        <v>1.0931621E7</v>
      </c>
      <c r="C34" s="506">
        <v>942683.0</v>
      </c>
      <c r="D34" s="506">
        <v>6.4054377E7</v>
      </c>
      <c r="E34" s="506">
        <v>2.7560763E7</v>
      </c>
      <c r="F34" s="506">
        <v>6.1498584E7</v>
      </c>
      <c r="G34" s="506">
        <v>1.46733787E8</v>
      </c>
      <c r="H34" s="506">
        <v>1.63575051E8</v>
      </c>
      <c r="I34" s="506">
        <v>6.2036653E7</v>
      </c>
      <c r="J34" s="506">
        <f t="shared" si="1"/>
        <v>26839.75063</v>
      </c>
      <c r="K34" s="506">
        <f t="shared" si="2"/>
        <v>42418.92219</v>
      </c>
    </row>
    <row r="35" ht="15.75" customHeight="1">
      <c r="A35" s="504">
        <v>2005.0</v>
      </c>
      <c r="B35" s="506">
        <v>9530869.0</v>
      </c>
      <c r="C35" s="506">
        <v>873566.0</v>
      </c>
      <c r="D35" s="506">
        <v>6.618931E7</v>
      </c>
      <c r="E35" s="506">
        <v>3.5591627E7</v>
      </c>
      <c r="F35" s="506">
        <v>5.5903751E7</v>
      </c>
      <c r="G35" s="506">
        <v>9.9571475E7</v>
      </c>
      <c r="H35" s="506">
        <v>2.14634954E8</v>
      </c>
      <c r="I35" s="506">
        <v>7.3186468E7</v>
      </c>
      <c r="J35" s="506">
        <f t="shared" si="1"/>
        <v>20039.70984</v>
      </c>
      <c r="K35" s="506">
        <f t="shared" si="2"/>
        <v>51558.18257</v>
      </c>
    </row>
    <row r="36" ht="15.75" customHeight="1">
      <c r="A36" s="504">
        <v>2006.0</v>
      </c>
      <c r="B36" s="506">
        <v>5831283.0</v>
      </c>
      <c r="C36" s="506">
        <v>3135336.0</v>
      </c>
      <c r="D36" s="506">
        <v>6.3274021E7</v>
      </c>
      <c r="E36" s="506">
        <v>4.9533851E7</v>
      </c>
      <c r="F36" s="506">
        <v>5.6750813E7</v>
      </c>
      <c r="G36" s="506">
        <v>9.5439144E7</v>
      </c>
      <c r="H36" s="506">
        <v>3.16964417E8</v>
      </c>
      <c r="I36" s="506">
        <v>8.4071997E7</v>
      </c>
      <c r="J36" s="506">
        <f t="shared" si="1"/>
        <v>19616.26079</v>
      </c>
      <c r="K36" s="506">
        <f t="shared" si="2"/>
        <v>67386.80566</v>
      </c>
    </row>
    <row r="37" ht="15.75" customHeight="1">
      <c r="A37" s="504">
        <v>2007.0</v>
      </c>
      <c r="B37" s="506">
        <v>4866888.0</v>
      </c>
      <c r="C37" s="506">
        <v>3524698.0</v>
      </c>
      <c r="D37" s="506">
        <v>5.9259773E7</v>
      </c>
      <c r="E37" s="506">
        <v>5.4534328E7</v>
      </c>
      <c r="F37" s="506">
        <v>2.6574993E7</v>
      </c>
      <c r="G37" s="506">
        <v>7.2588886E7</v>
      </c>
      <c r="H37" s="506">
        <v>3.38675463E8</v>
      </c>
      <c r="I37" s="506">
        <v>9.3214774E7</v>
      </c>
      <c r="J37" s="506">
        <f t="shared" si="1"/>
        <v>12781.55635</v>
      </c>
      <c r="K37" s="506">
        <f t="shared" si="2"/>
        <v>71416.6561</v>
      </c>
    </row>
    <row r="38" ht="15.75" customHeight="1">
      <c r="A38" s="504">
        <v>2008.0</v>
      </c>
      <c r="B38" s="506">
        <v>1.6141258E7</v>
      </c>
      <c r="C38" s="506">
        <v>5308294.0</v>
      </c>
      <c r="D38" s="506">
        <v>6.0412725E7</v>
      </c>
      <c r="E38" s="506">
        <v>5.934606E7</v>
      </c>
      <c r="F38" s="506">
        <v>2.1444575E7</v>
      </c>
      <c r="G38" s="506">
        <v>5.6503336E7</v>
      </c>
      <c r="H38" s="506">
        <v>3.60848388E8</v>
      </c>
      <c r="I38" s="506">
        <v>1.02979114E8</v>
      </c>
      <c r="J38" s="506">
        <f t="shared" si="1"/>
        <v>10046.96092</v>
      </c>
      <c r="K38" s="506">
        <f t="shared" si="2"/>
        <v>77985.04604</v>
      </c>
    </row>
    <row r="39" ht="15.75" customHeight="1">
      <c r="A39" s="504">
        <v>2009.0</v>
      </c>
      <c r="B39" s="506">
        <v>1.434865E7</v>
      </c>
      <c r="C39" s="506">
        <v>4857138.0</v>
      </c>
      <c r="D39" s="506">
        <v>3.3100694E7</v>
      </c>
      <c r="E39" s="506">
        <v>4.8548768E7</v>
      </c>
      <c r="F39" s="506">
        <v>1.4503443E7</v>
      </c>
      <c r="G39" s="506">
        <v>3.52815E7</v>
      </c>
      <c r="H39" s="506">
        <v>3.3508281E8</v>
      </c>
      <c r="I39" s="506">
        <v>8.1659512E7</v>
      </c>
      <c r="J39" s="506">
        <f t="shared" si="1"/>
        <v>6416.943959</v>
      </c>
      <c r="K39" s="506">
        <f t="shared" si="2"/>
        <v>66714.84213</v>
      </c>
    </row>
    <row r="40" ht="15.75" customHeight="1">
      <c r="A40" s="504">
        <v>2010.0</v>
      </c>
      <c r="B40" s="506">
        <v>1.1650774E7</v>
      </c>
      <c r="C40" s="506">
        <v>8765323.0</v>
      </c>
      <c r="D40" s="506">
        <v>2.4139733E7</v>
      </c>
      <c r="E40" s="506">
        <v>4.4143191E7</v>
      </c>
      <c r="F40" s="506">
        <v>1.14467E7</v>
      </c>
      <c r="G40" s="506">
        <v>2.2952275E7</v>
      </c>
      <c r="H40" s="506">
        <v>3.38139293E8</v>
      </c>
      <c r="I40" s="506">
        <v>6.9734161E7</v>
      </c>
      <c r="J40" s="506">
        <f t="shared" si="1"/>
        <v>4433.796275</v>
      </c>
      <c r="K40" s="506">
        <f t="shared" si="2"/>
        <v>64004.84869</v>
      </c>
    </row>
    <row r="41" ht="15.75" customHeight="1">
      <c r="A41" s="504">
        <v>2011.0</v>
      </c>
      <c r="B41" s="506">
        <v>9750173.0</v>
      </c>
      <c r="C41" s="506">
        <v>8722140.0</v>
      </c>
      <c r="D41" s="506">
        <v>1.2086817E7</v>
      </c>
      <c r="E41" s="506">
        <v>3.706046E7</v>
      </c>
      <c r="F41" s="506">
        <v>9862432.0</v>
      </c>
      <c r="G41" s="506">
        <v>1.6066119E7</v>
      </c>
      <c r="H41" s="506">
        <v>3.36298185E8</v>
      </c>
      <c r="I41" s="506">
        <v>6.0020669E7</v>
      </c>
      <c r="J41" s="506">
        <f t="shared" si="1"/>
        <v>3342.015651</v>
      </c>
      <c r="K41" s="506">
        <f t="shared" si="2"/>
        <v>59798.54181</v>
      </c>
    </row>
    <row r="42" ht="15.75" customHeight="1">
      <c r="A42" s="504">
        <v>2012.0</v>
      </c>
      <c r="B42" s="506">
        <v>9852850.0</v>
      </c>
      <c r="C42" s="506">
        <v>5033122.0</v>
      </c>
      <c r="D42" s="506">
        <v>1.41316E7</v>
      </c>
      <c r="E42" s="506">
        <v>3.1671626E7</v>
      </c>
      <c r="F42" s="506">
        <v>9103286.0</v>
      </c>
      <c r="G42" s="506">
        <v>6879914.0</v>
      </c>
      <c r="H42" s="506">
        <v>2.471028E8</v>
      </c>
      <c r="I42" s="506">
        <v>5.1010798E7</v>
      </c>
      <c r="J42" s="506">
        <f t="shared" si="1"/>
        <v>2060.126868</v>
      </c>
      <c r="K42" s="506">
        <f t="shared" si="2"/>
        <v>46247.26465</v>
      </c>
    </row>
    <row r="43" ht="15.75" customHeight="1">
      <c r="A43" s="504">
        <v>2013.0</v>
      </c>
      <c r="B43" s="506">
        <v>9334185.0</v>
      </c>
      <c r="C43" s="506">
        <v>1486022.0</v>
      </c>
      <c r="D43" s="506">
        <v>5722512.0</v>
      </c>
      <c r="E43" s="506">
        <v>3.3358377E7</v>
      </c>
      <c r="F43" s="506">
        <v>5319921.0</v>
      </c>
      <c r="G43" s="506">
        <v>4603965.0</v>
      </c>
      <c r="H43" s="506">
        <v>2.02838412E8</v>
      </c>
      <c r="I43" s="506">
        <v>3.9527745E7</v>
      </c>
      <c r="J43" s="506">
        <f t="shared" si="1"/>
        <v>1279.12209</v>
      </c>
      <c r="K43" s="506">
        <f t="shared" si="2"/>
        <v>37671.28113</v>
      </c>
    </row>
    <row r="44" ht="15.75" customHeight="1">
      <c r="A44" s="504">
        <v>2014.0</v>
      </c>
      <c r="B44" s="506">
        <v>8835256.0</v>
      </c>
      <c r="C44" s="506">
        <v>2117249.0</v>
      </c>
      <c r="D44" s="506">
        <v>2799345.0</v>
      </c>
      <c r="E44" s="506">
        <v>2.799657E7</v>
      </c>
      <c r="F44" s="506">
        <v>3514462.0</v>
      </c>
      <c r="G44" s="506">
        <v>2581621.0</v>
      </c>
      <c r="H44" s="506">
        <v>1.81631249E8</v>
      </c>
      <c r="I44" s="506">
        <v>2.7308854E7</v>
      </c>
      <c r="J44" s="506">
        <f t="shared" si="1"/>
        <v>785.7440548</v>
      </c>
      <c r="K44" s="506">
        <f t="shared" si="2"/>
        <v>32312.06277</v>
      </c>
    </row>
    <row r="45" ht="15.75" customHeight="1">
      <c r="A45" s="504">
        <v>2015.0</v>
      </c>
      <c r="B45" s="506">
        <v>6410175.0</v>
      </c>
      <c r="C45" s="506">
        <v>1552524.0</v>
      </c>
      <c r="D45" s="506">
        <v>1060984.0</v>
      </c>
      <c r="E45" s="506">
        <v>1.3665014E7</v>
      </c>
      <c r="F45" s="506">
        <v>2307775.0</v>
      </c>
      <c r="G45" s="506">
        <v>1766990.0</v>
      </c>
      <c r="H45" s="506">
        <v>1.52352339E8</v>
      </c>
      <c r="I45" s="506">
        <v>1.216014E7</v>
      </c>
      <c r="J45" s="506">
        <f t="shared" si="1"/>
        <v>525.2097738</v>
      </c>
      <c r="K45" s="506">
        <f t="shared" si="2"/>
        <v>24128.97119</v>
      </c>
    </row>
    <row r="46" ht="15.75" customHeight="1">
      <c r="A46" s="504">
        <v>2016.0</v>
      </c>
      <c r="B46" s="506">
        <v>3598268.0</v>
      </c>
      <c r="C46" s="506">
        <v>4727410.0</v>
      </c>
      <c r="D46" s="506">
        <v>140513.0</v>
      </c>
      <c r="E46" s="506">
        <v>922576.0</v>
      </c>
      <c r="F46" s="506">
        <v>143197.0</v>
      </c>
      <c r="G46" s="506">
        <v>1817694.0</v>
      </c>
      <c r="H46" s="506">
        <v>1.60409922E8</v>
      </c>
      <c r="I46" s="506">
        <v>0.0</v>
      </c>
      <c r="J46" s="506">
        <f t="shared" si="1"/>
        <v>252.7456476</v>
      </c>
      <c r="K46" s="506">
        <f t="shared" si="2"/>
        <v>21885.90779</v>
      </c>
    </row>
    <row r="47" ht="15.75" customHeight="1">
      <c r="A47" s="504">
        <v>2017.0</v>
      </c>
      <c r="B47" s="506">
        <v>2634413.0</v>
      </c>
      <c r="C47" s="506">
        <v>7496868.0</v>
      </c>
      <c r="D47" s="506">
        <v>1594.0</v>
      </c>
      <c r="E47" s="506">
        <v>858707.0</v>
      </c>
      <c r="F47" s="506">
        <v>149127.0</v>
      </c>
      <c r="G47" s="506">
        <v>1633811.0</v>
      </c>
      <c r="H47" s="506">
        <v>1.50124068E8</v>
      </c>
      <c r="I47" s="506">
        <v>0.0</v>
      </c>
      <c r="J47" s="506">
        <f t="shared" si="1"/>
        <v>229.808704</v>
      </c>
      <c r="K47" s="506">
        <f t="shared" si="2"/>
        <v>20766.72252</v>
      </c>
    </row>
    <row r="48" ht="15.75" customHeight="1">
      <c r="A48" s="504">
        <v>2018.0</v>
      </c>
      <c r="B48" s="506">
        <v>1424978.0</v>
      </c>
      <c r="C48" s="506">
        <v>4071245.0</v>
      </c>
      <c r="D48" s="506">
        <v>0.0</v>
      </c>
      <c r="E48" s="506">
        <v>499294.0</v>
      </c>
      <c r="F48" s="506">
        <v>18614.0</v>
      </c>
      <c r="G48" s="506">
        <v>381188.0</v>
      </c>
      <c r="H48" s="506">
        <v>1.28644365E8</v>
      </c>
      <c r="I48" s="506">
        <v>0.0</v>
      </c>
      <c r="J48" s="506">
        <f t="shared" si="1"/>
        <v>51.531786</v>
      </c>
      <c r="K48" s="506">
        <f t="shared" si="2"/>
        <v>17354.17428</v>
      </c>
    </row>
    <row r="49" ht="15.75" customHeight="1">
      <c r="A49" s="504">
        <v>2019.0</v>
      </c>
      <c r="B49" s="508"/>
      <c r="C49" s="508"/>
      <c r="D49" s="508"/>
      <c r="E49" s="508"/>
      <c r="F49" s="508"/>
      <c r="G49" s="508"/>
      <c r="H49" s="508"/>
      <c r="I49" s="508"/>
    </row>
    <row r="50" ht="15.75" customHeight="1">
      <c r="A50" s="504">
        <v>2020.0</v>
      </c>
      <c r="B50" s="508"/>
      <c r="C50" s="508"/>
      <c r="D50" s="508"/>
      <c r="E50" s="508"/>
      <c r="F50" s="508"/>
      <c r="G50" s="508"/>
      <c r="H50" s="508"/>
      <c r="I50" s="508"/>
    </row>
    <row r="51" ht="15.75" customHeight="1">
      <c r="A51" s="504">
        <v>2021.0</v>
      </c>
      <c r="B51" s="508"/>
      <c r="C51" s="508"/>
      <c r="D51" s="508"/>
      <c r="E51" s="508"/>
      <c r="F51" s="508"/>
      <c r="G51" s="508"/>
      <c r="H51" s="508"/>
      <c r="I51" s="508"/>
    </row>
    <row r="52" ht="15.75" customHeight="1">
      <c r="A52" s="504">
        <v>2022.0</v>
      </c>
      <c r="B52" s="508"/>
      <c r="C52" s="508"/>
      <c r="D52" s="508"/>
      <c r="E52" s="508"/>
      <c r="F52" s="508"/>
      <c r="G52" s="508"/>
      <c r="H52" s="508"/>
      <c r="I52" s="508"/>
    </row>
    <row r="53" ht="15.75" customHeight="1">
      <c r="A53" s="504">
        <v>2023.0</v>
      </c>
      <c r="B53" s="508"/>
      <c r="C53" s="508"/>
      <c r="D53" s="508"/>
      <c r="E53" s="508"/>
      <c r="F53" s="508"/>
      <c r="G53" s="508"/>
      <c r="H53" s="508"/>
      <c r="I53" s="508"/>
    </row>
    <row r="54" ht="15.75" customHeight="1">
      <c r="A54" s="504">
        <v>2024.0</v>
      </c>
      <c r="B54" s="508"/>
      <c r="C54" s="508"/>
      <c r="D54" s="508"/>
      <c r="E54" s="508"/>
      <c r="F54" s="508"/>
      <c r="G54" s="508"/>
      <c r="H54" s="508"/>
      <c r="I54" s="508"/>
    </row>
    <row r="55" ht="15.75" customHeight="1">
      <c r="A55" s="504">
        <v>2025.0</v>
      </c>
      <c r="B55" s="508"/>
      <c r="C55" s="508"/>
      <c r="D55" s="508"/>
      <c r="E55" s="508"/>
      <c r="F55" s="508"/>
      <c r="G55" s="508"/>
      <c r="H55" s="508"/>
      <c r="I55" s="508"/>
    </row>
    <row r="56" ht="15.75" customHeight="1">
      <c r="A56" s="504">
        <v>2026.0</v>
      </c>
      <c r="B56" s="508"/>
      <c r="C56" s="508"/>
      <c r="D56" s="508"/>
      <c r="E56" s="508"/>
      <c r="F56" s="508"/>
      <c r="G56" s="508"/>
      <c r="H56" s="508"/>
      <c r="I56" s="508"/>
    </row>
    <row r="57" ht="15.75" customHeight="1">
      <c r="A57" s="504">
        <v>2027.0</v>
      </c>
      <c r="B57" s="508"/>
      <c r="C57" s="508"/>
      <c r="D57" s="508"/>
      <c r="E57" s="508"/>
      <c r="F57" s="508"/>
      <c r="G57" s="508"/>
      <c r="H57" s="508"/>
      <c r="I57" s="508"/>
    </row>
    <row r="58" ht="15.75" customHeight="1">
      <c r="A58" s="504">
        <v>2028.0</v>
      </c>
      <c r="B58" s="508"/>
      <c r="C58" s="508"/>
      <c r="D58" s="508"/>
      <c r="E58" s="508"/>
      <c r="F58" s="508"/>
      <c r="G58" s="508"/>
      <c r="H58" s="508"/>
      <c r="I58" s="508"/>
    </row>
    <row r="59" ht="15.75" customHeight="1">
      <c r="A59" s="504">
        <v>2029.0</v>
      </c>
      <c r="B59" s="508"/>
      <c r="C59" s="508"/>
      <c r="D59" s="508"/>
      <c r="E59" s="508"/>
      <c r="F59" s="508"/>
      <c r="G59" s="508"/>
      <c r="H59" s="508"/>
      <c r="I59" s="508"/>
    </row>
    <row r="60" ht="15.75" customHeight="1">
      <c r="A60" s="504">
        <v>2030.0</v>
      </c>
      <c r="B60" s="508"/>
      <c r="C60" s="508"/>
      <c r="D60" s="508"/>
      <c r="E60" s="508"/>
      <c r="F60" s="508"/>
      <c r="G60" s="508"/>
      <c r="H60" s="508"/>
      <c r="I60" s="508"/>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J5:K5"/>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2018-11-28T17:45:31Z</dcterms:created>
  <dc:creator>Adam E. Marsh</dc:creator>
</cp:coreProperties>
</file>