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/>
  <mc:AlternateContent xmlns:mc="http://schemas.openxmlformats.org/markup-compatibility/2006">
    <mc:Choice Requires="x15">
      <x15ac:absPath xmlns:x15ac="http://schemas.microsoft.com/office/spreadsheetml/2010/11/ac" url="/Volumes/WILL S USB/CLTV Project Data/"/>
    </mc:Choice>
  </mc:AlternateContent>
  <xr:revisionPtr revIDLastSave="0" documentId="13_ncr:1_{C78F2709-0023-8A4E-AFDC-20B1E25686B4}" xr6:coauthVersionLast="46" xr6:coauthVersionMax="46" xr10:uidLastSave="{00000000-0000-0000-0000-000000000000}"/>
  <bookViews>
    <workbookView xWindow="640" yWindow="540" windowWidth="31960" windowHeight="18540" xr2:uid="{00000000-000D-0000-FFFF-FFFF00000000}"/>
  </bookViews>
  <sheets>
    <sheet name="Simple" sheetId="4" r:id="rId1"/>
    <sheet name="Yearly BS" sheetId="1" r:id="rId2"/>
    <sheet name="Yearly IS" sheetId="2" r:id="rId3"/>
    <sheet name="CCC" sheetId="3" r:id="rId4"/>
    <sheet name="Inv. Model" sheetId="5" r:id="rId5"/>
    <sheet name="Inv. Model Drivers" sheetId="6" r:id="rId6"/>
  </sheets>
  <externalReferences>
    <externalReference r:id="rId7"/>
  </externalReferences>
  <definedNames>
    <definedName name="EXIT_DATE" localSheetId="5">'[1]1'!$E$165</definedName>
    <definedName name="EXIT_DATE">'Inv. Model'!$E$165</definedName>
    <definedName name="_xlnm.Print_Area" localSheetId="4">'Inv. Model'!$B$3:$T$245</definedName>
    <definedName name="_xlnm.Print_Titles" localSheetId="4">'Inv. Model'!$3:$5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65" i="5" l="1"/>
  <c r="G168" i="5"/>
  <c r="H4" i="4"/>
  <c r="J4" i="4"/>
  <c r="J3" i="4"/>
  <c r="I2" i="4"/>
  <c r="G1" i="4"/>
  <c r="D2" i="4"/>
  <c r="E2" i="4"/>
  <c r="F2" i="4"/>
  <c r="G2" i="4"/>
  <c r="C2" i="4"/>
  <c r="C5" i="4"/>
  <c r="D5" i="4"/>
  <c r="E5" i="4"/>
  <c r="F5" i="4"/>
  <c r="G5" i="4"/>
  <c r="B5" i="4"/>
  <c r="C4" i="4"/>
  <c r="D4" i="4"/>
  <c r="E4" i="4"/>
  <c r="F4" i="4"/>
  <c r="G4" i="4"/>
  <c r="B4" i="4"/>
  <c r="D72" i="6"/>
  <c r="D21" i="6"/>
  <c r="D16" i="6"/>
  <c r="D15" i="6"/>
  <c r="D14" i="6"/>
  <c r="D17" i="6" l="1"/>
  <c r="D25" i="6"/>
  <c r="D27" i="6" l="1"/>
  <c r="I9" i="6" l="1"/>
  <c r="Q10" i="5" l="1"/>
  <c r="Q11" i="5"/>
  <c r="G12" i="5"/>
  <c r="J13" i="5"/>
  <c r="L13" i="5"/>
  <c r="AJ28" i="5" s="1"/>
  <c r="I186" i="5" s="1"/>
  <c r="J14" i="5"/>
  <c r="J15" i="5"/>
  <c r="G22" i="5"/>
  <c r="AR27" i="5"/>
  <c r="AR26" i="5" s="1"/>
  <c r="AU27" i="5"/>
  <c r="C28" i="5"/>
  <c r="C38" i="5" s="1"/>
  <c r="AB28" i="5"/>
  <c r="AE28" i="5"/>
  <c r="AR28" i="5"/>
  <c r="AS28" i="5"/>
  <c r="AS29" i="5" s="1"/>
  <c r="C29" i="5"/>
  <c r="AB29" i="5"/>
  <c r="AE29" i="5" s="1"/>
  <c r="C30" i="5"/>
  <c r="C40" i="5" s="1"/>
  <c r="AB30" i="5"/>
  <c r="AE30" i="5" s="1"/>
  <c r="C31" i="5"/>
  <c r="E31" i="5"/>
  <c r="F31" i="5"/>
  <c r="G31" i="5"/>
  <c r="AD31" i="5"/>
  <c r="AE31" i="5" s="1"/>
  <c r="C39" i="5"/>
  <c r="H39" i="5"/>
  <c r="H40" i="5"/>
  <c r="C41" i="5"/>
  <c r="G41" i="5"/>
  <c r="H52" i="5"/>
  <c r="G52" i="5" s="1"/>
  <c r="J52" i="5"/>
  <c r="J178" i="5" s="1"/>
  <c r="K52" i="5"/>
  <c r="K178" i="5" s="1"/>
  <c r="L52" i="5"/>
  <c r="L178" i="5" s="1"/>
  <c r="J53" i="5"/>
  <c r="K53" i="5" s="1"/>
  <c r="I63" i="5"/>
  <c r="I55" i="5" s="1"/>
  <c r="J88" i="5"/>
  <c r="K88" i="5"/>
  <c r="I92" i="5"/>
  <c r="I94" i="5"/>
  <c r="I96" i="5"/>
  <c r="J114" i="5" s="1"/>
  <c r="K114" i="5"/>
  <c r="L114" i="5"/>
  <c r="M114" i="5"/>
  <c r="N114" i="5"/>
  <c r="O114" i="5"/>
  <c r="P114" i="5"/>
  <c r="G121" i="5"/>
  <c r="J127" i="5"/>
  <c r="K127" i="5"/>
  <c r="L127" i="5"/>
  <c r="J128" i="5"/>
  <c r="A129" i="5"/>
  <c r="A130" i="5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I130" i="5"/>
  <c r="I131" i="5"/>
  <c r="C134" i="5"/>
  <c r="C135" i="5"/>
  <c r="C143" i="5"/>
  <c r="C144" i="5"/>
  <c r="C148" i="5"/>
  <c r="Y148" i="5"/>
  <c r="C149" i="5"/>
  <c r="Y149" i="5"/>
  <c r="C152" i="5"/>
  <c r="C153" i="5"/>
  <c r="J156" i="5"/>
  <c r="K156" i="5"/>
  <c r="O166" i="5"/>
  <c r="P166" i="5"/>
  <c r="Q166" i="5"/>
  <c r="N167" i="5"/>
  <c r="I168" i="5"/>
  <c r="I169" i="5" s="1"/>
  <c r="N168" i="5"/>
  <c r="I178" i="5"/>
  <c r="J179" i="5"/>
  <c r="C186" i="5"/>
  <c r="C187" i="5"/>
  <c r="C188" i="5"/>
  <c r="C189" i="5"/>
  <c r="G225" i="5"/>
  <c r="O232" i="5"/>
  <c r="P232" i="5"/>
  <c r="Q18" i="5" l="1"/>
  <c r="J63" i="5"/>
  <c r="K63" i="5" s="1"/>
  <c r="K158" i="5" s="1"/>
  <c r="I193" i="5"/>
  <c r="I197" i="5" s="1"/>
  <c r="I203" i="5" s="1"/>
  <c r="I58" i="5"/>
  <c r="I59" i="5" s="1"/>
  <c r="I60" i="5" s="1"/>
  <c r="I64" i="5"/>
  <c r="H64" i="5" s="1"/>
  <c r="G64" i="5" s="1"/>
  <c r="I120" i="5"/>
  <c r="P217" i="5"/>
  <c r="E44" i="5"/>
  <c r="A144" i="5"/>
  <c r="L63" i="5"/>
  <c r="K65" i="5"/>
  <c r="K55" i="5"/>
  <c r="K64" i="5"/>
  <c r="N169" i="5"/>
  <c r="I170" i="5"/>
  <c r="AU28" i="5"/>
  <c r="AU29" i="5" s="1"/>
  <c r="K128" i="5"/>
  <c r="L53" i="5"/>
  <c r="K179" i="5"/>
  <c r="L88" i="5"/>
  <c r="L156" i="5"/>
  <c r="J69" i="5"/>
  <c r="M52" i="5"/>
  <c r="J55" i="5"/>
  <c r="H55" i="5"/>
  <c r="E55" i="5"/>
  <c r="J65" i="5"/>
  <c r="I56" i="5"/>
  <c r="I62" i="5"/>
  <c r="E64" i="5" l="1"/>
  <c r="G18" i="4" s="1"/>
  <c r="F18" i="4"/>
  <c r="J158" i="5"/>
  <c r="E63" i="5"/>
  <c r="E58" i="5"/>
  <c r="E59" i="5" s="1"/>
  <c r="E60" i="5" s="1"/>
  <c r="L179" i="5"/>
  <c r="L128" i="5"/>
  <c r="M53" i="5"/>
  <c r="M63" i="5"/>
  <c r="L65" i="5"/>
  <c r="L55" i="5"/>
  <c r="L64" i="5" s="1"/>
  <c r="J58" i="5"/>
  <c r="J59" i="5" s="1"/>
  <c r="J60" i="5" s="1"/>
  <c r="J62" i="5"/>
  <c r="J56" i="5"/>
  <c r="J120" i="5"/>
  <c r="J80" i="5" s="1"/>
  <c r="M178" i="5"/>
  <c r="M127" i="5"/>
  <c r="M88" i="5"/>
  <c r="N52" i="5"/>
  <c r="G55" i="5"/>
  <c r="H120" i="5"/>
  <c r="H63" i="5"/>
  <c r="H58" i="5" s="1"/>
  <c r="H59" i="5" s="1"/>
  <c r="H60" i="5" s="1"/>
  <c r="P218" i="5"/>
  <c r="F44" i="5"/>
  <c r="A145" i="5"/>
  <c r="A146" i="5" s="1"/>
  <c r="A147" i="5" s="1"/>
  <c r="A148" i="5" s="1"/>
  <c r="A149" i="5" s="1"/>
  <c r="A150" i="5" s="1"/>
  <c r="A151" i="5" s="1"/>
  <c r="A152" i="5" s="1"/>
  <c r="J64" i="5"/>
  <c r="K58" i="5"/>
  <c r="K120" i="5"/>
  <c r="K80" i="5" s="1"/>
  <c r="K62" i="5"/>
  <c r="K56" i="5"/>
  <c r="K59" i="5"/>
  <c r="K60" i="5" s="1"/>
  <c r="L158" i="5"/>
  <c r="M156" i="5"/>
  <c r="N170" i="5"/>
  <c r="I171" i="5"/>
  <c r="N171" i="5" s="1"/>
  <c r="G21" i="5" l="1"/>
  <c r="G17" i="4"/>
  <c r="H62" i="5"/>
  <c r="N63" i="5"/>
  <c r="M65" i="5"/>
  <c r="M55" i="5"/>
  <c r="M64" i="5" s="1"/>
  <c r="M128" i="5"/>
  <c r="N53" i="5"/>
  <c r="M179" i="5"/>
  <c r="G120" i="5"/>
  <c r="G122" i="5" s="1"/>
  <c r="H119" i="5" s="1"/>
  <c r="G63" i="5"/>
  <c r="Q55" i="5"/>
  <c r="H56" i="5"/>
  <c r="L120" i="5"/>
  <c r="L80" i="5" s="1"/>
  <c r="L56" i="5"/>
  <c r="L58" i="5"/>
  <c r="L59" i="5" s="1"/>
  <c r="L60" i="5" s="1"/>
  <c r="L62" i="5"/>
  <c r="A153" i="5"/>
  <c r="O217" i="5"/>
  <c r="F8" i="5"/>
  <c r="Q19" i="5"/>
  <c r="L9" i="5"/>
  <c r="I65" i="5"/>
  <c r="E62" i="5"/>
  <c r="M158" i="5"/>
  <c r="N156" i="5"/>
  <c r="N88" i="5"/>
  <c r="G165" i="5"/>
  <c r="N178" i="5"/>
  <c r="J165" i="5" s="1"/>
  <c r="O165" i="5" s="1"/>
  <c r="N127" i="5"/>
  <c r="O52" i="5"/>
  <c r="Q63" i="5" l="1"/>
  <c r="F17" i="4"/>
  <c r="G9" i="5"/>
  <c r="V103" i="5"/>
  <c r="I98" i="5"/>
  <c r="N158" i="5"/>
  <c r="O156" i="5"/>
  <c r="A154" i="5"/>
  <c r="A155" i="5" s="1"/>
  <c r="O218" i="5"/>
  <c r="G8" i="5"/>
  <c r="F11" i="5"/>
  <c r="H121" i="5"/>
  <c r="H122" i="5" s="1"/>
  <c r="I119" i="5" s="1"/>
  <c r="N128" i="5"/>
  <c r="O53" i="5"/>
  <c r="N179" i="5"/>
  <c r="O63" i="5"/>
  <c r="N55" i="5"/>
  <c r="N65" i="5"/>
  <c r="G167" i="5"/>
  <c r="G169" i="5" s="1"/>
  <c r="L11" i="5"/>
  <c r="I95" i="5"/>
  <c r="O88" i="5"/>
  <c r="P52" i="5"/>
  <c r="O178" i="5"/>
  <c r="K165" i="5" s="1"/>
  <c r="P165" i="5" s="1"/>
  <c r="O127" i="5"/>
  <c r="G58" i="5"/>
  <c r="G59" i="5" s="1"/>
  <c r="G62" i="5"/>
  <c r="M120" i="5"/>
  <c r="M80" i="5" s="1"/>
  <c r="M58" i="5"/>
  <c r="M59" i="5" s="1"/>
  <c r="M60" i="5" s="1"/>
  <c r="M62" i="5"/>
  <c r="M56" i="5"/>
  <c r="H65" i="5"/>
  <c r="I121" i="5" l="1"/>
  <c r="I122" i="5" s="1"/>
  <c r="J119" i="5" s="1"/>
  <c r="I97" i="5"/>
  <c r="I99" i="5" s="1"/>
  <c r="N120" i="5"/>
  <c r="N80" i="5" s="1"/>
  <c r="N62" i="5"/>
  <c r="N58" i="5"/>
  <c r="N59" i="5" s="1"/>
  <c r="N60" i="5" s="1"/>
  <c r="N56" i="5"/>
  <c r="O55" i="5"/>
  <c r="O64" i="5"/>
  <c r="P63" i="5"/>
  <c r="O65" i="5"/>
  <c r="N64" i="5"/>
  <c r="O128" i="5"/>
  <c r="P53" i="5"/>
  <c r="O179" i="5"/>
  <c r="G60" i="5"/>
  <c r="Q59" i="5"/>
  <c r="Q8" i="5"/>
  <c r="Q9" i="5"/>
  <c r="L15" i="5" s="1"/>
  <c r="AJ30" i="5" s="1"/>
  <c r="F13" i="5"/>
  <c r="P127" i="5"/>
  <c r="P88" i="5"/>
  <c r="P178" i="5"/>
  <c r="L165" i="5" s="1"/>
  <c r="Q165" i="5" s="1"/>
  <c r="G10" i="5"/>
  <c r="G11" i="5" s="1"/>
  <c r="P156" i="5"/>
  <c r="O158" i="5"/>
  <c r="J103" i="5"/>
  <c r="P158" i="5" l="1"/>
  <c r="G16" i="5"/>
  <c r="G13" i="5"/>
  <c r="J121" i="5"/>
  <c r="J70" i="5" s="1"/>
  <c r="J122" i="5"/>
  <c r="K119" i="5" s="1"/>
  <c r="P55" i="5"/>
  <c r="P64" i="5" s="1"/>
  <c r="R63" i="5"/>
  <c r="P65" i="5"/>
  <c r="O120" i="5"/>
  <c r="O80" i="5" s="1"/>
  <c r="O58" i="5"/>
  <c r="O59" i="5" s="1"/>
  <c r="O60" i="5" s="1"/>
  <c r="O62" i="5"/>
  <c r="O56" i="5"/>
  <c r="Q12" i="5"/>
  <c r="I188" i="5"/>
  <c r="O182" i="5"/>
  <c r="O181" i="5"/>
  <c r="P179" i="5"/>
  <c r="P128" i="5"/>
  <c r="O183" i="5" l="1"/>
  <c r="P182" i="5"/>
  <c r="P181" i="5"/>
  <c r="J78" i="5"/>
  <c r="J71" i="5"/>
  <c r="R55" i="5"/>
  <c r="P120" i="5"/>
  <c r="P80" i="5" s="1"/>
  <c r="P58" i="5"/>
  <c r="P59" i="5" s="1"/>
  <c r="P62" i="5"/>
  <c r="P56" i="5"/>
  <c r="AK30" i="5"/>
  <c r="AL30" i="5" s="1"/>
  <c r="O228" i="5"/>
  <c r="P228" i="5" s="1"/>
  <c r="AK28" i="5"/>
  <c r="AL28" i="5" s="1"/>
  <c r="AK29" i="5"/>
  <c r="Q14" i="5"/>
  <c r="Q15" i="5"/>
  <c r="K121" i="5"/>
  <c r="K70" i="5" s="1"/>
  <c r="P183" i="5" l="1"/>
  <c r="R59" i="5"/>
  <c r="P60" i="5"/>
  <c r="K122" i="5"/>
  <c r="L119" i="5" s="1"/>
  <c r="Q16" i="5"/>
  <c r="K78" i="5"/>
  <c r="K71" i="5"/>
  <c r="H28" i="5"/>
  <c r="E28" i="5"/>
  <c r="F28" i="5"/>
  <c r="G28" i="5"/>
  <c r="E30" i="5"/>
  <c r="F30" i="5"/>
  <c r="G30" i="5"/>
  <c r="G38" i="5" l="1"/>
  <c r="I28" i="5"/>
  <c r="H38" i="5"/>
  <c r="Q21" i="5"/>
  <c r="L14" i="5" s="1"/>
  <c r="G40" i="5"/>
  <c r="L121" i="5"/>
  <c r="L70" i="5" s="1"/>
  <c r="I30" i="5"/>
  <c r="G14" i="4"/>
  <c r="C14" i="4"/>
  <c r="D14" i="4"/>
  <c r="E14" i="4"/>
  <c r="F14" i="4"/>
  <c r="F15" i="4" s="1"/>
  <c r="B14" i="4"/>
  <c r="B15" i="4" s="1"/>
  <c r="C12" i="4"/>
  <c r="D12" i="4"/>
  <c r="E12" i="4"/>
  <c r="F12" i="4"/>
  <c r="G12" i="4"/>
  <c r="B12" i="4"/>
  <c r="C6" i="4"/>
  <c r="D6" i="4"/>
  <c r="E6" i="4"/>
  <c r="F6" i="4"/>
  <c r="G6" i="4"/>
  <c r="B6" i="4"/>
  <c r="C9" i="4"/>
  <c r="D9" i="4"/>
  <c r="E9" i="4"/>
  <c r="F9" i="4"/>
  <c r="G9" i="4"/>
  <c r="B9" i="4"/>
  <c r="C8" i="4"/>
  <c r="D8" i="4"/>
  <c r="E8" i="4"/>
  <c r="F8" i="4"/>
  <c r="G8" i="4"/>
  <c r="B8" i="4"/>
  <c r="B36" i="2"/>
  <c r="C36" i="2"/>
  <c r="D36" i="2"/>
  <c r="E36" i="2"/>
  <c r="F36" i="2"/>
  <c r="G36" i="2"/>
  <c r="H15" i="3"/>
  <c r="H16" i="3" s="1"/>
  <c r="G15" i="3"/>
  <c r="G16" i="3" s="1"/>
  <c r="F15" i="3"/>
  <c r="F16" i="3" s="1"/>
  <c r="E15" i="3"/>
  <c r="E16" i="3" s="1"/>
  <c r="D15" i="3"/>
  <c r="D16" i="3" s="1"/>
  <c r="C15" i="3"/>
  <c r="H14" i="3"/>
  <c r="G14" i="3"/>
  <c r="F14" i="3"/>
  <c r="E14" i="3"/>
  <c r="D14" i="3"/>
  <c r="H10" i="3"/>
  <c r="H11" i="3" s="1"/>
  <c r="G10" i="3"/>
  <c r="G11" i="3" s="1"/>
  <c r="F10" i="3"/>
  <c r="F11" i="3" s="1"/>
  <c r="E10" i="3"/>
  <c r="E11" i="3" s="1"/>
  <c r="D10" i="3"/>
  <c r="D11" i="3" s="1"/>
  <c r="C10" i="3"/>
  <c r="H9" i="3"/>
  <c r="G9" i="3"/>
  <c r="F9" i="3"/>
  <c r="E9" i="3"/>
  <c r="D9" i="3"/>
  <c r="H5" i="3"/>
  <c r="H6" i="3" s="1"/>
  <c r="G5" i="3"/>
  <c r="G6" i="3" s="1"/>
  <c r="F5" i="3"/>
  <c r="F6" i="3" s="1"/>
  <c r="E5" i="3"/>
  <c r="E6" i="3" s="1"/>
  <c r="D5" i="3"/>
  <c r="D6" i="3" s="1"/>
  <c r="C5" i="3"/>
  <c r="H4" i="3"/>
  <c r="G4" i="3"/>
  <c r="F4" i="3"/>
  <c r="E4" i="3"/>
  <c r="D4" i="3"/>
  <c r="D2" i="3"/>
  <c r="E2" i="3" s="1"/>
  <c r="F2" i="3" s="1"/>
  <c r="G2" i="3" s="1"/>
  <c r="H2" i="3" s="1"/>
  <c r="R39" i="2"/>
  <c r="R38" i="2" s="1"/>
  <c r="Q39" i="2"/>
  <c r="Q38" i="2" s="1"/>
  <c r="P39" i="2"/>
  <c r="O39" i="2"/>
  <c r="P38" i="2"/>
  <c r="O38" i="2"/>
  <c r="H34" i="2"/>
  <c r="Q22" i="2"/>
  <c r="Q23" i="2" s="1"/>
  <c r="P22" i="2"/>
  <c r="P23" i="2" s="1"/>
  <c r="O22" i="2"/>
  <c r="O42" i="2" s="1"/>
  <c r="R20" i="2"/>
  <c r="R22" i="2" s="1"/>
  <c r="R23" i="2" s="1"/>
  <c r="Q20" i="2"/>
  <c r="P20" i="2"/>
  <c r="O20" i="2"/>
  <c r="R18" i="2"/>
  <c r="Q18" i="2"/>
  <c r="P18" i="2"/>
  <c r="O18" i="2"/>
  <c r="R17" i="2"/>
  <c r="Q17" i="2"/>
  <c r="P17" i="2"/>
  <c r="O17" i="2"/>
  <c r="H17" i="2"/>
  <c r="H18" i="2" s="1"/>
  <c r="H16" i="2"/>
  <c r="G16" i="2"/>
  <c r="F16" i="2"/>
  <c r="E16" i="2"/>
  <c r="D16" i="2"/>
  <c r="C16" i="2"/>
  <c r="V15" i="2"/>
  <c r="V14" i="2"/>
  <c r="O9" i="2"/>
  <c r="O10" i="2" s="1"/>
  <c r="R7" i="2"/>
  <c r="R9" i="2" s="1"/>
  <c r="Q7" i="2"/>
  <c r="Q9" i="2" s="1"/>
  <c r="P7" i="2"/>
  <c r="P9" i="2" s="1"/>
  <c r="O7" i="2"/>
  <c r="R6" i="2"/>
  <c r="Q6" i="2"/>
  <c r="P6" i="2"/>
  <c r="O6" i="2"/>
  <c r="R5" i="2"/>
  <c r="Q5" i="2"/>
  <c r="P5" i="2"/>
  <c r="O5" i="2"/>
  <c r="J56" i="1"/>
  <c r="J54" i="1" s="1"/>
  <c r="M53" i="1"/>
  <c r="L53" i="1"/>
  <c r="K53" i="1"/>
  <c r="J53" i="1"/>
  <c r="M52" i="1"/>
  <c r="L52" i="1"/>
  <c r="K52" i="1"/>
  <c r="J52" i="1"/>
  <c r="M51" i="1"/>
  <c r="L51" i="1"/>
  <c r="K51" i="1"/>
  <c r="J51" i="1"/>
  <c r="M49" i="1"/>
  <c r="M56" i="1" s="1"/>
  <c r="M54" i="1" s="1"/>
  <c r="L49" i="1"/>
  <c r="L56" i="1" s="1"/>
  <c r="L54" i="1" s="1"/>
  <c r="K49" i="1"/>
  <c r="K56" i="1" s="1"/>
  <c r="K54" i="1" s="1"/>
  <c r="J49" i="1"/>
  <c r="M35" i="1"/>
  <c r="L35" i="1"/>
  <c r="K35" i="1"/>
  <c r="J35" i="1"/>
  <c r="J33" i="1"/>
  <c r="M32" i="1"/>
  <c r="L32" i="1"/>
  <c r="K32" i="1"/>
  <c r="J32" i="1"/>
  <c r="M31" i="1"/>
  <c r="M33" i="1" s="1"/>
  <c r="L31" i="1"/>
  <c r="L33" i="1" s="1"/>
  <c r="K31" i="1"/>
  <c r="K33" i="1" s="1"/>
  <c r="J31" i="1"/>
  <c r="M23" i="1"/>
  <c r="L23" i="1"/>
  <c r="K23" i="1"/>
  <c r="J23" i="1"/>
  <c r="M15" i="1"/>
  <c r="L15" i="1"/>
  <c r="K15" i="1"/>
  <c r="J15" i="1"/>
  <c r="M13" i="1"/>
  <c r="M14" i="1" s="1"/>
  <c r="M17" i="1" s="1"/>
  <c r="M18" i="1" s="1"/>
  <c r="L13" i="1"/>
  <c r="L14" i="1" s="1"/>
  <c r="L17" i="1" s="1"/>
  <c r="L18" i="1" s="1"/>
  <c r="K13" i="1"/>
  <c r="K14" i="1" s="1"/>
  <c r="K17" i="1" s="1"/>
  <c r="K18" i="1" s="1"/>
  <c r="J13" i="1"/>
  <c r="J14" i="1" s="1"/>
  <c r="J17" i="1" s="1"/>
  <c r="J18" i="1" s="1"/>
  <c r="M11" i="1"/>
  <c r="L11" i="1"/>
  <c r="K11" i="1"/>
  <c r="J11" i="1"/>
  <c r="M5" i="1"/>
  <c r="L5" i="1"/>
  <c r="K5" i="1"/>
  <c r="J5" i="1"/>
  <c r="D15" i="4" l="1"/>
  <c r="E10" i="4"/>
  <c r="G10" i="4"/>
  <c r="D10" i="4"/>
  <c r="B10" i="4"/>
  <c r="C10" i="4"/>
  <c r="F10" i="4"/>
  <c r="E15" i="4"/>
  <c r="C15" i="4"/>
  <c r="G15" i="4"/>
  <c r="L16" i="5"/>
  <c r="L20" i="5" s="1"/>
  <c r="AJ29" i="5"/>
  <c r="E186" i="5"/>
  <c r="E188" i="5"/>
  <c r="L78" i="5"/>
  <c r="L71" i="5"/>
  <c r="L122" i="5"/>
  <c r="M119" i="5" s="1"/>
  <c r="E18" i="3"/>
  <c r="H18" i="3"/>
  <c r="P42" i="2"/>
  <c r="P10" i="2"/>
  <c r="D18" i="3"/>
  <c r="G18" i="3"/>
  <c r="Q42" i="2"/>
  <c r="Q10" i="2"/>
  <c r="R42" i="2"/>
  <c r="R10" i="2"/>
  <c r="F18" i="3"/>
  <c r="O23" i="2"/>
  <c r="M121" i="5" l="1"/>
  <c r="M70" i="5" s="1"/>
  <c r="AL29" i="5"/>
  <c r="AJ33" i="5"/>
  <c r="I187" i="5"/>
  <c r="I190" i="5" l="1"/>
  <c r="E29" i="5"/>
  <c r="F29" i="5"/>
  <c r="G29" i="5"/>
  <c r="M78" i="5"/>
  <c r="M71" i="5"/>
  <c r="M122" i="5"/>
  <c r="N119" i="5" s="1"/>
  <c r="N121" i="5" l="1"/>
  <c r="N70" i="5" s="1"/>
  <c r="F33" i="5"/>
  <c r="K29" i="5" s="1"/>
  <c r="G39" i="5"/>
  <c r="G43" i="5" s="1"/>
  <c r="G33" i="5"/>
  <c r="I29" i="5"/>
  <c r="E33" i="5"/>
  <c r="W187" i="5" l="1"/>
  <c r="L31" i="5"/>
  <c r="L28" i="5"/>
  <c r="L30" i="5"/>
  <c r="W148" i="5"/>
  <c r="O227" i="5"/>
  <c r="J31" i="5"/>
  <c r="I143" i="5"/>
  <c r="J30" i="5"/>
  <c r="J28" i="5"/>
  <c r="J29" i="5"/>
  <c r="L29" i="5"/>
  <c r="E187" i="5"/>
  <c r="W149" i="5"/>
  <c r="P227" i="5"/>
  <c r="P229" i="5" s="1"/>
  <c r="I144" i="5"/>
  <c r="K31" i="5"/>
  <c r="K30" i="5"/>
  <c r="K28" i="5"/>
  <c r="N78" i="5"/>
  <c r="N71" i="5"/>
  <c r="N122" i="5"/>
  <c r="O119" i="5" s="1"/>
  <c r="I145" i="5" l="1"/>
  <c r="V130" i="5"/>
  <c r="V148" i="5"/>
  <c r="X148" i="5" s="1"/>
  <c r="I148" i="5" s="1"/>
  <c r="V186" i="5"/>
  <c r="J33" i="5"/>
  <c r="Q227" i="5"/>
  <c r="O229" i="5"/>
  <c r="O121" i="5"/>
  <c r="O70" i="5" s="1"/>
  <c r="V187" i="5"/>
  <c r="V188" i="5"/>
  <c r="V189" i="5"/>
  <c r="W186" i="5"/>
  <c r="V149" i="5"/>
  <c r="X149" i="5" s="1"/>
  <c r="I149" i="5" s="1"/>
  <c r="K33" i="5"/>
  <c r="W188" i="5"/>
  <c r="W189" i="5"/>
  <c r="L33" i="5"/>
  <c r="V131" i="5"/>
  <c r="J131" i="5" l="1"/>
  <c r="K131" i="5"/>
  <c r="O131" i="5"/>
  <c r="L131" i="5"/>
  <c r="M131" i="5"/>
  <c r="N131" i="5"/>
  <c r="P131" i="5"/>
  <c r="Q229" i="5"/>
  <c r="O187" i="5"/>
  <c r="P187" i="5"/>
  <c r="O122" i="5"/>
  <c r="P119" i="5" s="1"/>
  <c r="W190" i="5"/>
  <c r="O78" i="5"/>
  <c r="O71" i="5"/>
  <c r="P130" i="5"/>
  <c r="P132" i="5" s="1"/>
  <c r="O130" i="5"/>
  <c r="V132" i="5"/>
  <c r="J130" i="5"/>
  <c r="K130" i="5"/>
  <c r="K132" i="5" s="1"/>
  <c r="L130" i="5"/>
  <c r="L132" i="5" s="1"/>
  <c r="M130" i="5"/>
  <c r="N130" i="5"/>
  <c r="V190" i="5"/>
  <c r="O186" i="5"/>
  <c r="P186" i="5"/>
  <c r="P189" i="5"/>
  <c r="O189" i="5"/>
  <c r="O188" i="5"/>
  <c r="P188" i="5"/>
  <c r="M132" i="5" l="1"/>
  <c r="P121" i="5"/>
  <c r="P70" i="5" s="1"/>
  <c r="O197" i="5"/>
  <c r="O193" i="5"/>
  <c r="O190" i="5"/>
  <c r="P197" i="5"/>
  <c r="P190" i="5"/>
  <c r="P193" i="5"/>
  <c r="N132" i="5"/>
  <c r="J134" i="5"/>
  <c r="J132" i="5"/>
  <c r="J143" i="5"/>
  <c r="O132" i="5"/>
  <c r="J135" i="5"/>
  <c r="K135" i="5" s="1"/>
  <c r="L135" i="5" s="1"/>
  <c r="M135" i="5" s="1"/>
  <c r="N135" i="5" s="1"/>
  <c r="O135" i="5" s="1"/>
  <c r="P135" i="5" s="1"/>
  <c r="J144" i="5"/>
  <c r="K134" i="5" l="1"/>
  <c r="J136" i="5"/>
  <c r="P78" i="5"/>
  <c r="P71" i="5"/>
  <c r="J145" i="5"/>
  <c r="J140" i="5" s="1"/>
  <c r="J138" i="5"/>
  <c r="J148" i="5"/>
  <c r="K143" i="5"/>
  <c r="K144" i="5"/>
  <c r="J139" i="5"/>
  <c r="J149" i="5"/>
  <c r="P122" i="5"/>
  <c r="L143" i="5" l="1"/>
  <c r="K145" i="5"/>
  <c r="K140" i="5" s="1"/>
  <c r="K138" i="5"/>
  <c r="K148" i="5"/>
  <c r="J153" i="5"/>
  <c r="J182" i="5"/>
  <c r="L144" i="5"/>
  <c r="K139" i="5"/>
  <c r="K149" i="5"/>
  <c r="K182" i="5" s="1"/>
  <c r="J152" i="5"/>
  <c r="J150" i="5"/>
  <c r="J107" i="5" s="1"/>
  <c r="J181" i="5"/>
  <c r="L134" i="5"/>
  <c r="K136" i="5"/>
  <c r="J183" i="5" l="1"/>
  <c r="J189" i="5"/>
  <c r="J186" i="5"/>
  <c r="J188" i="5"/>
  <c r="J187" i="5"/>
  <c r="M144" i="5"/>
  <c r="L139" i="5"/>
  <c r="L149" i="5"/>
  <c r="L182" i="5" s="1"/>
  <c r="M134" i="5"/>
  <c r="L136" i="5"/>
  <c r="K152" i="5"/>
  <c r="J154" i="5"/>
  <c r="K153" i="5"/>
  <c r="L153" i="5" s="1"/>
  <c r="K150" i="5"/>
  <c r="K107" i="5" s="1"/>
  <c r="K181" i="5"/>
  <c r="M143" i="5"/>
  <c r="L145" i="5"/>
  <c r="L140" i="5" s="1"/>
  <c r="L138" i="5"/>
  <c r="L148" i="5"/>
  <c r="N144" i="5" l="1"/>
  <c r="M139" i="5"/>
  <c r="M149" i="5"/>
  <c r="M182" i="5" s="1"/>
  <c r="J193" i="5"/>
  <c r="J190" i="5"/>
  <c r="N134" i="5"/>
  <c r="M136" i="5"/>
  <c r="L150" i="5"/>
  <c r="L107" i="5" s="1"/>
  <c r="L181" i="5"/>
  <c r="L152" i="5"/>
  <c r="K154" i="5"/>
  <c r="M148" i="5"/>
  <c r="N143" i="5"/>
  <c r="M145" i="5"/>
  <c r="M140" i="5" s="1"/>
  <c r="M138" i="5"/>
  <c r="K183" i="5"/>
  <c r="K186" i="5"/>
  <c r="K189" i="5"/>
  <c r="K188" i="5"/>
  <c r="K187" i="5"/>
  <c r="J184" i="5"/>
  <c r="K190" i="5" l="1"/>
  <c r="K193" i="5"/>
  <c r="K197" i="5" s="1"/>
  <c r="O134" i="5"/>
  <c r="N136" i="5"/>
  <c r="N148" i="5"/>
  <c r="O143" i="5"/>
  <c r="N145" i="5"/>
  <c r="N140" i="5" s="1"/>
  <c r="N138" i="5"/>
  <c r="H217" i="5"/>
  <c r="E40" i="5"/>
  <c r="E38" i="5"/>
  <c r="E41" i="5"/>
  <c r="E39" i="5"/>
  <c r="L183" i="5"/>
  <c r="L184" i="5" s="1"/>
  <c r="L188" i="5"/>
  <c r="L187" i="5"/>
  <c r="L186" i="5"/>
  <c r="L189" i="5"/>
  <c r="M153" i="5"/>
  <c r="M150" i="5"/>
  <c r="M107" i="5" s="1"/>
  <c r="M181" i="5"/>
  <c r="J197" i="5"/>
  <c r="K184" i="5"/>
  <c r="M152" i="5"/>
  <c r="L154" i="5"/>
  <c r="N149" i="5"/>
  <c r="N182" i="5" s="1"/>
  <c r="Q182" i="5" s="1"/>
  <c r="O144" i="5"/>
  <c r="N139" i="5"/>
  <c r="H218" i="5"/>
  <c r="F39" i="5"/>
  <c r="F40" i="5"/>
  <c r="F41" i="5"/>
  <c r="F38" i="5"/>
  <c r="N150" i="5" l="1"/>
  <c r="N107" i="5" s="1"/>
  <c r="N181" i="5"/>
  <c r="J201" i="5"/>
  <c r="L193" i="5"/>
  <c r="L190" i="5"/>
  <c r="F43" i="5"/>
  <c r="E43" i="5"/>
  <c r="I38" i="5"/>
  <c r="P230" i="5"/>
  <c r="P231" i="5" s="1"/>
  <c r="P233" i="5" s="1"/>
  <c r="O224" i="5" s="1"/>
  <c r="L218" i="5"/>
  <c r="H224" i="5"/>
  <c r="L224" i="5" s="1"/>
  <c r="O149" i="5"/>
  <c r="O139" i="5"/>
  <c r="P144" i="5"/>
  <c r="I40" i="5"/>
  <c r="N152" i="5"/>
  <c r="M154" i="5"/>
  <c r="O148" i="5"/>
  <c r="P143" i="5"/>
  <c r="O145" i="5"/>
  <c r="O140" i="5" s="1"/>
  <c r="O138" i="5"/>
  <c r="P134" i="5"/>
  <c r="P136" i="5" s="1"/>
  <c r="O136" i="5"/>
  <c r="I39" i="5"/>
  <c r="M183" i="5"/>
  <c r="M188" i="5"/>
  <c r="M189" i="5"/>
  <c r="M187" i="5"/>
  <c r="M186" i="5"/>
  <c r="N153" i="5"/>
  <c r="O230" i="5"/>
  <c r="H223" i="5"/>
  <c r="H219" i="5"/>
  <c r="L217" i="5"/>
  <c r="K201" i="5" l="1"/>
  <c r="G186" i="5"/>
  <c r="J202" i="5"/>
  <c r="L219" i="5"/>
  <c r="G187" i="5"/>
  <c r="P148" i="5"/>
  <c r="P138" i="5"/>
  <c r="P145" i="5"/>
  <c r="P140" i="5" s="1"/>
  <c r="O150" i="5"/>
  <c r="O107" i="5" s="1"/>
  <c r="O152" i="5"/>
  <c r="N154" i="5"/>
  <c r="G217" i="5"/>
  <c r="Q230" i="5"/>
  <c r="Q231" i="5" s="1"/>
  <c r="O231" i="5"/>
  <c r="O233" i="5" s="1"/>
  <c r="O223" i="5" s="1"/>
  <c r="M184" i="5"/>
  <c r="N183" i="5"/>
  <c r="O184" i="5" s="1"/>
  <c r="Q181" i="5"/>
  <c r="L197" i="5"/>
  <c r="L223" i="5"/>
  <c r="L225" i="5" s="1"/>
  <c r="H225" i="5"/>
  <c r="I225" i="5" s="1"/>
  <c r="G188" i="5"/>
  <c r="O153" i="5"/>
  <c r="G218" i="5"/>
  <c r="M193" i="5"/>
  <c r="M197" i="5" s="1"/>
  <c r="M190" i="5"/>
  <c r="P139" i="5"/>
  <c r="P149" i="5"/>
  <c r="Q183" i="5" l="1"/>
  <c r="P150" i="5"/>
  <c r="P107" i="5" s="1"/>
  <c r="P153" i="5"/>
  <c r="F188" i="5"/>
  <c r="L201" i="5"/>
  <c r="I218" i="5"/>
  <c r="K218" i="5"/>
  <c r="M218" i="5" s="1"/>
  <c r="K224" i="5"/>
  <c r="M224" i="5" s="1"/>
  <c r="P184" i="5"/>
  <c r="P152" i="5"/>
  <c r="P154" i="5" s="1"/>
  <c r="O154" i="5"/>
  <c r="K202" i="5"/>
  <c r="F187" i="5"/>
  <c r="G219" i="5"/>
  <c r="I217" i="5"/>
  <c r="K217" i="5"/>
  <c r="K223" i="5"/>
  <c r="J203" i="5"/>
  <c r="F186" i="5"/>
  <c r="N184" i="5"/>
  <c r="K203" i="5" l="1"/>
  <c r="K207" i="5" s="1"/>
  <c r="K219" i="5"/>
  <c r="M219" i="5" s="1"/>
  <c r="M217" i="5"/>
  <c r="G214" i="5"/>
  <c r="I219" i="5"/>
  <c r="K225" i="5"/>
  <c r="M225" i="5" s="1"/>
  <c r="M223" i="5"/>
  <c r="J207" i="5"/>
  <c r="M201" i="5"/>
  <c r="L202" i="5"/>
  <c r="L203" i="5" s="1"/>
  <c r="L207" i="5" s="1"/>
  <c r="M202" i="5" l="1"/>
  <c r="M203" i="5" s="1"/>
  <c r="M207" i="5" l="1"/>
  <c r="I12" i="6"/>
  <c r="I20" i="6"/>
  <c r="I27" i="6"/>
  <c r="D28" i="6"/>
  <c r="I18" i="6"/>
  <c r="I28" i="6"/>
  <c r="I13" i="6"/>
  <c r="I23" i="6" s="1"/>
  <c r="I17" i="6"/>
  <c r="I14" i="6"/>
  <c r="D29" i="6"/>
  <c r="I8" i="6" s="1"/>
  <c r="I10" i="6" s="1"/>
  <c r="I25" i="6"/>
  <c r="I24" i="6"/>
  <c r="I21" i="6"/>
  <c r="I15" i="6" l="1"/>
  <c r="Q168" i="5"/>
  <c r="P98" i="5"/>
  <c r="P108" i="5"/>
  <c r="P170" i="5"/>
  <c r="O207" i="5"/>
  <c r="O203" i="5"/>
  <c r="Q171" i="5"/>
  <c r="O104" i="5"/>
  <c r="O81" i="5"/>
  <c r="O77" i="5"/>
  <c r="E190" i="5"/>
  <c r="E189" i="5"/>
  <c r="O201" i="5"/>
  <c r="O202" i="5"/>
  <c r="L116" i="5"/>
  <c r="K98" i="5"/>
  <c r="K116" i="5"/>
  <c r="J98" i="5"/>
  <c r="J116" i="5"/>
  <c r="G221" i="5"/>
  <c r="G215" i="5"/>
  <c r="G213" i="5"/>
  <c r="G171" i="5"/>
  <c r="G170" i="5"/>
  <c r="N99" i="5"/>
  <c r="N97" i="5"/>
  <c r="Q167" i="5"/>
  <c r="L98" i="5"/>
  <c r="M116" i="5"/>
  <c r="P169" i="5"/>
  <c r="K99" i="5"/>
  <c r="K97" i="5"/>
  <c r="O168" i="5"/>
  <c r="F190" i="5"/>
  <c r="F189" i="5"/>
  <c r="M98" i="5"/>
  <c r="N116" i="5"/>
  <c r="O167" i="5"/>
  <c r="P168" i="5"/>
  <c r="H43" i="5"/>
  <c r="P94" i="5"/>
  <c r="P97" i="5"/>
  <c r="P99" i="5"/>
  <c r="N43" i="5"/>
  <c r="N38" i="5"/>
  <c r="Q170" i="5"/>
  <c r="Q189" i="5"/>
  <c r="N189" i="5"/>
  <c r="O112" i="5"/>
  <c r="O115" i="5"/>
  <c r="O117" i="5"/>
  <c r="O73" i="5"/>
  <c r="O74" i="5"/>
  <c r="O76" i="5"/>
  <c r="P167" i="5"/>
  <c r="P105" i="5"/>
  <c r="P95" i="5"/>
  <c r="N33" i="5"/>
  <c r="N28" i="5"/>
  <c r="O171" i="5"/>
  <c r="N104" i="5"/>
  <c r="N81" i="5"/>
  <c r="N77" i="5"/>
  <c r="N29" i="5"/>
  <c r="I33" i="5"/>
  <c r="N30" i="5"/>
  <c r="J76" i="5"/>
  <c r="P207" i="5"/>
  <c r="P203" i="5"/>
  <c r="N112" i="5"/>
  <c r="N115" i="5"/>
  <c r="N117" i="5"/>
  <c r="N73" i="5"/>
  <c r="N74" i="5"/>
  <c r="N76" i="5"/>
  <c r="Q190" i="5"/>
  <c r="Q186" i="5"/>
  <c r="M106" i="5"/>
  <c r="N41" i="5"/>
  <c r="P201" i="5"/>
  <c r="P202" i="5"/>
  <c r="AG28" i="5"/>
  <c r="AG29" i="5"/>
  <c r="G19" i="5"/>
  <c r="G17" i="5"/>
  <c r="G15" i="5"/>
  <c r="I166" i="5"/>
  <c r="R190" i="5"/>
  <c r="AM33" i="5"/>
  <c r="AM28" i="5"/>
  <c r="Q169" i="5"/>
  <c r="O170" i="5"/>
  <c r="N190" i="5"/>
  <c r="S190" i="5"/>
  <c r="N40" i="5"/>
  <c r="H41" i="5"/>
  <c r="I41" i="5"/>
  <c r="I43" i="5"/>
  <c r="N39" i="5"/>
  <c r="L104" i="5"/>
  <c r="L81" i="5"/>
  <c r="L77" i="5"/>
  <c r="R186" i="5"/>
  <c r="S186" i="5"/>
  <c r="O106" i="5"/>
  <c r="Q201" i="5"/>
  <c r="Q202" i="5"/>
  <c r="N202" i="5"/>
  <c r="O99" i="5"/>
  <c r="O97" i="5"/>
  <c r="P171" i="5"/>
  <c r="P76" i="5"/>
  <c r="L105" i="5"/>
  <c r="M113" i="5"/>
  <c r="K106" i="5"/>
  <c r="I205" i="5"/>
  <c r="I204" i="5"/>
  <c r="N201" i="5"/>
  <c r="N203" i="5"/>
  <c r="Q203" i="5"/>
  <c r="O116" i="5"/>
  <c r="N98" i="5"/>
  <c r="H190" i="5"/>
  <c r="M76" i="5"/>
  <c r="Q207" i="5"/>
  <c r="N207" i="5"/>
  <c r="K76" i="5"/>
  <c r="Q187" i="5"/>
  <c r="S187" i="5"/>
  <c r="L106" i="5"/>
  <c r="AT29" i="5"/>
  <c r="AT28" i="5"/>
  <c r="AT26" i="5"/>
  <c r="K105" i="5"/>
  <c r="L113" i="5"/>
  <c r="L112" i="5"/>
  <c r="L115" i="5"/>
  <c r="L117" i="5"/>
  <c r="L73" i="5"/>
  <c r="L74" i="5"/>
  <c r="L76" i="5"/>
  <c r="O98" i="5"/>
  <c r="P116" i="5"/>
  <c r="M31" i="5"/>
  <c r="M33" i="5"/>
  <c r="M28" i="5"/>
  <c r="J99" i="5"/>
  <c r="J97" i="5"/>
  <c r="N94" i="5"/>
  <c r="O94" i="5"/>
  <c r="P112" i="5"/>
  <c r="P115" i="5"/>
  <c r="P117" i="5"/>
  <c r="P73" i="5"/>
  <c r="P74" i="5"/>
  <c r="P77" i="5"/>
  <c r="P81" i="5"/>
  <c r="P104" i="5"/>
  <c r="O113" i="5"/>
  <c r="N105" i="5"/>
  <c r="I31" i="5"/>
  <c r="N31" i="5"/>
  <c r="P113" i="5"/>
  <c r="N95" i="5"/>
  <c r="O95" i="5"/>
  <c r="O105" i="5"/>
  <c r="AM29" i="5"/>
  <c r="AM30" i="5"/>
  <c r="AK33" i="5"/>
  <c r="S188" i="5"/>
  <c r="Q188" i="5"/>
  <c r="H188" i="5"/>
  <c r="N188" i="5"/>
  <c r="R188" i="5"/>
  <c r="M105" i="5"/>
  <c r="K95" i="5"/>
  <c r="L95" i="5"/>
  <c r="M95" i="5"/>
  <c r="N113" i="5"/>
  <c r="M112" i="5"/>
  <c r="M115" i="5"/>
  <c r="M117" i="5"/>
  <c r="M73" i="5"/>
  <c r="M74" i="5"/>
  <c r="M77" i="5"/>
  <c r="M81" i="5"/>
  <c r="M104" i="5"/>
  <c r="N106" i="5"/>
  <c r="K113" i="5"/>
  <c r="J105" i="5"/>
  <c r="J95" i="5"/>
  <c r="J113" i="5"/>
  <c r="I194" i="5"/>
  <c r="I195" i="5"/>
  <c r="Q193" i="5"/>
  <c r="L97" i="5"/>
  <c r="L99" i="5"/>
  <c r="Q197" i="5"/>
  <c r="I199" i="5"/>
  <c r="H187" i="5"/>
  <c r="N187" i="5"/>
  <c r="R187" i="5"/>
  <c r="AT27" i="5"/>
  <c r="AX29" i="5"/>
  <c r="H189" i="5"/>
  <c r="G189" i="5"/>
  <c r="G190" i="5"/>
  <c r="H186" i="5"/>
  <c r="N186" i="5"/>
  <c r="N193" i="5"/>
  <c r="N197" i="5"/>
  <c r="I198" i="5"/>
  <c r="M29" i="5"/>
  <c r="AG30" i="5"/>
  <c r="H31" i="5"/>
  <c r="H33" i="5"/>
  <c r="M30" i="5"/>
  <c r="K94" i="5"/>
  <c r="L94" i="5"/>
  <c r="M94" i="5"/>
  <c r="M97" i="5"/>
  <c r="M99" i="5"/>
  <c r="AL32" i="5"/>
  <c r="AL33" i="5"/>
  <c r="G14" i="5"/>
  <c r="G18" i="5"/>
  <c r="O169" i="5"/>
  <c r="J108" i="5"/>
  <c r="K103" i="5"/>
  <c r="K108" i="5"/>
  <c r="L103" i="5"/>
  <c r="L108" i="5"/>
  <c r="M103" i="5"/>
  <c r="M108" i="5"/>
  <c r="N103" i="5"/>
  <c r="N108" i="5"/>
  <c r="O103" i="5"/>
  <c r="O108" i="5"/>
  <c r="P103" i="5"/>
  <c r="P106" i="5"/>
  <c r="J112" i="5"/>
  <c r="J115" i="5"/>
  <c r="J117" i="5"/>
  <c r="J73" i="5"/>
  <c r="J74" i="5"/>
  <c r="J77" i="5"/>
  <c r="J81" i="5"/>
  <c r="J104" i="5"/>
  <c r="J106" i="5"/>
  <c r="J94" i="5"/>
  <c r="K112" i="5"/>
  <c r="K115" i="5"/>
  <c r="K117" i="5"/>
  <c r="K73" i="5"/>
  <c r="K74" i="5"/>
  <c r="K77" i="5"/>
  <c r="K81" i="5"/>
  <c r="K104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Tucker Hodgkins</author>
  </authors>
  <commentList>
    <comment ref="AB28" authorId="0" shapeId="0" xr:uid="{E867C92F-CA58-4795-AEAE-4F5296EBC462}">
      <text>
        <r>
          <rPr>
            <b/>
            <sz val="9"/>
            <color indexed="81"/>
            <rFont val="Tahoma"/>
            <family val="2"/>
          </rPr>
          <t>Tucker Hodgkins:</t>
        </r>
        <r>
          <rPr>
            <sz val="9"/>
            <color indexed="81"/>
            <rFont val="Tahoma"/>
            <family val="2"/>
          </rPr>
          <t xml:space="preserve">
PLUG.</t>
        </r>
      </text>
    </comment>
    <comment ref="AB29" authorId="0" shapeId="0" xr:uid="{C1F2502C-3FA1-41EC-B481-5611D66C6FAD}">
      <text>
        <r>
          <rPr>
            <b/>
            <sz val="9"/>
            <color indexed="81"/>
            <rFont val="Tahoma"/>
            <family val="2"/>
          </rPr>
          <t>Tucker Hodgkins:</t>
        </r>
        <r>
          <rPr>
            <sz val="9"/>
            <color indexed="81"/>
            <rFont val="Tahoma"/>
            <family val="2"/>
          </rPr>
          <t xml:space="preserve">
PLUG.</t>
        </r>
      </text>
    </comment>
    <comment ref="AB30" authorId="0" shapeId="0" xr:uid="{A40DFB71-EB44-4942-9286-0149B9B5CCE5}">
      <text>
        <r>
          <rPr>
            <b/>
            <sz val="9"/>
            <color indexed="81"/>
            <rFont val="Tahoma"/>
            <family val="2"/>
          </rPr>
          <t>Tucker Hodgkins:</t>
        </r>
        <r>
          <rPr>
            <sz val="9"/>
            <color indexed="81"/>
            <rFont val="Tahoma"/>
            <family val="2"/>
          </rPr>
          <t xml:space="preserve">
PLUG.</t>
        </r>
      </text>
    </comment>
    <comment ref="AD31" authorId="0" shapeId="0" xr:uid="{6413817D-850C-406D-A4CA-B132CA4A2A8F}">
      <text>
        <r>
          <rPr>
            <b/>
            <sz val="9"/>
            <color indexed="81"/>
            <rFont val="Tahoma"/>
            <family val="2"/>
          </rPr>
          <t>Tucker Hodgkins:</t>
        </r>
        <r>
          <rPr>
            <sz val="9"/>
            <color indexed="81"/>
            <rFont val="Tahoma"/>
            <family val="2"/>
          </rPr>
          <t xml:space="preserve">
Plug</t>
        </r>
      </text>
    </comment>
    <comment ref="C46" authorId="0" shapeId="0" xr:uid="{4E44410A-FD35-4D29-925D-8D5DD51E6D14}">
      <text>
        <r>
          <rPr>
            <b/>
            <sz val="9"/>
            <color rgb="FF000000"/>
            <rFont val="Tahoma"/>
            <family val="2"/>
          </rPr>
          <t>Tucker Hodgkins: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https://www.investopedia.com/terms/c/common-stock-equivalent.asp</t>
        </r>
      </text>
    </comment>
    <comment ref="I52" authorId="0" shapeId="0" xr:uid="{E46203DB-D0B4-43B4-A199-5671F3AE8C9A}">
      <text>
        <r>
          <rPr>
            <b/>
            <sz val="9"/>
            <color rgb="FF000000"/>
            <rFont val="Tahoma"/>
            <family val="2"/>
          </rPr>
          <t>Tucker Hodgkins: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Factor specific date</t>
        </r>
      </text>
    </comment>
    <comment ref="J69" authorId="0" shapeId="0" xr:uid="{CC22A398-56BF-4D81-8957-D9890ADE1D23}">
      <text>
        <r>
          <rPr>
            <sz val="9"/>
            <color indexed="81"/>
            <rFont val="Tahoma"/>
            <family val="2"/>
          </rPr>
          <t xml:space="preserve">
If closing mid-year, adjust this with stub period</t>
        </r>
      </text>
    </comment>
    <comment ref="J70" authorId="0" shapeId="0" xr:uid="{3A236C88-CF5D-490A-BDE2-7028B51D05BB}">
      <text>
        <r>
          <rPr>
            <sz val="9"/>
            <color indexed="81"/>
            <rFont val="Tahoma"/>
            <family val="2"/>
          </rPr>
          <t xml:space="preserve">
If closing mid-year, adjust this with stub period</t>
        </r>
      </text>
    </comment>
    <comment ref="J80" authorId="0" shapeId="0" xr:uid="{68A4AFE0-3647-4B6F-9E59-8877CBF79ABE}">
      <text>
        <r>
          <rPr>
            <sz val="9"/>
            <color indexed="81"/>
            <rFont val="Tahoma"/>
            <family val="2"/>
          </rPr>
          <t xml:space="preserve">
If closing mid-year, adjust this with stub period</t>
        </r>
      </text>
    </comment>
    <comment ref="J112" authorId="0" shapeId="0" xr:uid="{98F79CAB-7CC3-4341-81FC-B261186919F8}">
      <text>
        <r>
          <rPr>
            <b/>
            <sz val="9"/>
            <color indexed="81"/>
            <rFont val="Tahoma"/>
            <family val="2"/>
          </rPr>
          <t>Tucker Hodgkins:</t>
        </r>
        <r>
          <rPr>
            <sz val="9"/>
            <color indexed="81"/>
            <rFont val="Tahoma"/>
            <family val="2"/>
          </rPr>
          <t xml:space="preserve">
Stub</t>
        </r>
      </text>
    </comment>
    <comment ref="J113" authorId="0" shapeId="0" xr:uid="{EA82F695-1D58-4999-B12A-B3E986BE0E5A}">
      <text>
        <r>
          <rPr>
            <b/>
            <sz val="9"/>
            <color indexed="81"/>
            <rFont val="Tahoma"/>
            <family val="2"/>
          </rPr>
          <t>Tucker Hodgkins:</t>
        </r>
        <r>
          <rPr>
            <sz val="9"/>
            <color indexed="81"/>
            <rFont val="Tahoma"/>
            <family val="2"/>
          </rPr>
          <t xml:space="preserve">
Stub</t>
        </r>
      </text>
    </comment>
    <comment ref="J114" authorId="0" shapeId="0" xr:uid="{06722CA2-41C0-47C0-96FB-27A84029EC60}">
      <text>
        <r>
          <rPr>
            <b/>
            <sz val="9"/>
            <color rgb="FF000000"/>
            <rFont val="Tahoma"/>
            <family val="2"/>
          </rPr>
          <t>Tucker Hodgkins: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Stub</t>
        </r>
      </text>
    </comment>
    <comment ref="J116" authorId="0" shapeId="0" xr:uid="{09B2B24E-0C7C-4D14-A908-DE771B6C9B44}">
      <text>
        <r>
          <rPr>
            <b/>
            <sz val="9"/>
            <color indexed="81"/>
            <rFont val="Tahoma"/>
            <family val="2"/>
          </rPr>
          <t>Tucker Hodgkins:</t>
        </r>
        <r>
          <rPr>
            <sz val="9"/>
            <color indexed="81"/>
            <rFont val="Tahoma"/>
            <family val="2"/>
          </rPr>
          <t xml:space="preserve">
Stub</t>
        </r>
      </text>
    </comment>
    <comment ref="C120" authorId="0" shapeId="0" xr:uid="{720DA956-3C83-4E1A-ACB5-E8DE07FB67F1}">
      <text>
        <r>
          <rPr>
            <b/>
            <sz val="9"/>
            <color indexed="81"/>
            <rFont val="Tahoma"/>
            <family val="2"/>
          </rPr>
          <t>Tucker Hodgkins:</t>
        </r>
        <r>
          <rPr>
            <sz val="9"/>
            <color indexed="81"/>
            <rFont val="Tahoma"/>
            <family val="2"/>
          </rPr>
          <t xml:space="preserve">
Add PP&amp;E, D&amp;A waterfall once balance-sheet module added.</t>
        </r>
      </text>
    </comment>
    <comment ref="C121" authorId="0" shapeId="0" xr:uid="{17486338-CA40-449F-954B-50E5AC489BA9}">
      <text>
        <r>
          <rPr>
            <b/>
            <sz val="9"/>
            <color indexed="81"/>
            <rFont val="Tahoma"/>
            <family val="2"/>
          </rPr>
          <t>Tucker Hodgkins:</t>
        </r>
        <r>
          <rPr>
            <sz val="9"/>
            <color indexed="81"/>
            <rFont val="Tahoma"/>
            <family val="2"/>
          </rPr>
          <t xml:space="preserve">
Add PP&amp;E, D&amp;A waterfall once balance-sheet module added.</t>
        </r>
      </text>
    </comment>
    <comment ref="C145" authorId="0" shapeId="0" xr:uid="{2BB58B27-582D-412A-A8C9-4B663B8410A3}">
      <text>
        <r>
          <rPr>
            <b/>
            <sz val="9"/>
            <color indexed="81"/>
            <rFont val="Tahoma"/>
            <family val="2"/>
          </rPr>
          <t>Tucker Hodgkins:</t>
        </r>
        <r>
          <rPr>
            <sz val="9"/>
            <color indexed="81"/>
            <rFont val="Tahoma"/>
            <family val="2"/>
          </rPr>
          <t xml:space="preserve">
https://www.investopedia.com/terms/c/common-stock-equivalent.asp</t>
        </r>
      </text>
    </comment>
  </commentList>
</comments>
</file>

<file path=xl/sharedStrings.xml><?xml version="1.0" encoding="utf-8"?>
<sst xmlns="http://schemas.openxmlformats.org/spreadsheetml/2006/main" count="598" uniqueCount="490">
  <si>
    <t>Balance Sheet 2015-2020</t>
  </si>
  <si>
    <t>2015</t>
  </si>
  <si>
    <t>2016</t>
  </si>
  <si>
    <t>2017</t>
  </si>
  <si>
    <t>2018</t>
  </si>
  <si>
    <t>2019</t>
  </si>
  <si>
    <t>2020</t>
  </si>
  <si>
    <t>Current Assets</t>
  </si>
  <si>
    <t>Bank</t>
  </si>
  <si>
    <t>1012 - Key2 Checking</t>
  </si>
  <si>
    <t>Cash</t>
  </si>
  <si>
    <t>1013 - Key Bank Checking</t>
  </si>
  <si>
    <t>1014 - Key Bank Savings</t>
  </si>
  <si>
    <t>Total Bank</t>
  </si>
  <si>
    <t>Accounts Receivable</t>
  </si>
  <si>
    <t>1200 - Accounts Receivable</t>
  </si>
  <si>
    <t>Total Accounts Receivable</t>
  </si>
  <si>
    <t>AR</t>
  </si>
  <si>
    <t>Other Current Asset</t>
  </si>
  <si>
    <t>1120 - Inventory Asset</t>
  </si>
  <si>
    <t>Inventory</t>
  </si>
  <si>
    <t>1121 - Small Tools</t>
  </si>
  <si>
    <t>Other Current Assets</t>
  </si>
  <si>
    <t>1122 - Inventory Adj. Accounts</t>
  </si>
  <si>
    <t>Prepaid Expenses</t>
  </si>
  <si>
    <t>1205 - Allowance for Doubtful Accounts</t>
  </si>
  <si>
    <t>1401 - Employee Loans</t>
  </si>
  <si>
    <t>sum</t>
  </si>
  <si>
    <t>1507 - Prepaid Software Lease</t>
  </si>
  <si>
    <t>Check</t>
  </si>
  <si>
    <t>1508 - Prepaid</t>
  </si>
  <si>
    <t>Total Other Current Asset</t>
  </si>
  <si>
    <t>Total Current Assets</t>
  </si>
  <si>
    <t>Fixed Assets</t>
  </si>
  <si>
    <t>1500 - Vehicles</t>
  </si>
  <si>
    <t>1501 - Office/Construction Equipment</t>
  </si>
  <si>
    <t>1502 - Accumulated Depreciation</t>
  </si>
  <si>
    <t>1503 - Leasehold Improvements</t>
  </si>
  <si>
    <t>1505 - Demo Equipment</t>
  </si>
  <si>
    <t>1506 - Software</t>
  </si>
  <si>
    <t>Total Fixed Assets</t>
  </si>
  <si>
    <t>Other Assets</t>
  </si>
  <si>
    <t>1300 - Deposits</t>
  </si>
  <si>
    <t>Note Receivable</t>
  </si>
  <si>
    <t>1499 - Undeposited Funds</t>
  </si>
  <si>
    <t>Long Term Investments</t>
  </si>
  <si>
    <t>1510 - Loan Fee Amortization</t>
  </si>
  <si>
    <t>Other LTA</t>
  </si>
  <si>
    <t>1511 - A/A - Loan Fee</t>
  </si>
  <si>
    <t>1600 - Financial Investments</t>
  </si>
  <si>
    <t>Total</t>
  </si>
  <si>
    <t>1649 - Due from CascadeElect/Comm</t>
  </si>
  <si>
    <t>1650 - Due From Williamson Brothers, LLC</t>
  </si>
  <si>
    <t>1651 - Accrued Interest on Due from Williamson Brothers, LLC</t>
  </si>
  <si>
    <t>1800 - Due from Shareholder</t>
  </si>
  <si>
    <t>1801 - Accrued interest on Due from SH</t>
  </si>
  <si>
    <t>2550 - Current Portion-Notes Payable</t>
  </si>
  <si>
    <t>8011 - Interest  on Sh Loan</t>
  </si>
  <si>
    <t>Total Other Assets</t>
  </si>
  <si>
    <t>Total ASSETS</t>
  </si>
  <si>
    <t>LIABILITIES &amp; EQUITY</t>
  </si>
  <si>
    <t>Current Liabilities</t>
  </si>
  <si>
    <t>Accounts Payable</t>
  </si>
  <si>
    <t>2000 - Accounts Payable</t>
  </si>
  <si>
    <t>Total Accounts Payable</t>
  </si>
  <si>
    <t>AP</t>
  </si>
  <si>
    <t>Credit Card</t>
  </si>
  <si>
    <t>2104 - Charge Card Purchases</t>
  </si>
  <si>
    <t>Acccrued Expenses</t>
  </si>
  <si>
    <t>Total Credit Card</t>
  </si>
  <si>
    <t>Deposits</t>
  </si>
  <si>
    <t>Other Current Liability</t>
  </si>
  <si>
    <t>Current Mat of Notes Payable</t>
  </si>
  <si>
    <t>2004 - Prepaid Services</t>
  </si>
  <si>
    <t>Other Current Liabilities</t>
  </si>
  <si>
    <t>2005 - Inventory Received Not Billed</t>
  </si>
  <si>
    <t>2010 - Loans due to Jim &amp; Cami</t>
  </si>
  <si>
    <t>2011 - Shareholder loan accrued interest</t>
  </si>
  <si>
    <t>2101 - Accrued wages</t>
  </si>
  <si>
    <t>2102 - Payroll Tax Liabilitiy</t>
  </si>
  <si>
    <t>2106 - Accrued Commissions</t>
  </si>
  <si>
    <t>2107 - Accrued Vacation</t>
  </si>
  <si>
    <t>2200 - Sales Tax Payable</t>
  </si>
  <si>
    <t>2202 - Sales Taxes Payable WA</t>
  </si>
  <si>
    <t>2203 - Sales Taxes Payable CA</t>
  </si>
  <si>
    <t>2250 - Current portion of LTD</t>
  </si>
  <si>
    <t>2299 - Key Bank Line of Credit</t>
  </si>
  <si>
    <t>Total Other Current Liability</t>
  </si>
  <si>
    <t>Total Current Liabilities</t>
  </si>
  <si>
    <t>Long Term Liabilities</t>
  </si>
  <si>
    <t>2304 - Key Bank Loan</t>
  </si>
  <si>
    <t>2307 - Key Bank Loan  2</t>
  </si>
  <si>
    <t>2308 - Funding Circle Loan</t>
  </si>
  <si>
    <t>2309 - Mercedes-Benz Financial</t>
  </si>
  <si>
    <t>Total Long Term Liabilities</t>
  </si>
  <si>
    <t>Equity</t>
  </si>
  <si>
    <t>3010 - Capital Stock</t>
  </si>
  <si>
    <t>3020 - Distributions Paid</t>
  </si>
  <si>
    <t>3030 - Capital Contribution</t>
  </si>
  <si>
    <t>Total - Equity</t>
  </si>
  <si>
    <t>Retained Earnings</t>
  </si>
  <si>
    <t>Net Income</t>
  </si>
  <si>
    <t>Total Equity</t>
  </si>
  <si>
    <t>Total LIABILITIES &amp; EQUITY</t>
  </si>
  <si>
    <t>Income Statement 2015-2020</t>
  </si>
  <si>
    <t>How do you think stimulus is going to affect clients</t>
  </si>
  <si>
    <t>2021P</t>
  </si>
  <si>
    <t>2022P</t>
  </si>
  <si>
    <t>2023P</t>
  </si>
  <si>
    <t>2024P</t>
  </si>
  <si>
    <t>2025P</t>
  </si>
  <si>
    <t>Ordinary Income/Expense</t>
  </si>
  <si>
    <t>Income</t>
  </si>
  <si>
    <t>4001 - Labor Income</t>
  </si>
  <si>
    <t>Product Sales</t>
  </si>
  <si>
    <t>4002 - Material Income</t>
  </si>
  <si>
    <t>Services</t>
  </si>
  <si>
    <t>4003 - Services</t>
  </si>
  <si>
    <t>Other</t>
  </si>
  <si>
    <t>4005 - Prof. Devel. Income</t>
  </si>
  <si>
    <t>4006 - Interest Income on Sh Loan</t>
  </si>
  <si>
    <t>4020 - Performance Bond</t>
  </si>
  <si>
    <t>4040 - Commissions Earned</t>
  </si>
  <si>
    <t>4050 - Shipping and Handling</t>
  </si>
  <si>
    <t>4100 - Sales</t>
  </si>
  <si>
    <t>4170 - Equipment Rental</t>
  </si>
  <si>
    <t>Period Growth Rate</t>
  </si>
  <si>
    <t>Total - Income</t>
  </si>
  <si>
    <t>3 Year Growth Rate</t>
  </si>
  <si>
    <t>Cost Of Sales</t>
  </si>
  <si>
    <t>6000 - Cost of Goods Sold</t>
  </si>
  <si>
    <t>6002 - Materials</t>
  </si>
  <si>
    <t>6003 - Cash Discounts</t>
  </si>
  <si>
    <t>6100 - Labor</t>
  </si>
  <si>
    <t>6200 - Commission to ESD</t>
  </si>
  <si>
    <t>6201 - Commissions to OETC</t>
  </si>
  <si>
    <t>6202 - Commission Fee to KCDA</t>
  </si>
  <si>
    <t>check</t>
  </si>
  <si>
    <t>6203 - Commission to Cascade</t>
  </si>
  <si>
    <t>6205 - Commission PEPPM</t>
  </si>
  <si>
    <t>6300 - Bond Expense</t>
  </si>
  <si>
    <t>6301 - Job Site Equipment Rental</t>
  </si>
  <si>
    <t>6302 - Product Shipping</t>
  </si>
  <si>
    <t>6305 - Job Site Travel</t>
  </si>
  <si>
    <t>6306 - Subcontractors</t>
  </si>
  <si>
    <t>6307 - Casual Labor</t>
  </si>
  <si>
    <t>6308 - employment agency</t>
  </si>
  <si>
    <t>6309 - Small tools and equipment</t>
  </si>
  <si>
    <t>Total - Cost Of Sales</t>
  </si>
  <si>
    <t>Gross Profit</t>
  </si>
  <si>
    <t>Expense</t>
  </si>
  <si>
    <t>7003 - Fuel</t>
  </si>
  <si>
    <t>7041 - Sponsorship</t>
  </si>
  <si>
    <t>SG&amp;A</t>
  </si>
  <si>
    <t>7071 - Advertising</t>
  </si>
  <si>
    <t>Adjustments - (Interest, (Non-B&amp;O) Tax, Dep, Amort)</t>
  </si>
  <si>
    <t>7072 - Marketing</t>
  </si>
  <si>
    <t>Other Addbacks</t>
  </si>
  <si>
    <t>7119 - Service Charges</t>
  </si>
  <si>
    <t>7120 - Bank Service Charges</t>
  </si>
  <si>
    <t>Net Income Sum</t>
  </si>
  <si>
    <t>7121 - Charge Card Service</t>
  </si>
  <si>
    <t>EBITDA Sum</t>
  </si>
  <si>
    <t>7140 - Donations</t>
  </si>
  <si>
    <t>7159 - Filing Fees</t>
  </si>
  <si>
    <t>7160 - Dues and Subscriptions</t>
  </si>
  <si>
    <t>7180 - Insurance - Co. and vehical</t>
  </si>
  <si>
    <t>7198 - Medical, Dental, VSP, life  - Co.</t>
  </si>
  <si>
    <t>7222 - Cleaning and Sanitizing Supplies</t>
  </si>
  <si>
    <t>7230 - Licenses and Permits</t>
  </si>
  <si>
    <t>7250 - Postage and Delivery</t>
  </si>
  <si>
    <t>7251 - Freight</t>
  </si>
  <si>
    <t>7252 - uniforms</t>
  </si>
  <si>
    <t>7260 - Printing and Reproduction</t>
  </si>
  <si>
    <t>7262 - Internet and WEB Service</t>
  </si>
  <si>
    <t>7270 - Professional Fees</t>
  </si>
  <si>
    <t>7281 - Accounting</t>
  </si>
  <si>
    <t>7282 - Consulting</t>
  </si>
  <si>
    <t>7283 - Computer</t>
  </si>
  <si>
    <t>Total - 7270 - Professional Fees</t>
  </si>
  <si>
    <t>7289 - Storage</t>
  </si>
  <si>
    <t>7290 - Rent</t>
  </si>
  <si>
    <t>7291 - Interest Expense</t>
  </si>
  <si>
    <t>7292 - Finance Charge - Charge Cards</t>
  </si>
  <si>
    <t>7293 - Loan Interest - Vehicle Loan</t>
  </si>
  <si>
    <t>7294 - Interest Expense - LOC</t>
  </si>
  <si>
    <t>7295 - Interest - Bank Loan</t>
  </si>
  <si>
    <t>Total - 7291 - Interest Expense</t>
  </si>
  <si>
    <t>7300 - Repairs</t>
  </si>
  <si>
    <t>7301 - Van &amp;Truck Repairs</t>
  </si>
  <si>
    <t>7302 - Building Repairs</t>
  </si>
  <si>
    <t>7303 - Computer Repairs</t>
  </si>
  <si>
    <t>7304 - Equipment Repairs</t>
  </si>
  <si>
    <t>Total - 7300 - Repairs</t>
  </si>
  <si>
    <t>7310 - Vehicle Maintenance Expense</t>
  </si>
  <si>
    <t>7360 - Meals &amp; Entertainment</t>
  </si>
  <si>
    <t>7361 - Lunch meals</t>
  </si>
  <si>
    <t>7380 - Sales Travel</t>
  </si>
  <si>
    <t>7381 - Parking Expense</t>
  </si>
  <si>
    <t>7382 - Leased Auto - SUV Acura</t>
  </si>
  <si>
    <t>7383 - Software Lease</t>
  </si>
  <si>
    <t>7384 - Lease - (1) Nissan 2013 Van VIN 4705</t>
  </si>
  <si>
    <t>7385 - Lease - (2) Nissan 2013 Van VIN 0283</t>
  </si>
  <si>
    <t>7386 - NIssan Lease (3) 5146 2014</t>
  </si>
  <si>
    <t>7387 - NIssan Lease (4) 2014 0756</t>
  </si>
  <si>
    <t>7388 - Lease - Jaguar</t>
  </si>
  <si>
    <t>7389 - Leased Equipment</t>
  </si>
  <si>
    <t>7390 - Utilities</t>
  </si>
  <si>
    <t>7391 - Sanitation</t>
  </si>
  <si>
    <t>7490 - Landscaping</t>
  </si>
  <si>
    <t>7550 - Office Supplies</t>
  </si>
  <si>
    <t>7558 - Officer Salary</t>
  </si>
  <si>
    <t>7559 - Gross Payroll</t>
  </si>
  <si>
    <t>7556 - Gross Payroll - Commissions</t>
  </si>
  <si>
    <t>Total - 7559 - Gross Payroll</t>
  </si>
  <si>
    <t>7560 - Payroll Tax Expense</t>
  </si>
  <si>
    <t>7561 - Employer 401K Payroll Contribut</t>
  </si>
  <si>
    <t>7563 - Car Allowance</t>
  </si>
  <si>
    <t>7570 - Workers Comp - OOS</t>
  </si>
  <si>
    <t>7652 - Continued Education</t>
  </si>
  <si>
    <t>7700 - Deprec. Expense new</t>
  </si>
  <si>
    <t>7701 - Amortization Expense</t>
  </si>
  <si>
    <t>7740 - Telephone</t>
  </si>
  <si>
    <t>7820 - Taxes</t>
  </si>
  <si>
    <t>7830 - Federal</t>
  </si>
  <si>
    <t>7840 - City B &amp; O Taxes</t>
  </si>
  <si>
    <t>7850 - Property</t>
  </si>
  <si>
    <t>7860 - State B &amp; O</t>
  </si>
  <si>
    <t>Total - 7820 - Taxes</t>
  </si>
  <si>
    <t>7904 - Trade Shows/Conferences</t>
  </si>
  <si>
    <t>8050 - Shareholder Loan - Interest Expense</t>
  </si>
  <si>
    <t>9999 - Suspense</t>
  </si>
  <si>
    <t>Total - Expense</t>
  </si>
  <si>
    <t>Net Ordinary Income</t>
  </si>
  <si>
    <t>Other Income and Expenses</t>
  </si>
  <si>
    <t>Other Income</t>
  </si>
  <si>
    <t>8010 - Interest Income</t>
  </si>
  <si>
    <t>8012 - Interest Income on Due from Williamson Brothers, LLC</t>
  </si>
  <si>
    <t>9050 - Gain/Loss on sale of assets</t>
  </si>
  <si>
    <t>Total - Other Income</t>
  </si>
  <si>
    <t>Other Expense</t>
  </si>
  <si>
    <t>9015 - Inventory theft loss</t>
  </si>
  <si>
    <t>Total - Other Expense</t>
  </si>
  <si>
    <t>Net Other Income</t>
  </si>
  <si>
    <t>Days Inventory Outstanding</t>
  </si>
  <si>
    <t>Average Inventory</t>
  </si>
  <si>
    <t>COGS</t>
  </si>
  <si>
    <t>DIO</t>
  </si>
  <si>
    <t>Days Sales Outstanding</t>
  </si>
  <si>
    <t>Average AR</t>
  </si>
  <si>
    <t>Revenue per Day</t>
  </si>
  <si>
    <t>DSO</t>
  </si>
  <si>
    <t>Days Payables Outstanding</t>
  </si>
  <si>
    <t>Average AP</t>
  </si>
  <si>
    <t>COGS Per Day</t>
  </si>
  <si>
    <t>DPO</t>
  </si>
  <si>
    <t>CCC</t>
  </si>
  <si>
    <t>Sales</t>
  </si>
  <si>
    <t>Expenses</t>
  </si>
  <si>
    <t>Net income</t>
  </si>
  <si>
    <t>Other Revenue</t>
  </si>
  <si>
    <t>Revenue</t>
  </si>
  <si>
    <t>gross margin</t>
  </si>
  <si>
    <t>net margin</t>
  </si>
  <si>
    <t>EBITDA</t>
  </si>
  <si>
    <t>Series B</t>
  </si>
  <si>
    <t>Series A</t>
  </si>
  <si>
    <t>Total Preferred Stock Partipating Dividend</t>
  </si>
  <si>
    <t>Total Preferred Stock Regular Cash Dividend</t>
  </si>
  <si>
    <t>FLOW OF FUNDS</t>
  </si>
  <si>
    <t>•</t>
  </si>
  <si>
    <t>SPUR Manager:</t>
  </si>
  <si>
    <t>MOIC:</t>
  </si>
  <si>
    <t>IRR</t>
  </si>
  <si>
    <t>Total:</t>
  </si>
  <si>
    <t>Profits Split:</t>
  </si>
  <si>
    <t>Min Return:</t>
  </si>
  <si>
    <t>FUND LP:</t>
  </si>
  <si>
    <t>SPUR FUND</t>
  </si>
  <si>
    <t>TOTAL</t>
  </si>
  <si>
    <t>Cumulative Cash:</t>
  </si>
  <si>
    <t>Total Cash Dividend ($)</t>
  </si>
  <si>
    <t>MoIC (x)</t>
  </si>
  <si>
    <t>IRR (%)</t>
  </si>
  <si>
    <t>Total ($)</t>
  </si>
  <si>
    <t>%</t>
  </si>
  <si>
    <t>@ Exit</t>
  </si>
  <si>
    <t>Adj.</t>
  </si>
  <si>
    <t>@ Closing</t>
  </si>
  <si>
    <t>Stockholders</t>
  </si>
  <si>
    <t>Return on Inv. Capital</t>
  </si>
  <si>
    <t>Distributions</t>
  </si>
  <si>
    <t>Funding</t>
  </si>
  <si>
    <t>Fully-Diluted CSEs</t>
  </si>
  <si>
    <t>Investment Cash Flows</t>
  </si>
  <si>
    <t>Proceeds Available to Stockholders</t>
  </si>
  <si>
    <r>
      <rPr>
        <b/>
        <sz val="11"/>
        <color rgb="FF00B050"/>
        <rFont val="Times New Roman"/>
        <family val="1"/>
      </rPr>
      <t>+</t>
    </r>
    <r>
      <rPr>
        <b/>
        <sz val="11"/>
        <rFont val="Times New Roman"/>
        <family val="1"/>
      </rPr>
      <t>/</t>
    </r>
    <r>
      <rPr>
        <b/>
        <sz val="11"/>
        <color rgb="FFFF0000"/>
        <rFont val="Times New Roman"/>
        <family val="1"/>
      </rPr>
      <t>−</t>
    </r>
    <r>
      <rPr>
        <sz val="11"/>
        <color theme="1"/>
        <rFont val="Times New Roman"/>
        <family val="1"/>
      </rPr>
      <t xml:space="preserve">  Net </t>
    </r>
    <r>
      <rPr>
        <sz val="11"/>
        <color rgb="FFFF0000"/>
        <rFont val="Times New Roman"/>
        <family val="1"/>
      </rPr>
      <t>(Debt)</t>
    </r>
    <r>
      <rPr>
        <sz val="11"/>
        <color theme="1"/>
        <rFont val="Times New Roman"/>
        <family val="1"/>
      </rPr>
      <t xml:space="preserve"> / </t>
    </r>
    <r>
      <rPr>
        <sz val="11"/>
        <rFont val="Times New Roman"/>
        <family val="1"/>
      </rPr>
      <t>Cash</t>
    </r>
    <r>
      <rPr>
        <sz val="11"/>
        <color theme="1"/>
        <rFont val="Times New Roman"/>
        <family val="1"/>
      </rPr>
      <t xml:space="preserve"> Balance</t>
    </r>
  </si>
  <si>
    <t>TEV</t>
  </si>
  <si>
    <r>
      <rPr>
        <b/>
        <sz val="11"/>
        <color theme="5"/>
        <rFont val="Times New Roman"/>
        <family val="1"/>
      </rPr>
      <t>x</t>
    </r>
    <r>
      <rPr>
        <sz val="11"/>
        <color theme="1"/>
        <rFont val="Times New Roman"/>
        <family val="1"/>
      </rPr>
      <t xml:space="preserve"> Applicable Valuation Multiple</t>
    </r>
  </si>
  <si>
    <t>TTM EBITDA</t>
  </si>
  <si>
    <t>Exit Date</t>
  </si>
  <si>
    <t>Sensitivities</t>
  </si>
  <si>
    <t>Exit Assumptions</t>
  </si>
  <si>
    <t>INVESTMENT RETURNS</t>
  </si>
  <si>
    <t>Revenue for Champions team:</t>
  </si>
  <si>
    <t>Champions(% of EBITDA)</t>
  </si>
  <si>
    <t>Total Preferred Cash Dividend (Cumulative)</t>
  </si>
  <si>
    <t>Total Preferred Cash Dividend</t>
  </si>
  <si>
    <t>Rate ($/Shr)</t>
  </si>
  <si>
    <t>Total Preferred Shares Outstanding</t>
  </si>
  <si>
    <t>Pro Forma</t>
  </si>
  <si>
    <t>Total Preferred PIK Dividend</t>
  </si>
  <si>
    <t>SPURor Board/Team</t>
  </si>
  <si>
    <t>Total Preferred PIK Dividend (Cumulative)</t>
  </si>
  <si>
    <t>Rate (%)</t>
  </si>
  <si>
    <t>Projected</t>
  </si>
  <si>
    <t>PREFERRED DIVIDEND</t>
  </si>
  <si>
    <t>Fixed Assets − Closing Balance</t>
  </si>
  <si>
    <t>D&amp;A Schedule (years)</t>
  </si>
  <si>
    <r>
      <rPr>
        <b/>
        <sz val="11"/>
        <color rgb="FFFF0000"/>
        <rFont val="Times New Roman"/>
        <family val="1"/>
      </rPr>
      <t>−</t>
    </r>
    <r>
      <rPr>
        <sz val="11"/>
        <color theme="1"/>
        <rFont val="Times New Roman"/>
        <family val="1"/>
      </rPr>
      <t xml:space="preserve"> D&amp;A</t>
    </r>
  </si>
  <si>
    <t>Assumption (% of Rev):</t>
  </si>
  <si>
    <r>
      <rPr>
        <b/>
        <sz val="11"/>
        <color rgb="FF00B050"/>
        <rFont val="Times New Roman"/>
        <family val="1"/>
      </rPr>
      <t>+</t>
    </r>
    <r>
      <rPr>
        <sz val="11"/>
        <color theme="1"/>
        <rFont val="Times New Roman"/>
        <family val="1"/>
      </rPr>
      <t xml:space="preserve"> CapEx</t>
    </r>
  </si>
  <si>
    <t>Fixed Assets − Opening Balance</t>
  </si>
  <si>
    <t>Interest Expense, Net</t>
  </si>
  <si>
    <r>
      <rPr>
        <b/>
        <sz val="11"/>
        <color rgb="FFFF0000"/>
        <rFont val="Times New Roman"/>
        <family val="1"/>
      </rPr>
      <t>−</t>
    </r>
    <r>
      <rPr>
        <sz val="11"/>
        <color theme="1"/>
        <rFont val="Times New Roman"/>
        <family val="1"/>
      </rPr>
      <t xml:space="preserve"> Interest Income</t>
    </r>
  </si>
  <si>
    <t>Interest Expense, Gross</t>
  </si>
  <si>
    <t>Seller Note</t>
  </si>
  <si>
    <t>Term Loan</t>
  </si>
  <si>
    <t>Revolving Credit Line</t>
  </si>
  <si>
    <t>Rate</t>
  </si>
  <si>
    <t>Select Supporting Schedules</t>
  </si>
  <si>
    <t>Cash Balance − End of Period</t>
  </si>
  <si>
    <r>
      <t>−</t>
    </r>
    <r>
      <rPr>
        <sz val="11"/>
        <color theme="1"/>
        <rFont val="Times New Roman"/>
        <family val="1"/>
      </rPr>
      <t xml:space="preserve">  Shareholder </t>
    </r>
    <r>
      <rPr>
        <sz val="11"/>
        <color theme="5"/>
        <rFont val="Times New Roman"/>
        <family val="1"/>
      </rPr>
      <t xml:space="preserve">(stakeholder) </t>
    </r>
    <r>
      <rPr>
        <sz val="11"/>
        <color theme="1"/>
        <rFont val="Times New Roman"/>
        <family val="1"/>
      </rPr>
      <t>Dividends</t>
    </r>
  </si>
  <si>
    <r>
      <rPr>
        <b/>
        <sz val="11"/>
        <color rgb="FF00B050"/>
        <rFont val="Times New Roman"/>
        <family val="1"/>
      </rPr>
      <t xml:space="preserve">+ </t>
    </r>
    <r>
      <rPr>
        <b/>
        <sz val="11"/>
        <rFont val="Times New Roman"/>
        <family val="1"/>
      </rPr>
      <t xml:space="preserve">/ </t>
    </r>
    <r>
      <rPr>
        <b/>
        <sz val="11"/>
        <color rgb="FFFF0000"/>
        <rFont val="Times New Roman"/>
        <family val="1"/>
      </rPr>
      <t>−</t>
    </r>
    <r>
      <rPr>
        <sz val="11"/>
        <color theme="1"/>
        <rFont val="Times New Roman"/>
        <family val="1"/>
      </rPr>
      <t xml:space="preserve">  Drawdown / </t>
    </r>
    <r>
      <rPr>
        <sz val="11"/>
        <color rgb="FFFF0000"/>
        <rFont val="Times New Roman"/>
        <family val="1"/>
      </rPr>
      <t>(Repay)</t>
    </r>
    <r>
      <rPr>
        <sz val="11"/>
        <color theme="1"/>
        <rFont val="Times New Roman"/>
        <family val="1"/>
      </rPr>
      <t xml:space="preserve"> Revolving Credit Line</t>
    </r>
  </si>
  <si>
    <t>→ Term</t>
  </si>
  <si>
    <r>
      <rPr>
        <b/>
        <sz val="11"/>
        <color rgb="FFFF0000"/>
        <rFont val="Times New Roman"/>
        <family val="1"/>
      </rPr>
      <t>−</t>
    </r>
    <r>
      <rPr>
        <sz val="11"/>
        <color theme="1"/>
        <rFont val="Times New Roman"/>
        <family val="1"/>
      </rPr>
      <t xml:space="preserve">  Term Loan Amortization</t>
    </r>
  </si>
  <si>
    <r>
      <rPr>
        <b/>
        <sz val="11"/>
        <color rgb="FF00B050"/>
        <rFont val="Times New Roman"/>
        <family val="1"/>
      </rPr>
      <t xml:space="preserve">+ </t>
    </r>
    <r>
      <rPr>
        <b/>
        <sz val="11"/>
        <rFont val="Times New Roman"/>
        <family val="1"/>
      </rPr>
      <t xml:space="preserve">/ </t>
    </r>
    <r>
      <rPr>
        <b/>
        <sz val="11"/>
        <color rgb="FFFF0000"/>
        <rFont val="Times New Roman"/>
        <family val="1"/>
      </rPr>
      <t>−</t>
    </r>
    <r>
      <rPr>
        <sz val="11"/>
        <color theme="1"/>
        <rFont val="Times New Roman"/>
        <family val="1"/>
      </rPr>
      <t xml:space="preserve">  Free Cash Flow</t>
    </r>
  </si>
  <si>
    <t>→ Min Cash</t>
  </si>
  <si>
    <t>Cash Balance − Beginning of Period</t>
  </si>
  <si>
    <t>Period ∆ in Cash Balance</t>
  </si>
  <si>
    <r>
      <t xml:space="preserve">Net Debt / </t>
    </r>
    <r>
      <rPr>
        <b/>
        <sz val="11"/>
        <color rgb="FFFF0000"/>
        <rFont val="Times New Roman"/>
        <family val="1"/>
      </rPr>
      <t>(Cash)</t>
    </r>
    <r>
      <rPr>
        <b/>
        <sz val="11"/>
        <color theme="1"/>
        <rFont val="Times New Roman"/>
        <family val="1"/>
      </rPr>
      <t xml:space="preserve"> Balance</t>
    </r>
  </si>
  <si>
    <r>
      <rPr>
        <b/>
        <sz val="11"/>
        <color rgb="FFFF0000"/>
        <rFont val="Times New Roman"/>
        <family val="1"/>
      </rPr>
      <t>−</t>
    </r>
    <r>
      <rPr>
        <sz val="11"/>
        <color theme="1"/>
        <rFont val="Times New Roman"/>
        <family val="1"/>
      </rPr>
      <t xml:space="preserve"> Cash Balance</t>
    </r>
  </si>
  <si>
    <t>Total Debt Balance</t>
  </si>
  <si>
    <r>
      <t xml:space="preserve">Net Debt / </t>
    </r>
    <r>
      <rPr>
        <b/>
        <i/>
        <u/>
        <sz val="11"/>
        <color rgb="FFFF0000"/>
        <rFont val="Times New Roman"/>
        <family val="1"/>
      </rPr>
      <t>(Cash)</t>
    </r>
    <r>
      <rPr>
        <b/>
        <i/>
        <u/>
        <sz val="11"/>
        <color theme="1"/>
        <rFont val="Times New Roman"/>
        <family val="1"/>
      </rPr>
      <t xml:space="preserve"> Balance:</t>
    </r>
  </si>
  <si>
    <t>BALANCE SHEET (SELECT ACCOUNTS)</t>
  </si>
  <si>
    <t>Free Cash Flow</t>
  </si>
  <si>
    <r>
      <t>−</t>
    </r>
    <r>
      <rPr>
        <sz val="11"/>
        <color theme="1"/>
        <rFont val="Times New Roman"/>
        <family val="1"/>
      </rPr>
      <t xml:space="preserve">  CapEx</t>
    </r>
  </si>
  <si>
    <r>
      <rPr>
        <b/>
        <sz val="11"/>
        <color rgb="FF00B050"/>
        <rFont val="Times New Roman"/>
        <family val="1"/>
      </rPr>
      <t xml:space="preserve">+ </t>
    </r>
    <r>
      <rPr>
        <b/>
        <sz val="11"/>
        <rFont val="Times New Roman"/>
        <family val="1"/>
      </rPr>
      <t xml:space="preserve">/ </t>
    </r>
    <r>
      <rPr>
        <b/>
        <sz val="11"/>
        <color rgb="FFFF0000"/>
        <rFont val="Times New Roman"/>
        <family val="1"/>
      </rPr>
      <t>−</t>
    </r>
    <r>
      <rPr>
        <sz val="11"/>
        <color theme="1"/>
        <rFont val="Times New Roman"/>
        <family val="1"/>
      </rPr>
      <t xml:space="preserve">  ∆ Operating Working Capital</t>
    </r>
  </si>
  <si>
    <r>
      <rPr>
        <b/>
        <sz val="11"/>
        <color rgb="FF00B050"/>
        <rFont val="Times New Roman"/>
        <family val="1"/>
      </rPr>
      <t>+</t>
    </r>
    <r>
      <rPr>
        <sz val="11"/>
        <color theme="1"/>
        <rFont val="Times New Roman"/>
        <family val="1"/>
      </rPr>
      <t xml:space="preserve"> D&amp;A</t>
    </r>
  </si>
  <si>
    <t>→ Effective Tax Rate</t>
  </si>
  <si>
    <t>Tax Expense</t>
  </si>
  <si>
    <t>PBT</t>
  </si>
  <si>
    <t>EBIT</t>
  </si>
  <si>
    <t>D&amp;A</t>
  </si>
  <si>
    <t>Pre-Close EBITDA Adj.</t>
  </si>
  <si>
    <t>9ME Stub</t>
  </si>
  <si>
    <t xml:space="preserve">− </t>
  </si>
  <si>
    <t>% Growth (YoY)</t>
  </si>
  <si>
    <t>% Margin</t>
  </si>
  <si>
    <t>OPEX</t>
  </si>
  <si>
    <t>Revenues</t>
  </si>
  <si>
    <t>Investment Year</t>
  </si>
  <si>
    <t>2017-24E</t>
  </si>
  <si>
    <t>2015-17</t>
  </si>
  <si>
    <t>CAGR</t>
  </si>
  <si>
    <t>Reported</t>
  </si>
  <si>
    <t>TTM</t>
  </si>
  <si>
    <t>OPERATING MODEL (FYE Dec 31st)</t>
  </si>
  <si>
    <t>** Equity-Incentive Plan (permance and time-based contingent shares of stock granted to employees and directors).</t>
  </si>
  <si>
    <t>* Fully-Diluted Common-Stock Equivalent Shares ("CSEs").</t>
  </si>
  <si>
    <t>Cumulative PIK ? (1=Y; 0=N)</t>
  </si>
  <si>
    <t>Annual PIK Dividend</t>
  </si>
  <si>
    <t>CSEs*</t>
  </si>
  <si>
    <t>EIP**</t>
  </si>
  <si>
    <t>Issued</t>
  </si>
  <si>
    <t>Annual Cash Dividend</t>
  </si>
  <si>
    <t>Fully-Dil.</t>
  </si>
  <si>
    <t>Common Stock</t>
  </si>
  <si>
    <t>Preferred Stock</t>
  </si>
  <si>
    <t>Participation Dividend Rate (% of Investment Principal)</t>
  </si>
  <si>
    <t>Shares by Class of Stock (#)</t>
  </si>
  <si>
    <t>Liquidation Preference</t>
  </si>
  <si>
    <t>Economic Features</t>
  </si>
  <si>
    <t>Equity-Incentive Plan (EIP)</t>
  </si>
  <si>
    <t>Pre-Existing Shareholders</t>
  </si>
  <si>
    <t>Financial Sponsor</t>
  </si>
  <si>
    <t>Searcher Common at Exit</t>
  </si>
  <si>
    <t>SPUR Acquisitions</t>
  </si>
  <si>
    <t>CSEs (%)</t>
  </si>
  <si>
    <t>CSEs (#)</t>
  </si>
  <si>
    <t>Per Share</t>
  </si>
  <si>
    <t>$</t>
  </si>
  <si>
    <t>EIP</t>
  </si>
  <si>
    <t>Shareholder</t>
  </si>
  <si>
    <t>Searcher Common After 4 Years</t>
  </si>
  <si>
    <t>Fully-Diluted CSEs*</t>
  </si>
  <si>
    <t>Common</t>
  </si>
  <si>
    <t>Preferred</t>
  </si>
  <si>
    <t>Pro Forma Stock Capitalization</t>
  </si>
  <si>
    <t>Ownership by Class of Stock (%)</t>
  </si>
  <si>
    <t>Max Common Equity</t>
  </si>
  <si>
    <t>CAP-TABLE RELATED ASSUMPTIONS</t>
  </si>
  <si>
    <t>STOCK CAPITALIZATION TABLE</t>
  </si>
  <si>
    <t>TEV / EBITDA</t>
  </si>
  <si>
    <t>TOTAL USES</t>
  </si>
  <si>
    <t>TOTAL SOURCES</t>
  </si>
  <si>
    <t>Working Capital</t>
  </si>
  <si>
    <t>Per Share Value</t>
  </si>
  <si>
    <t>SPUR Rolled Equity</t>
  </si>
  <si>
    <r>
      <rPr>
        <b/>
        <sz val="11"/>
        <color rgb="FF0000FF"/>
        <rFont val="Times New Roman"/>
        <family val="1"/>
      </rPr>
      <t>÷</t>
    </r>
    <r>
      <rPr>
        <sz val="11"/>
        <color theme="1"/>
        <rFont val="Times New Roman"/>
        <family val="1"/>
      </rPr>
      <t xml:space="preserve"> Pro Forma Shares Outstanding</t>
    </r>
  </si>
  <si>
    <t>Total Invested Equity</t>
  </si>
  <si>
    <t>Total Closing Costs</t>
  </si>
  <si>
    <t>Total Equity Financing</t>
  </si>
  <si>
    <r>
      <rPr>
        <b/>
        <sz val="11"/>
        <color rgb="FF00B050"/>
        <rFont val="Times New Roman"/>
        <family val="1"/>
      </rPr>
      <t>+</t>
    </r>
    <r>
      <rPr>
        <sz val="11"/>
        <color theme="1"/>
        <rFont val="Times New Roman"/>
        <family val="1"/>
      </rPr>
      <t xml:space="preserve"> Pro Forma Equity Valuation</t>
    </r>
  </si>
  <si>
    <t>Financing Fees</t>
  </si>
  <si>
    <t>Proceeds for Transaction Costs</t>
  </si>
  <si>
    <t>Transaction-Related Costs</t>
  </si>
  <si>
    <r>
      <rPr>
        <b/>
        <sz val="11"/>
        <color theme="5"/>
        <rFont val="Times New Roman"/>
        <family val="1"/>
      </rPr>
      <t>x</t>
    </r>
    <r>
      <rPr>
        <sz val="11"/>
        <color theme="1"/>
        <rFont val="Times New Roman"/>
        <family val="1"/>
      </rPr>
      <t xml:space="preserve"> New Shares Issued</t>
    </r>
  </si>
  <si>
    <t>Toggle</t>
  </si>
  <si>
    <t>Total Purchase Consideration</t>
  </si>
  <si>
    <r>
      <rPr>
        <b/>
        <sz val="11"/>
        <color rgb="FF0000FF"/>
        <rFont val="Times New Roman"/>
        <family val="1"/>
      </rPr>
      <t>÷</t>
    </r>
    <r>
      <rPr>
        <sz val="11"/>
        <color theme="1"/>
        <rFont val="Times New Roman"/>
        <family val="1"/>
      </rPr>
      <t xml:space="preserve"> Existing Shares Outstanding</t>
    </r>
  </si>
  <si>
    <t>Existing Debt Prepayment</t>
  </si>
  <si>
    <t>Total Debt Financing</t>
  </si>
  <si>
    <t>Total Equity Valuation</t>
  </si>
  <si>
    <t>Assumed Cash Balance</t>
  </si>
  <si>
    <r>
      <rPr>
        <b/>
        <sz val="11"/>
        <color rgb="FFFF0000"/>
        <rFont val="Times New Roman"/>
        <family val="1"/>
      </rPr>
      <t>−</t>
    </r>
    <r>
      <rPr>
        <sz val="11"/>
        <color theme="1"/>
        <rFont val="Times New Roman"/>
        <family val="1"/>
      </rPr>
      <t xml:space="preserve"> Debt Outstanding</t>
    </r>
  </si>
  <si>
    <t xml:space="preserve">Roll-Over Stock Consideration </t>
  </si>
  <si>
    <r>
      <rPr>
        <b/>
        <sz val="11"/>
        <color rgb="FF00B050"/>
        <rFont val="Times New Roman"/>
        <family val="1"/>
      </rPr>
      <t>+</t>
    </r>
    <r>
      <rPr>
        <sz val="11"/>
        <color theme="1"/>
        <rFont val="Times New Roman"/>
        <family val="1"/>
      </rPr>
      <t xml:space="preserve"> Cash Outstanding</t>
    </r>
  </si>
  <si>
    <t>Cash Payment Consideration</t>
  </si>
  <si>
    <t>Total Enterprise Valuation (TEV)</t>
  </si>
  <si>
    <t>Cash At Closing</t>
  </si>
  <si>
    <t>Post-Money</t>
  </si>
  <si>
    <t>Pre-Money</t>
  </si>
  <si>
    <t>CAPITAL SOURCES &amp; USES</t>
  </si>
  <si>
    <t>VALUATION TERMS</t>
  </si>
  <si>
    <t>$ in Thousands</t>
  </si>
  <si>
    <t xml:space="preserve"> Transaction Model Primer</t>
  </si>
  <si>
    <t>Key Model Drivers:</t>
  </si>
  <si>
    <r>
      <t xml:space="preserve">    - You can change assumptions in </t>
    </r>
    <r>
      <rPr>
        <sz val="11"/>
        <color rgb="FF0000FF"/>
        <rFont val="Times New Roman"/>
        <family val="1"/>
      </rPr>
      <t>BLUE cells</t>
    </r>
  </si>
  <si>
    <t xml:space="preserve">    - Do NOT change or edit the cells with black numbers</t>
  </si>
  <si>
    <t>Company:</t>
  </si>
  <si>
    <t>Key Results:</t>
  </si>
  <si>
    <t>EBITDA Margin</t>
  </si>
  <si>
    <t>Net Sale Proceeds:</t>
  </si>
  <si>
    <t>Annual EBITDA Growth</t>
  </si>
  <si>
    <t>Distributions prior to Sale:</t>
  </si>
  <si>
    <t>Total Distributable Cash:</t>
  </si>
  <si>
    <t>Purchase:</t>
  </si>
  <si>
    <t>Purchase Multiple:</t>
  </si>
  <si>
    <t>Acquisition Investor Distributions:</t>
  </si>
  <si>
    <t>Leverage Amount</t>
  </si>
  <si>
    <t>SPUR Fund Distributions:</t>
  </si>
  <si>
    <t>Equity for Purchase Price:</t>
  </si>
  <si>
    <t>SPUR EIR Payout:</t>
  </si>
  <si>
    <t>Closing Fees (financing &amp; legal/CPA):</t>
  </si>
  <si>
    <t>Total Uses:</t>
  </si>
  <si>
    <t>Working Capital:</t>
  </si>
  <si>
    <t>Total Acquisition Equity:</t>
  </si>
  <si>
    <t>Acquisition Investor IRR</t>
  </si>
  <si>
    <t>Acquisition Investor MOIC</t>
  </si>
  <si>
    <t>SPUR:</t>
  </si>
  <si>
    <t>Search Investment:</t>
  </si>
  <si>
    <t>SPUR Fund Gross IRR</t>
  </si>
  <si>
    <t>Retained Equity:</t>
  </si>
  <si>
    <t>SPUR Fund Gross MOIC</t>
  </si>
  <si>
    <t>Exit:</t>
  </si>
  <si>
    <t>Fund Receipts:</t>
  </si>
  <si>
    <t>Exit Year</t>
  </si>
  <si>
    <t>(choose a number between 4 and 7)</t>
  </si>
  <si>
    <t>Fund LP Receipts:</t>
  </si>
  <si>
    <t>Fund Manager (Common) Distributions:</t>
  </si>
  <si>
    <t>Exit Multiple</t>
  </si>
  <si>
    <t>Sale Price</t>
  </si>
  <si>
    <t>Fund LP Net IRR (pre-tax)</t>
  </si>
  <si>
    <r>
      <rPr>
        <b/>
        <sz val="11"/>
        <color rgb="FF00B050"/>
        <rFont val="Times New Roman"/>
        <family val="1"/>
      </rPr>
      <t>+</t>
    </r>
    <r>
      <rPr>
        <b/>
        <sz val="11"/>
        <rFont val="Times New Roman"/>
        <family val="1"/>
      </rPr>
      <t>/</t>
    </r>
    <r>
      <rPr>
        <b/>
        <sz val="11"/>
        <color rgb="FFFF0000"/>
        <rFont val="Times New Roman"/>
        <family val="1"/>
      </rPr>
      <t>−</t>
    </r>
    <r>
      <rPr>
        <sz val="11"/>
        <color theme="1"/>
        <rFont val="Times New Roman"/>
        <family val="1"/>
      </rPr>
      <t xml:space="preserve">  Net </t>
    </r>
    <r>
      <rPr>
        <sz val="11"/>
        <color rgb="FFFF0000"/>
        <rFont val="Times New Roman"/>
        <family val="1"/>
      </rPr>
      <t>(Debt)</t>
    </r>
    <r>
      <rPr>
        <sz val="11"/>
        <color theme="1"/>
        <rFont val="Times New Roman"/>
        <family val="1"/>
      </rPr>
      <t xml:space="preserve"> / </t>
    </r>
    <r>
      <rPr>
        <sz val="11"/>
        <rFont val="Times New Roman"/>
        <family val="1"/>
      </rPr>
      <t>Cash</t>
    </r>
  </si>
  <si>
    <t>Fund LP Net MOIC (pre-tax)</t>
  </si>
  <si>
    <t>Net Proceeds</t>
  </si>
  <si>
    <t>Total acquisitions</t>
  </si>
  <si>
    <t>of ebitda</t>
  </si>
  <si>
    <t>Team Building Annual Budget</t>
  </si>
  <si>
    <t>DCF</t>
  </si>
  <si>
    <t>FC</t>
  </si>
  <si>
    <t>CaC</t>
  </si>
  <si>
    <t>NOA</t>
  </si>
  <si>
    <t>TR</t>
  </si>
  <si>
    <t>ND</t>
  </si>
  <si>
    <t>EBITDA margin</t>
  </si>
  <si>
    <t>YoY Growth</t>
  </si>
  <si>
    <t>Slope</t>
  </si>
  <si>
    <t>intercept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</si>
</sst>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0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"/>
    <numFmt numFmtId="165" formatCode="#,##0.00;\(#,##0.00\)"/>
    <numFmt numFmtId="166" formatCode="&quot;$&quot;#,##0.00"/>
    <numFmt numFmtId="167" formatCode="_(* &quot;$&quot;#,##0.00_);[Red]_(* \(&quot;$&quot;#,##0.00\);_(* &quot;−&quot;_);_(@_)"/>
    <numFmt numFmtId="168" formatCode="0.0%\ ;\(0.0%\)"/>
    <numFmt numFmtId="169" formatCode="_(* #,##0_);[Red]_(* \(#,##0\);_(* &quot;−&quot;_);_(@_)"/>
    <numFmt numFmtId="170" formatCode="_(* &quot;$&quot;#,##0_);[Red]_(* \(&quot;$&quot;#,##0\);_(* &quot;−&quot;_);_(@_)"/>
    <numFmt numFmtId="171" formatCode="0.0%"/>
    <numFmt numFmtId="172" formatCode="_(&quot;$&quot;* #,##0_);_(&quot;$&quot;* \(#,##0\);_(&quot;$&quot;* &quot;-&quot;??_);_(@_)"/>
    <numFmt numFmtId="173" formatCode="0.00&quot;x&quot;"/>
    <numFmt numFmtId="174" formatCode="#,##0.000"/>
    <numFmt numFmtId="175" formatCode="[$£-809]#,##0.00;[Red][$£-809]#,##0.00"/>
    <numFmt numFmtId="176" formatCode="0.0\x\ ;\(0.0\x\)"/>
    <numFmt numFmtId="177" formatCode="[$-409]mmm\-yyyy;@"/>
    <numFmt numFmtId="178" formatCode="[$-409]d\-mmm\-yy;@"/>
    <numFmt numFmtId="179" formatCode="_(* ##,##0.0\x_);[Red]_(* \(##,##0.0\x\);_(* &quot;−&quot;_);_(@_)"/>
    <numFmt numFmtId="180" formatCode="_(* ##,##0%_);[Red]_(* \(##,##0%\);_(* &quot;−&quot;_);_(@_)"/>
    <numFmt numFmtId="181" formatCode="0.00%\ ;\(0.00%\)"/>
    <numFmt numFmtId="182" formatCode="&quot;$&quot;#,##0.000_);\(&quot;$&quot;#,##0.000\)"/>
    <numFmt numFmtId="183" formatCode="_(* #,##0.0_);[Red]_(* \(#,##0.0\);_(* &quot;−&quot;_);_(@_)"/>
    <numFmt numFmtId="184" formatCode="[$-409]yyyy;@"/>
    <numFmt numFmtId="185" formatCode="0.00\x\ ;\(0.00\x\)"/>
    <numFmt numFmtId="186" formatCode="0%\ ;\(0%\)"/>
    <numFmt numFmtId="187" formatCode="0.000%"/>
  </numFmts>
  <fonts count="63" x14ac:knownFonts="1">
    <font>
      <sz val="10"/>
      <color rgb="FF000000"/>
      <name val="Arial"/>
    </font>
    <font>
      <b/>
      <i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rgb="FFFF0000"/>
      <name val="Arial"/>
      <family val="2"/>
    </font>
    <font>
      <sz val="11"/>
      <color rgb="FF000000"/>
      <name val="Arial"/>
      <family val="2"/>
    </font>
    <font>
      <sz val="11"/>
      <color theme="1"/>
      <name val="Calibri"/>
      <family val="2"/>
    </font>
    <font>
      <sz val="11"/>
      <name val="Arial"/>
      <family val="2"/>
    </font>
    <font>
      <i/>
      <sz val="11"/>
      <color theme="1"/>
      <name val="Arial"/>
      <family val="2"/>
    </font>
    <font>
      <i/>
      <sz val="11"/>
      <name val="Arial"/>
      <family val="2"/>
    </font>
    <font>
      <sz val="11"/>
      <color rgb="FFFF0000"/>
      <name val="Calibri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1"/>
      <color theme="1"/>
      <name val="Times New Roman"/>
      <family val="2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u val="singleAccounting"/>
      <sz val="11"/>
      <color theme="1"/>
      <name val="Times New Roman"/>
      <family val="1"/>
    </font>
    <font>
      <b/>
      <sz val="11"/>
      <color rgb="FF0000FF"/>
      <name val="Times New Roman"/>
      <family val="1"/>
    </font>
    <font>
      <sz val="11"/>
      <color theme="1"/>
      <name val="Arial"/>
      <family val="2"/>
      <scheme val="minor"/>
    </font>
    <font>
      <sz val="11"/>
      <name val="Times New Roman"/>
      <family val="1"/>
    </font>
    <font>
      <u val="singleAccounting"/>
      <sz val="11"/>
      <color theme="1"/>
      <name val="Times New Roman"/>
      <family val="1"/>
    </font>
    <font>
      <b/>
      <sz val="14"/>
      <color theme="0"/>
      <name val="Times New Roman"/>
      <family val="1"/>
    </font>
    <font>
      <b/>
      <sz val="11"/>
      <name val="Times New Roman"/>
      <family val="1"/>
    </font>
    <font>
      <sz val="11"/>
      <name val="Times New Roman"/>
      <family val="2"/>
    </font>
    <font>
      <b/>
      <sz val="10"/>
      <name val="Times New Roman"/>
      <family val="1"/>
    </font>
    <font>
      <b/>
      <u val="singleAccounting"/>
      <sz val="11"/>
      <name val="Times New Roman"/>
      <family val="1"/>
    </font>
    <font>
      <sz val="11"/>
      <color rgb="FF0000FF"/>
      <name val="Times New Roman"/>
      <family val="1"/>
    </font>
    <font>
      <b/>
      <sz val="11"/>
      <color rgb="FFFF0000"/>
      <name val="Times New Roman"/>
      <family val="1"/>
    </font>
    <font>
      <b/>
      <sz val="11"/>
      <color rgb="FF00B050"/>
      <name val="Times New Roman"/>
      <family val="1"/>
    </font>
    <font>
      <sz val="11"/>
      <color rgb="FFFF0000"/>
      <name val="Times New Roman"/>
      <family val="1"/>
    </font>
    <font>
      <b/>
      <sz val="11"/>
      <color theme="5"/>
      <name val="Times New Roman"/>
      <family val="1"/>
    </font>
    <font>
      <i/>
      <sz val="11"/>
      <color theme="1"/>
      <name val="Times New Roman"/>
      <family val="1"/>
    </font>
    <font>
      <b/>
      <sz val="11"/>
      <color theme="0"/>
      <name val="Times New Roman"/>
      <family val="1"/>
    </font>
    <font>
      <b/>
      <i/>
      <sz val="11"/>
      <color theme="1"/>
      <name val="Times New Roman"/>
      <family val="1"/>
    </font>
    <font>
      <b/>
      <u val="singleAccounting"/>
      <sz val="10.5"/>
      <color theme="1"/>
      <name val="Times New Roman"/>
      <family val="1"/>
    </font>
    <font>
      <b/>
      <sz val="10.5"/>
      <color theme="1"/>
      <name val="Times New Roman"/>
      <family val="1"/>
    </font>
    <font>
      <b/>
      <i/>
      <u/>
      <sz val="11"/>
      <color theme="1"/>
      <name val="Times New Roman"/>
      <family val="1"/>
    </font>
    <font>
      <sz val="11"/>
      <color theme="5"/>
      <name val="Times New Roman"/>
      <family val="1"/>
    </font>
    <font>
      <b/>
      <u/>
      <sz val="10.5"/>
      <color theme="1"/>
      <name val="Times New Roman"/>
      <family val="1"/>
    </font>
    <font>
      <b/>
      <i/>
      <u/>
      <sz val="11"/>
      <color rgb="FFFF0000"/>
      <name val="Times New Roman"/>
      <family val="1"/>
    </font>
    <font>
      <b/>
      <u val="singleAccounting"/>
      <sz val="11"/>
      <color rgb="FF0000FF"/>
      <name val="Times New Roman"/>
      <family val="1"/>
    </font>
    <font>
      <b/>
      <sz val="10"/>
      <color rgb="FF0000FF"/>
      <name val="Times New Roman"/>
      <family val="1"/>
    </font>
    <font>
      <b/>
      <u/>
      <sz val="11"/>
      <color theme="1"/>
      <name val="Times New Roman"/>
      <family val="1"/>
    </font>
    <font>
      <sz val="11"/>
      <color rgb="FF0000FF"/>
      <name val="Times New Roman"/>
      <family val="2"/>
    </font>
    <font>
      <i/>
      <sz val="11"/>
      <name val="Times New Roman"/>
      <family val="1"/>
    </font>
    <font>
      <b/>
      <i/>
      <sz val="11"/>
      <color rgb="FFF0505A"/>
      <name val="Times New Roman"/>
      <family val="1"/>
    </font>
    <font>
      <b/>
      <sz val="13"/>
      <color theme="1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1"/>
      <color rgb="FFFF0000"/>
      <name val="Times New Roman"/>
      <family val="2"/>
    </font>
    <font>
      <sz val="14"/>
      <color theme="1"/>
      <name val="Times New Roman"/>
      <family val="2"/>
    </font>
    <font>
      <sz val="14"/>
      <color rgb="FF0000FF"/>
      <name val="Times New Roman"/>
      <family val="2"/>
    </font>
    <font>
      <b/>
      <sz val="11"/>
      <color theme="1" tint="0.499984740745262"/>
      <name val="Arial"/>
      <family val="2"/>
    </font>
    <font>
      <sz val="11"/>
      <color theme="1" tint="0.499984740745262"/>
      <name val="Arial"/>
      <family val="2"/>
    </font>
    <font>
      <sz val="8"/>
      <color rgb="FF000000"/>
      <name val="Arial"/>
      <family val="2"/>
    </font>
    <font>
      <b/>
      <sz val="8"/>
      <color theme="2"/>
      <name val="Arial"/>
      <family val="2"/>
    </font>
    <font>
      <b/>
      <sz val="8"/>
      <color rgb="FF000000"/>
      <name val="Arial"/>
      <family val="2"/>
    </font>
    <font>
      <i/>
      <sz val="8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F0505A"/>
        <bgColor indexed="64"/>
      </patternFill>
    </fill>
    <fill>
      <patternFill patternType="solid">
        <fgColor rgb="FF002060"/>
        <bgColor indexed="64"/>
      </patternFill>
    </fill>
  </fills>
  <borders count="4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/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rgb="FFFF0000"/>
      </left>
      <right style="thin">
        <color rgb="FFFF0000"/>
      </right>
      <top style="thin">
        <color auto="1"/>
      </top>
      <bottom style="double">
        <color auto="1"/>
      </bottom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 style="double">
        <color rgb="FFFF0000"/>
      </left>
      <right style="double">
        <color rgb="FFFF0000"/>
      </right>
      <top style="thin">
        <color auto="1"/>
      </top>
      <bottom style="double">
        <color rgb="FFFF0000"/>
      </bottom>
      <diagonal/>
    </border>
    <border>
      <left style="double">
        <color rgb="FFFF0000"/>
      </left>
      <right style="double">
        <color rgb="FFFF0000"/>
      </right>
      <top/>
      <bottom/>
      <diagonal/>
    </border>
    <border>
      <left style="double">
        <color rgb="FFFF0000"/>
      </left>
      <right style="double">
        <color rgb="FFFF0000"/>
      </right>
      <top style="double">
        <color rgb="FFFF0000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ck">
        <color auto="1"/>
      </bottom>
      <diagonal/>
    </border>
    <border>
      <left/>
      <right style="thick">
        <color rgb="FFFF0000"/>
      </right>
      <top/>
      <bottom style="thick">
        <color rgb="FFFF0000"/>
      </bottom>
      <diagonal/>
    </border>
    <border>
      <left/>
      <right/>
      <top/>
      <bottom style="thick">
        <color rgb="FFFF0000"/>
      </bottom>
      <diagonal/>
    </border>
    <border>
      <left style="thick">
        <color rgb="FFFF0000"/>
      </left>
      <right/>
      <top/>
      <bottom style="thick">
        <color rgb="FFFF0000"/>
      </bottom>
      <diagonal/>
    </border>
    <border>
      <left/>
      <right style="thick">
        <color rgb="FFFF0000"/>
      </right>
      <top/>
      <bottom/>
      <diagonal/>
    </border>
    <border>
      <left style="thick">
        <color rgb="FFFF0000"/>
      </left>
      <right/>
      <top/>
      <bottom/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ck">
        <color rgb="FFFF0000"/>
      </right>
      <top style="thick">
        <color rgb="FFFF0000"/>
      </top>
      <bottom/>
      <diagonal/>
    </border>
    <border>
      <left/>
      <right/>
      <top style="thick">
        <color rgb="FFFF0000"/>
      </top>
      <bottom/>
      <diagonal/>
    </border>
    <border>
      <left style="thick">
        <color rgb="FFFF0000"/>
      </left>
      <right/>
      <top style="thick">
        <color rgb="FFFF0000"/>
      </top>
      <bottom/>
      <diagonal/>
    </border>
    <border>
      <left/>
      <right/>
      <top style="double">
        <color auto="1"/>
      </top>
      <bottom style="thin">
        <color auto="1"/>
      </bottom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 style="thin">
        <color rgb="FFF0505A"/>
      </left>
      <right style="thin">
        <color rgb="FFF0505A"/>
      </right>
      <top style="thin">
        <color rgb="FFF0505A"/>
      </top>
      <bottom style="thin">
        <color rgb="FFF0505A"/>
      </bottom>
      <diagonal/>
    </border>
  </borders>
  <cellStyleXfs count="7">
    <xf numFmtId="0" fontId="0" fillId="0" borderId="0"/>
    <xf numFmtId="9" fontId="13" fillId="0" borderId="0" applyFont="0" applyFill="0" applyBorder="0" applyAlignment="0" applyProtection="0"/>
    <xf numFmtId="0" fontId="16" fillId="0" borderId="0"/>
    <xf numFmtId="0" fontId="21" fillId="0" borderId="0"/>
    <xf numFmtId="44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44" fontId="13" fillId="0" borderId="0" applyFont="0" applyFill="0" applyBorder="0" applyAlignment="0" applyProtection="0"/>
  </cellStyleXfs>
  <cellXfs count="338">
    <xf numFmtId="0" fontId="0" fillId="0" borderId="0" xfId="0" applyFont="1" applyAlignment="1"/>
    <xf numFmtId="0" fontId="1" fillId="0" borderId="0" xfId="0" applyFont="1" applyAlignment="1"/>
    <xf numFmtId="6" fontId="2" fillId="0" borderId="0" xfId="0" applyNumberFormat="1" applyFont="1" applyAlignment="1">
      <alignment horizontal="right"/>
    </xf>
    <xf numFmtId="6" fontId="2" fillId="0" borderId="0" xfId="0" applyNumberFormat="1" applyFont="1" applyAlignment="1">
      <alignment horizontal="right"/>
    </xf>
    <xf numFmtId="0" fontId="2" fillId="0" borderId="0" xfId="0" applyFont="1" applyAlignment="1"/>
    <xf numFmtId="0" fontId="2" fillId="0" borderId="0" xfId="0" applyFont="1"/>
    <xf numFmtId="0" fontId="2" fillId="0" borderId="0" xfId="0" applyFont="1" applyAlignment="1"/>
    <xf numFmtId="6" fontId="3" fillId="0" borderId="0" xfId="0" applyNumberFormat="1" applyFont="1" applyAlignment="1">
      <alignment horizontal="center"/>
    </xf>
    <xf numFmtId="8" fontId="2" fillId="0" borderId="0" xfId="0" applyNumberFormat="1" applyFont="1" applyAlignment="1">
      <alignment horizontal="right"/>
    </xf>
    <xf numFmtId="8" fontId="2" fillId="0" borderId="1" xfId="0" applyNumberFormat="1" applyFont="1" applyBorder="1" applyAlignment="1"/>
    <xf numFmtId="6" fontId="2" fillId="0" borderId="0" xfId="0" applyNumberFormat="1" applyFont="1" applyAlignment="1">
      <alignment horizontal="right"/>
    </xf>
    <xf numFmtId="6" fontId="2" fillId="0" borderId="0" xfId="0" applyNumberFormat="1" applyFont="1" applyAlignment="1">
      <alignment horizontal="right"/>
    </xf>
    <xf numFmtId="8" fontId="2" fillId="0" borderId="0" xfId="0" applyNumberFormat="1" applyFont="1" applyAlignment="1"/>
    <xf numFmtId="8" fontId="2" fillId="0" borderId="0" xfId="0" applyNumberFormat="1" applyFont="1" applyAlignment="1"/>
    <xf numFmtId="6" fontId="2" fillId="0" borderId="0" xfId="0" applyNumberFormat="1" applyFont="1"/>
    <xf numFmtId="0" fontId="2" fillId="0" borderId="1" xfId="0" applyFont="1" applyBorder="1" applyAlignment="1"/>
    <xf numFmtId="6" fontId="4" fillId="0" borderId="0" xfId="0" applyNumberFormat="1" applyFont="1" applyAlignment="1">
      <alignment horizontal="right"/>
    </xf>
    <xf numFmtId="8" fontId="4" fillId="0" borderId="0" xfId="0" applyNumberFormat="1" applyFont="1" applyAlignment="1">
      <alignment horizontal="right"/>
    </xf>
    <xf numFmtId="6" fontId="5" fillId="0" borderId="0" xfId="0" applyNumberFormat="1" applyFont="1" applyAlignment="1">
      <alignment horizontal="right"/>
    </xf>
    <xf numFmtId="6" fontId="2" fillId="0" borderId="0" xfId="0" applyNumberFormat="1" applyFont="1" applyAlignment="1"/>
    <xf numFmtId="8" fontId="2" fillId="0" borderId="0" xfId="0" applyNumberFormat="1" applyFont="1" applyAlignment="1">
      <alignment horizontal="right"/>
    </xf>
    <xf numFmtId="0" fontId="5" fillId="0" borderId="0" xfId="0" applyFont="1" applyAlignment="1"/>
    <xf numFmtId="6" fontId="3" fillId="0" borderId="0" xfId="0" applyNumberFormat="1" applyFont="1" applyAlignment="1">
      <alignment horizontal="right"/>
    </xf>
    <xf numFmtId="8" fontId="3" fillId="0" borderId="0" xfId="0" applyNumberFormat="1" applyFont="1" applyAlignment="1">
      <alignment horizontal="right"/>
    </xf>
    <xf numFmtId="8" fontId="2" fillId="0" borderId="1" xfId="0" applyNumberFormat="1" applyFont="1" applyBorder="1" applyAlignment="1"/>
    <xf numFmtId="6" fontId="6" fillId="2" borderId="0" xfId="0" applyNumberFormat="1" applyFont="1" applyFill="1" applyAlignment="1">
      <alignment horizontal="right"/>
    </xf>
    <xf numFmtId="6" fontId="6" fillId="0" borderId="0" xfId="0" applyNumberFormat="1" applyFont="1" applyAlignment="1">
      <alignment horizontal="right"/>
    </xf>
    <xf numFmtId="6" fontId="2" fillId="2" borderId="0" xfId="0" applyNumberFormat="1" applyFont="1" applyFill="1" applyAlignment="1">
      <alignment horizontal="right"/>
    </xf>
    <xf numFmtId="6" fontId="6" fillId="0" borderId="0" xfId="0" applyNumberFormat="1" applyFont="1" applyAlignment="1">
      <alignment horizontal="right"/>
    </xf>
    <xf numFmtId="0" fontId="6" fillId="0" borderId="0" xfId="0" applyFont="1" applyAlignment="1"/>
    <xf numFmtId="10" fontId="2" fillId="0" borderId="0" xfId="0" applyNumberFormat="1" applyFont="1"/>
    <xf numFmtId="0" fontId="2" fillId="0" borderId="2" xfId="0" applyFont="1" applyBorder="1" applyAlignment="1"/>
    <xf numFmtId="6" fontId="2" fillId="0" borderId="3" xfId="0" applyNumberFormat="1" applyFont="1" applyBorder="1" applyAlignment="1">
      <alignment horizontal="right"/>
    </xf>
    <xf numFmtId="6" fontId="6" fillId="0" borderId="3" xfId="0" applyNumberFormat="1" applyFont="1" applyBorder="1" applyAlignment="1">
      <alignment horizontal="right"/>
    </xf>
    <xf numFmtId="6" fontId="6" fillId="0" borderId="4" xfId="0" applyNumberFormat="1" applyFont="1" applyBorder="1" applyAlignment="1">
      <alignment horizontal="right"/>
    </xf>
    <xf numFmtId="164" fontId="2" fillId="0" borderId="0" xfId="0" applyNumberFormat="1" applyFont="1" applyAlignment="1"/>
    <xf numFmtId="0" fontId="7" fillId="0" borderId="0" xfId="0" applyFont="1"/>
    <xf numFmtId="10" fontId="8" fillId="0" borderId="0" xfId="0" applyNumberFormat="1" applyFont="1" applyAlignment="1">
      <alignment horizontal="right"/>
    </xf>
    <xf numFmtId="10" fontId="9" fillId="0" borderId="0" xfId="0" applyNumberFormat="1" applyFont="1" applyAlignment="1">
      <alignment horizontal="right"/>
    </xf>
    <xf numFmtId="8" fontId="7" fillId="0" borderId="0" xfId="0" applyNumberFormat="1" applyFont="1" applyAlignment="1">
      <alignment horizontal="right"/>
    </xf>
    <xf numFmtId="165" fontId="4" fillId="0" borderId="0" xfId="0" applyNumberFormat="1" applyFont="1" applyAlignment="1">
      <alignment horizontal="right"/>
    </xf>
    <xf numFmtId="0" fontId="7" fillId="0" borderId="0" xfId="0" applyFont="1" applyAlignment="1"/>
    <xf numFmtId="0" fontId="2" fillId="0" borderId="1" xfId="0" applyFont="1" applyBorder="1" applyAlignment="1"/>
    <xf numFmtId="6" fontId="6" fillId="3" borderId="0" xfId="0" applyNumberFormat="1" applyFont="1" applyFill="1" applyAlignment="1">
      <alignment horizontal="right"/>
    </xf>
    <xf numFmtId="6" fontId="10" fillId="0" borderId="0" xfId="0" applyNumberFormat="1" applyFont="1" applyAlignment="1">
      <alignment horizontal="right"/>
    </xf>
    <xf numFmtId="0" fontId="11" fillId="0" borderId="0" xfId="0" applyFont="1" applyAlignment="1"/>
    <xf numFmtId="0" fontId="11" fillId="0" borderId="2" xfId="0" applyFont="1" applyBorder="1" applyAlignment="1"/>
    <xf numFmtId="0" fontId="11" fillId="0" borderId="3" xfId="0" applyFont="1" applyBorder="1"/>
    <xf numFmtId="0" fontId="11" fillId="0" borderId="4" xfId="0" applyFont="1" applyBorder="1"/>
    <xf numFmtId="166" fontId="12" fillId="0" borderId="0" xfId="0" applyNumberFormat="1" applyFont="1"/>
    <xf numFmtId="0" fontId="12" fillId="0" borderId="0" xfId="0" applyFont="1" applyAlignment="1"/>
    <xf numFmtId="6" fontId="12" fillId="0" borderId="0" xfId="0" applyNumberFormat="1" applyFont="1"/>
    <xf numFmtId="4" fontId="12" fillId="0" borderId="0" xfId="0" applyNumberFormat="1" applyFont="1"/>
    <xf numFmtId="9" fontId="2" fillId="0" borderId="0" xfId="1" applyFont="1" applyAlignment="1">
      <alignment horizontal="right"/>
    </xf>
    <xf numFmtId="0" fontId="14" fillId="0" borderId="0" xfId="0" applyFont="1" applyAlignment="1"/>
    <xf numFmtId="0" fontId="15" fillId="0" borderId="0" xfId="0" applyFont="1" applyAlignment="1"/>
    <xf numFmtId="0" fontId="16" fillId="0" borderId="0" xfId="2"/>
    <xf numFmtId="0" fontId="16" fillId="0" borderId="6" xfId="2" applyBorder="1"/>
    <xf numFmtId="167" fontId="17" fillId="0" borderId="6" xfId="2" applyNumberFormat="1" applyFont="1" applyBorder="1"/>
    <xf numFmtId="0" fontId="18" fillId="0" borderId="0" xfId="2" applyFont="1"/>
    <xf numFmtId="168" fontId="18" fillId="0" borderId="0" xfId="2" applyNumberFormat="1" applyFont="1"/>
    <xf numFmtId="169" fontId="18" fillId="0" borderId="0" xfId="2" applyNumberFormat="1" applyFont="1"/>
    <xf numFmtId="170" fontId="17" fillId="0" borderId="6" xfId="2" applyNumberFormat="1" applyFont="1" applyBorder="1"/>
    <xf numFmtId="171" fontId="18" fillId="0" borderId="0" xfId="2" applyNumberFormat="1" applyFont="1"/>
    <xf numFmtId="167" fontId="18" fillId="0" borderId="0" xfId="2" applyNumberFormat="1" applyFont="1"/>
    <xf numFmtId="0" fontId="19" fillId="0" borderId="0" xfId="2" applyFont="1" applyAlignment="1">
      <alignment horizontal="centerContinuous"/>
    </xf>
    <xf numFmtId="169" fontId="17" fillId="0" borderId="6" xfId="2" applyNumberFormat="1" applyFont="1" applyBorder="1"/>
    <xf numFmtId="0" fontId="17" fillId="0" borderId="0" xfId="2" applyFont="1"/>
    <xf numFmtId="167" fontId="16" fillId="0" borderId="0" xfId="2" applyNumberFormat="1"/>
    <xf numFmtId="170" fontId="18" fillId="0" borderId="0" xfId="2" applyNumberFormat="1" applyFont="1"/>
    <xf numFmtId="169" fontId="20" fillId="0" borderId="0" xfId="2" applyNumberFormat="1" applyFont="1"/>
    <xf numFmtId="170" fontId="22" fillId="0" borderId="0" xfId="3" applyNumberFormat="1" applyFont="1"/>
    <xf numFmtId="0" fontId="23" fillId="0" borderId="0" xfId="2" applyFont="1" applyAlignment="1">
      <alignment horizontal="centerContinuous"/>
    </xf>
    <xf numFmtId="0" fontId="24" fillId="0" borderId="0" xfId="2" applyFont="1" applyAlignment="1">
      <alignment horizontal="center" vertical="center"/>
    </xf>
    <xf numFmtId="170" fontId="25" fillId="0" borderId="0" xfId="3" applyNumberFormat="1" applyFont="1"/>
    <xf numFmtId="44" fontId="18" fillId="0" borderId="0" xfId="2" applyNumberFormat="1" applyFont="1"/>
    <xf numFmtId="172" fontId="18" fillId="0" borderId="7" xfId="2" applyNumberFormat="1" applyFont="1" applyBorder="1"/>
    <xf numFmtId="172" fontId="18" fillId="0" borderId="0" xfId="2" applyNumberFormat="1" applyFont="1"/>
    <xf numFmtId="173" fontId="26" fillId="0" borderId="0" xfId="2" applyNumberFormat="1" applyFont="1"/>
    <xf numFmtId="174" fontId="17" fillId="0" borderId="0" xfId="2" applyNumberFormat="1" applyFont="1"/>
    <xf numFmtId="8" fontId="25" fillId="0" borderId="0" xfId="3" applyNumberFormat="1" applyFont="1"/>
    <xf numFmtId="172" fontId="22" fillId="0" borderId="0" xfId="3" applyNumberFormat="1" applyFont="1"/>
    <xf numFmtId="172" fontId="18" fillId="0" borderId="0" xfId="4" applyNumberFormat="1" applyFont="1"/>
    <xf numFmtId="172" fontId="18" fillId="0" borderId="5" xfId="4" applyNumberFormat="1" applyFont="1" applyBorder="1"/>
    <xf numFmtId="8" fontId="22" fillId="0" borderId="0" xfId="3" applyNumberFormat="1" applyFont="1"/>
    <xf numFmtId="175" fontId="17" fillId="0" borderId="0" xfId="2" applyNumberFormat="1" applyFont="1"/>
    <xf numFmtId="8" fontId="18" fillId="0" borderId="0" xfId="2" applyNumberFormat="1" applyFont="1"/>
    <xf numFmtId="9" fontId="18" fillId="0" borderId="0" xfId="2" applyNumberFormat="1" applyFont="1"/>
    <xf numFmtId="8" fontId="17" fillId="0" borderId="0" xfId="2" applyNumberFormat="1" applyFont="1"/>
    <xf numFmtId="9" fontId="22" fillId="0" borderId="0" xfId="3" applyNumberFormat="1" applyFont="1"/>
    <xf numFmtId="175" fontId="22" fillId="0" borderId="0" xfId="3" applyNumberFormat="1" applyFont="1"/>
    <xf numFmtId="174" fontId="18" fillId="0" borderId="0" xfId="2" applyNumberFormat="1" applyFont="1"/>
    <xf numFmtId="171" fontId="22" fillId="0" borderId="0" xfId="5" applyNumberFormat="1" applyFont="1"/>
    <xf numFmtId="170" fontId="22" fillId="0" borderId="0" xfId="4" applyNumberFormat="1" applyFont="1"/>
    <xf numFmtId="172" fontId="22" fillId="0" borderId="0" xfId="4" applyNumberFormat="1" applyFont="1"/>
    <xf numFmtId="0" fontId="18" fillId="0" borderId="8" xfId="2" applyFont="1" applyBorder="1"/>
    <xf numFmtId="168" fontId="17" fillId="0" borderId="9" xfId="2" applyNumberFormat="1" applyFont="1" applyBorder="1"/>
    <xf numFmtId="176" fontId="25" fillId="0" borderId="9" xfId="2" applyNumberFormat="1" applyFont="1" applyBorder="1"/>
    <xf numFmtId="171" fontId="17" fillId="0" borderId="9" xfId="2" applyNumberFormat="1" applyFont="1" applyBorder="1"/>
    <xf numFmtId="170" fontId="25" fillId="0" borderId="10" xfId="3" applyNumberFormat="1" applyFont="1" applyBorder="1"/>
    <xf numFmtId="170" fontId="25" fillId="0" borderId="9" xfId="3" applyNumberFormat="1" applyFont="1" applyBorder="1"/>
    <xf numFmtId="169" fontId="17" fillId="0" borderId="9" xfId="2" applyNumberFormat="1" applyFont="1" applyBorder="1"/>
    <xf numFmtId="170" fontId="22" fillId="0" borderId="11" xfId="3" applyNumberFormat="1" applyFont="1" applyBorder="1"/>
    <xf numFmtId="176" fontId="22" fillId="0" borderId="0" xfId="2" applyNumberFormat="1" applyFont="1"/>
    <xf numFmtId="0" fontId="16" fillId="0" borderId="11" xfId="2" applyBorder="1"/>
    <xf numFmtId="170" fontId="16" fillId="0" borderId="0" xfId="2" applyNumberFormat="1"/>
    <xf numFmtId="170" fontId="17" fillId="0" borderId="10" xfId="2" applyNumberFormat="1" applyFont="1" applyBorder="1"/>
    <xf numFmtId="170" fontId="18" fillId="0" borderId="11" xfId="2" applyNumberFormat="1" applyFont="1" applyBorder="1"/>
    <xf numFmtId="0" fontId="18" fillId="0" borderId="11" xfId="2" applyFont="1" applyBorder="1"/>
    <xf numFmtId="38" fontId="27" fillId="0" borderId="0" xfId="3" applyNumberFormat="1" applyFont="1" applyAlignment="1">
      <alignment horizontal="center"/>
    </xf>
    <xf numFmtId="177" fontId="19" fillId="0" borderId="0" xfId="2" applyNumberFormat="1" applyFont="1" applyAlignment="1">
      <alignment horizontal="center"/>
    </xf>
    <xf numFmtId="177" fontId="19" fillId="0" borderId="12" xfId="2" applyNumberFormat="1" applyFont="1" applyBorder="1" applyAlignment="1">
      <alignment horizontal="center"/>
    </xf>
    <xf numFmtId="177" fontId="28" fillId="0" borderId="0" xfId="2" quotePrefix="1" applyNumberFormat="1" applyFont="1" applyAlignment="1">
      <alignment horizontal="center"/>
    </xf>
    <xf numFmtId="0" fontId="19" fillId="0" borderId="0" xfId="2" quotePrefix="1" applyFont="1" applyAlignment="1">
      <alignment horizontal="centerContinuous"/>
    </xf>
    <xf numFmtId="178" fontId="19" fillId="0" borderId="0" xfId="2" applyNumberFormat="1" applyFont="1" applyAlignment="1">
      <alignment horizontal="centerContinuous"/>
    </xf>
    <xf numFmtId="177" fontId="19" fillId="0" borderId="0" xfId="2" applyNumberFormat="1" applyFont="1" applyAlignment="1">
      <alignment horizontal="centerContinuous"/>
    </xf>
    <xf numFmtId="178" fontId="19" fillId="0" borderId="0" xfId="2" applyNumberFormat="1" applyFont="1" applyAlignment="1">
      <alignment horizontal="center"/>
    </xf>
    <xf numFmtId="0" fontId="17" fillId="0" borderId="0" xfId="2" applyFont="1" applyAlignment="1">
      <alignment horizontal="center" vertical="center"/>
    </xf>
    <xf numFmtId="179" fontId="18" fillId="0" borderId="0" xfId="2" applyNumberFormat="1" applyFont="1" applyAlignment="1">
      <alignment vertical="center"/>
    </xf>
    <xf numFmtId="179" fontId="18" fillId="0" borderId="7" xfId="2" applyNumberFormat="1" applyFont="1" applyBorder="1" applyAlignment="1">
      <alignment vertical="center"/>
    </xf>
    <xf numFmtId="179" fontId="22" fillId="0" borderId="0" xfId="2" applyNumberFormat="1" applyFont="1"/>
    <xf numFmtId="171" fontId="18" fillId="0" borderId="7" xfId="2" applyNumberFormat="1" applyFont="1" applyBorder="1"/>
    <xf numFmtId="179" fontId="29" fillId="0" borderId="0" xfId="2" applyNumberFormat="1" applyFont="1"/>
    <xf numFmtId="0" fontId="30" fillId="0" borderId="0" xfId="2" quotePrefix="1" applyFont="1" applyAlignment="1">
      <alignment horizontal="left" indent="1"/>
    </xf>
    <xf numFmtId="179" fontId="17" fillId="0" borderId="0" xfId="2" applyNumberFormat="1" applyFont="1" applyAlignment="1">
      <alignment vertical="center"/>
    </xf>
    <xf numFmtId="171" fontId="17" fillId="0" borderId="0" xfId="2" applyNumberFormat="1" applyFont="1"/>
    <xf numFmtId="170" fontId="25" fillId="0" borderId="6" xfId="3" applyNumberFormat="1" applyFont="1" applyBorder="1"/>
    <xf numFmtId="176" fontId="25" fillId="0" borderId="0" xfId="2" applyNumberFormat="1" applyFont="1"/>
    <xf numFmtId="0" fontId="18" fillId="0" borderId="0" xfId="2" applyFont="1" applyAlignment="1">
      <alignment horizontal="left" indent="1"/>
    </xf>
    <xf numFmtId="179" fontId="18" fillId="0" borderId="6" xfId="2" applyNumberFormat="1" applyFont="1" applyBorder="1" applyAlignment="1">
      <alignment vertical="center"/>
    </xf>
    <xf numFmtId="179" fontId="18" fillId="0" borderId="13" xfId="2" applyNumberFormat="1" applyFont="1" applyBorder="1" applyAlignment="1">
      <alignment vertical="center"/>
    </xf>
    <xf numFmtId="171" fontId="18" fillId="0" borderId="6" xfId="2" applyNumberFormat="1" applyFont="1" applyBorder="1"/>
    <xf numFmtId="171" fontId="18" fillId="0" borderId="13" xfId="2" applyNumberFormat="1" applyFont="1" applyBorder="1"/>
    <xf numFmtId="0" fontId="25" fillId="0" borderId="0" xfId="2" applyFont="1" applyAlignment="1">
      <alignment horizontal="center" vertical="center"/>
    </xf>
    <xf numFmtId="180" fontId="18" fillId="0" borderId="0" xfId="2" applyNumberFormat="1" applyFont="1" applyAlignment="1">
      <alignment vertical="center"/>
    </xf>
    <xf numFmtId="0" fontId="20" fillId="0" borderId="0" xfId="2" applyFont="1" applyAlignment="1">
      <alignment horizontal="center" vertical="center"/>
    </xf>
    <xf numFmtId="177" fontId="25" fillId="0" borderId="0" xfId="2" quotePrefix="1" applyNumberFormat="1" applyFont="1" applyAlignment="1">
      <alignment horizontal="center"/>
    </xf>
    <xf numFmtId="38" fontId="25" fillId="0" borderId="14" xfId="3" applyNumberFormat="1" applyFont="1" applyBorder="1" applyAlignment="1">
      <alignment horizontal="center"/>
    </xf>
    <xf numFmtId="9" fontId="18" fillId="0" borderId="0" xfId="5" applyFont="1"/>
    <xf numFmtId="181" fontId="34" fillId="0" borderId="0" xfId="2" applyNumberFormat="1" applyFont="1"/>
    <xf numFmtId="0" fontId="34" fillId="0" borderId="0" xfId="2" applyFont="1"/>
    <xf numFmtId="37" fontId="35" fillId="0" borderId="0" xfId="2" applyNumberFormat="1" applyFont="1" applyAlignment="1">
      <alignment horizontal="center"/>
    </xf>
    <xf numFmtId="172" fontId="34" fillId="0" borderId="0" xfId="4" applyNumberFormat="1" applyFont="1"/>
    <xf numFmtId="170" fontId="17" fillId="0" borderId="0" xfId="2" applyNumberFormat="1" applyFont="1"/>
    <xf numFmtId="169" fontId="36" fillId="0" borderId="0" xfId="3" applyNumberFormat="1" applyFont="1"/>
    <xf numFmtId="170" fontId="17" fillId="0" borderId="0" xfId="3" applyNumberFormat="1" applyFont="1"/>
    <xf numFmtId="170" fontId="17" fillId="0" borderId="9" xfId="2" applyNumberFormat="1" applyFont="1" applyBorder="1"/>
    <xf numFmtId="169" fontId="34" fillId="0" borderId="0" xfId="2" applyNumberFormat="1" applyFont="1"/>
    <xf numFmtId="168" fontId="18" fillId="0" borderId="15" xfId="2" applyNumberFormat="1" applyFont="1" applyBorder="1"/>
    <xf numFmtId="7" fontId="17" fillId="0" borderId="16" xfId="2" applyNumberFormat="1" applyFont="1" applyBorder="1"/>
    <xf numFmtId="169" fontId="18" fillId="0" borderId="16" xfId="2" applyNumberFormat="1" applyFont="1" applyBorder="1"/>
    <xf numFmtId="170" fontId="18" fillId="0" borderId="17" xfId="3" applyNumberFormat="1" applyFont="1" applyBorder="1"/>
    <xf numFmtId="182" fontId="18" fillId="0" borderId="0" xfId="2" applyNumberFormat="1" applyFont="1"/>
    <xf numFmtId="168" fontId="18" fillId="0" borderId="18" xfId="2" applyNumberFormat="1" applyFont="1" applyBorder="1"/>
    <xf numFmtId="7" fontId="17" fillId="0" borderId="19" xfId="2" applyNumberFormat="1" applyFont="1" applyBorder="1"/>
    <xf numFmtId="169" fontId="18" fillId="0" borderId="19" xfId="2" applyNumberFormat="1" applyFont="1" applyBorder="1"/>
    <xf numFmtId="170" fontId="18" fillId="0" borderId="20" xfId="3" applyNumberFormat="1" applyFont="1" applyBorder="1"/>
    <xf numFmtId="177" fontId="37" fillId="0" borderId="0" xfId="2" quotePrefix="1" applyNumberFormat="1" applyFont="1" applyAlignment="1">
      <alignment horizontal="center"/>
    </xf>
    <xf numFmtId="181" fontId="18" fillId="0" borderId="0" xfId="2" applyNumberFormat="1" applyFont="1"/>
    <xf numFmtId="169" fontId="17" fillId="0" borderId="0" xfId="3" applyNumberFormat="1" applyFont="1"/>
    <xf numFmtId="169" fontId="17" fillId="0" borderId="9" xfId="3" applyNumberFormat="1" applyFont="1" applyBorder="1"/>
    <xf numFmtId="169" fontId="18" fillId="0" borderId="0" xfId="3" applyNumberFormat="1" applyFont="1"/>
    <xf numFmtId="177" fontId="38" fillId="0" borderId="0" xfId="2" quotePrefix="1" applyNumberFormat="1" applyFont="1" applyAlignment="1">
      <alignment horizontal="center"/>
    </xf>
    <xf numFmtId="181" fontId="36" fillId="0" borderId="9" xfId="2" applyNumberFormat="1" applyFont="1" applyBorder="1"/>
    <xf numFmtId="0" fontId="36" fillId="0" borderId="0" xfId="2" applyFont="1"/>
    <xf numFmtId="183" fontId="17" fillId="0" borderId="0" xfId="3" applyNumberFormat="1" applyFont="1"/>
    <xf numFmtId="169" fontId="36" fillId="0" borderId="9" xfId="3" applyNumberFormat="1" applyFont="1" applyBorder="1"/>
    <xf numFmtId="183" fontId="17" fillId="0" borderId="21" xfId="3" applyNumberFormat="1" applyFont="1" applyBorder="1"/>
    <xf numFmtId="183" fontId="18" fillId="0" borderId="22" xfId="2" applyNumberFormat="1" applyFont="1" applyBorder="1"/>
    <xf numFmtId="0" fontId="34" fillId="0" borderId="0" xfId="2" quotePrefix="1" applyFont="1" applyAlignment="1">
      <alignment horizontal="left" indent="1"/>
    </xf>
    <xf numFmtId="0" fontId="29" fillId="0" borderId="0" xfId="2" applyFont="1"/>
    <xf numFmtId="183" fontId="18" fillId="0" borderId="23" xfId="2" applyNumberFormat="1" applyFont="1" applyBorder="1"/>
    <xf numFmtId="43" fontId="18" fillId="0" borderId="0" xfId="3" applyNumberFormat="1" applyFont="1"/>
    <xf numFmtId="0" fontId="18" fillId="0" borderId="0" xfId="2" applyFont="1" applyAlignment="1">
      <alignment horizontal="centerContinuous"/>
    </xf>
    <xf numFmtId="0" fontId="37" fillId="0" borderId="0" xfId="2" applyFont="1" applyAlignment="1">
      <alignment horizontal="centerContinuous"/>
    </xf>
    <xf numFmtId="38" fontId="17" fillId="0" borderId="0" xfId="3" applyNumberFormat="1" applyFont="1" applyAlignment="1">
      <alignment horizontal="center"/>
    </xf>
    <xf numFmtId="37" fontId="20" fillId="0" borderId="0" xfId="2" applyNumberFormat="1" applyFont="1" applyAlignment="1">
      <alignment horizontal="center"/>
    </xf>
    <xf numFmtId="184" fontId="28" fillId="0" borderId="0" xfId="2" applyNumberFormat="1" applyFont="1" applyAlignment="1">
      <alignment horizontal="center" vertical="center"/>
    </xf>
    <xf numFmtId="170" fontId="17" fillId="0" borderId="9" xfId="3" applyNumberFormat="1" applyFont="1" applyBorder="1"/>
    <xf numFmtId="0" fontId="29" fillId="0" borderId="0" xfId="2" applyFont="1" applyAlignment="1">
      <alignment horizontal="right"/>
    </xf>
    <xf numFmtId="9" fontId="29" fillId="0" borderId="0" xfId="2" applyNumberFormat="1" applyFont="1"/>
    <xf numFmtId="0" fontId="18" fillId="0" borderId="0" xfId="2" quotePrefix="1" applyFont="1" applyAlignment="1">
      <alignment horizontal="left" indent="1"/>
    </xf>
    <xf numFmtId="170" fontId="29" fillId="0" borderId="0" xfId="3" applyNumberFormat="1" applyFont="1"/>
    <xf numFmtId="181" fontId="18" fillId="0" borderId="14" xfId="2" applyNumberFormat="1" applyFont="1" applyBorder="1"/>
    <xf numFmtId="181" fontId="20" fillId="0" borderId="14" xfId="2" applyNumberFormat="1" applyFont="1" applyBorder="1"/>
    <xf numFmtId="181" fontId="17" fillId="0" borderId="14" xfId="2" applyNumberFormat="1" applyFont="1" applyBorder="1"/>
    <xf numFmtId="170" fontId="17" fillId="0" borderId="6" xfId="3" applyNumberFormat="1" applyFont="1" applyBorder="1"/>
    <xf numFmtId="170" fontId="22" fillId="0" borderId="5" xfId="3" applyNumberFormat="1" applyFont="1" applyBorder="1"/>
    <xf numFmtId="0" fontId="39" fillId="0" borderId="0" xfId="2" applyFont="1"/>
    <xf numFmtId="0" fontId="17" fillId="0" borderId="0" xfId="2" quotePrefix="1" applyFont="1" applyAlignment="1">
      <alignment horizontal="left"/>
    </xf>
    <xf numFmtId="169" fontId="20" fillId="0" borderId="14" xfId="3" applyNumberFormat="1" applyFont="1" applyBorder="1" applyAlignment="1">
      <alignment horizontal="center"/>
    </xf>
    <xf numFmtId="0" fontId="18" fillId="0" borderId="0" xfId="2" applyFont="1" applyAlignment="1">
      <alignment horizontal="center"/>
    </xf>
    <xf numFmtId="170" fontId="20" fillId="0" borderId="14" xfId="3" applyNumberFormat="1" applyFont="1" applyBorder="1" applyAlignment="1">
      <alignment horizontal="center"/>
    </xf>
    <xf numFmtId="0" fontId="18" fillId="0" borderId="24" xfId="2" applyFont="1" applyBorder="1"/>
    <xf numFmtId="170" fontId="17" fillId="0" borderId="25" xfId="2" applyNumberFormat="1" applyFont="1" applyBorder="1"/>
    <xf numFmtId="170" fontId="18" fillId="0" borderId="26" xfId="2" applyNumberFormat="1" applyFont="1" applyBorder="1"/>
    <xf numFmtId="170" fontId="17" fillId="0" borderId="27" xfId="2" applyNumberFormat="1" applyFont="1" applyBorder="1"/>
    <xf numFmtId="170" fontId="29" fillId="0" borderId="26" xfId="3" applyNumberFormat="1" applyFont="1" applyBorder="1"/>
    <xf numFmtId="170" fontId="22" fillId="0" borderId="26" xfId="3" applyNumberFormat="1" applyFont="1" applyBorder="1"/>
    <xf numFmtId="170" fontId="22" fillId="0" borderId="27" xfId="3" applyNumberFormat="1" applyFont="1" applyBorder="1"/>
    <xf numFmtId="177" fontId="41" fillId="0" borderId="0" xfId="2" quotePrefix="1" applyNumberFormat="1" applyFont="1" applyAlignment="1">
      <alignment horizontal="center"/>
    </xf>
    <xf numFmtId="171" fontId="17" fillId="0" borderId="0" xfId="3" applyNumberFormat="1" applyFont="1"/>
    <xf numFmtId="170" fontId="29" fillId="0" borderId="0" xfId="2" applyNumberFormat="1" applyFont="1"/>
    <xf numFmtId="168" fontId="20" fillId="0" borderId="14" xfId="2" applyNumberFormat="1" applyFont="1" applyBorder="1"/>
    <xf numFmtId="170" fontId="29" fillId="0" borderId="5" xfId="3" applyNumberFormat="1" applyFont="1" applyBorder="1"/>
    <xf numFmtId="177" fontId="43" fillId="0" borderId="0" xfId="2" quotePrefix="1" applyNumberFormat="1" applyFont="1" applyAlignment="1">
      <alignment horizontal="center"/>
    </xf>
    <xf numFmtId="177" fontId="44" fillId="0" borderId="0" xfId="2" quotePrefix="1" applyNumberFormat="1" applyFont="1" applyAlignment="1">
      <alignment horizontal="center"/>
    </xf>
    <xf numFmtId="171" fontId="18" fillId="0" borderId="0" xfId="3" applyNumberFormat="1" applyFont="1"/>
    <xf numFmtId="171" fontId="29" fillId="0" borderId="0" xfId="3" applyNumberFormat="1" applyFont="1" applyAlignment="1">
      <alignment horizontal="right" indent="1"/>
    </xf>
    <xf numFmtId="0" fontId="22" fillId="0" borderId="0" xfId="2" applyFont="1"/>
    <xf numFmtId="171" fontId="22" fillId="0" borderId="0" xfId="3" applyNumberFormat="1" applyFont="1"/>
    <xf numFmtId="171" fontId="25" fillId="0" borderId="0" xfId="3" applyNumberFormat="1" applyFont="1"/>
    <xf numFmtId="166" fontId="18" fillId="0" borderId="0" xfId="2" applyNumberFormat="1" applyFont="1"/>
    <xf numFmtId="171" fontId="22" fillId="0" borderId="0" xfId="3" applyNumberFormat="1" applyFont="1" applyAlignment="1">
      <alignment horizontal="right" indent="1"/>
    </xf>
    <xf numFmtId="0" fontId="25" fillId="0" borderId="0" xfId="2" applyFont="1"/>
    <xf numFmtId="177" fontId="19" fillId="0" borderId="0" xfId="2" quotePrefix="1" applyNumberFormat="1" applyFont="1" applyAlignment="1">
      <alignment horizontal="center"/>
    </xf>
    <xf numFmtId="177" fontId="17" fillId="0" borderId="0" xfId="2" quotePrefix="1" applyNumberFormat="1" applyFont="1" applyAlignment="1">
      <alignment horizontal="center"/>
    </xf>
    <xf numFmtId="38" fontId="25" fillId="0" borderId="0" xfId="3" applyNumberFormat="1" applyFont="1" applyAlignment="1">
      <alignment horizontal="center"/>
    </xf>
    <xf numFmtId="38" fontId="20" fillId="0" borderId="0" xfId="3" applyNumberFormat="1" applyFont="1" applyAlignment="1">
      <alignment horizontal="center"/>
    </xf>
    <xf numFmtId="184" fontId="43" fillId="0" borderId="0" xfId="2" applyNumberFormat="1" applyFont="1" applyAlignment="1">
      <alignment horizontal="center" vertical="center"/>
    </xf>
    <xf numFmtId="177" fontId="19" fillId="0" borderId="0" xfId="2" quotePrefix="1" applyNumberFormat="1" applyFont="1" applyAlignment="1">
      <alignment horizontal="centerContinuous"/>
    </xf>
    <xf numFmtId="0" fontId="18" fillId="0" borderId="28" xfId="2" applyFont="1" applyBorder="1"/>
    <xf numFmtId="0" fontId="16" fillId="0" borderId="28" xfId="2" applyBorder="1"/>
    <xf numFmtId="37" fontId="20" fillId="0" borderId="0" xfId="2" applyNumberFormat="1" applyFont="1"/>
    <xf numFmtId="168" fontId="17" fillId="0" borderId="25" xfId="2" applyNumberFormat="1" applyFont="1" applyBorder="1"/>
    <xf numFmtId="169" fontId="17" fillId="0" borderId="25" xfId="3" applyNumberFormat="1" applyFont="1" applyBorder="1"/>
    <xf numFmtId="171" fontId="18" fillId="0" borderId="26" xfId="2" applyNumberFormat="1" applyFont="1" applyBorder="1"/>
    <xf numFmtId="169" fontId="18" fillId="0" borderId="26" xfId="3" applyNumberFormat="1" applyFont="1" applyBorder="1"/>
    <xf numFmtId="168" fontId="18" fillId="0" borderId="26" xfId="2" applyNumberFormat="1" applyFont="1" applyBorder="1"/>
    <xf numFmtId="10" fontId="16" fillId="0" borderId="0" xfId="2" applyNumberFormat="1"/>
    <xf numFmtId="0" fontId="18" fillId="0" borderId="29" xfId="2" applyFont="1" applyBorder="1"/>
    <xf numFmtId="0" fontId="18" fillId="0" borderId="30" xfId="2" applyFont="1" applyBorder="1"/>
    <xf numFmtId="0" fontId="18" fillId="0" borderId="31" xfId="2" applyFont="1" applyBorder="1"/>
    <xf numFmtId="169" fontId="16" fillId="0" borderId="0" xfId="2" applyNumberFormat="1"/>
    <xf numFmtId="0" fontId="18" fillId="0" borderId="32" xfId="2" applyFont="1" applyBorder="1"/>
    <xf numFmtId="169" fontId="29" fillId="0" borderId="14" xfId="3" applyNumberFormat="1" applyFont="1" applyBorder="1" applyAlignment="1">
      <alignment horizontal="center"/>
    </xf>
    <xf numFmtId="0" fontId="18" fillId="0" borderId="0" xfId="2" quotePrefix="1" applyFont="1" applyAlignment="1">
      <alignment horizontal="left"/>
    </xf>
    <xf numFmtId="0" fontId="18" fillId="0" borderId="33" xfId="2" applyFont="1" applyBorder="1"/>
    <xf numFmtId="169" fontId="17" fillId="0" borderId="0" xfId="2" applyNumberFormat="1" applyFont="1"/>
    <xf numFmtId="10" fontId="0" fillId="0" borderId="0" xfId="5" applyNumberFormat="1" applyFont="1"/>
    <xf numFmtId="0" fontId="18" fillId="0" borderId="14" xfId="2" applyFont="1" applyBorder="1"/>
    <xf numFmtId="168" fontId="29" fillId="0" borderId="14" xfId="2" applyNumberFormat="1" applyFont="1" applyBorder="1"/>
    <xf numFmtId="0" fontId="19" fillId="0" borderId="26" xfId="2" applyFont="1" applyBorder="1" applyAlignment="1">
      <alignment horizontal="centerContinuous"/>
    </xf>
    <xf numFmtId="38" fontId="18" fillId="0" borderId="0" xfId="2" applyNumberFormat="1" applyFont="1"/>
    <xf numFmtId="0" fontId="17" fillId="0" borderId="27" xfId="2" applyFont="1" applyBorder="1" applyAlignment="1">
      <alignment horizontal="center"/>
    </xf>
    <xf numFmtId="0" fontId="17" fillId="0" borderId="0" xfId="2" applyFont="1" applyAlignment="1">
      <alignment horizontal="centerContinuous"/>
    </xf>
    <xf numFmtId="0" fontId="16" fillId="0" borderId="0" xfId="2" applyAlignment="1">
      <alignment horizontal="centerContinuous"/>
    </xf>
    <xf numFmtId="185" fontId="29" fillId="0" borderId="14" xfId="2" applyNumberFormat="1" applyFont="1" applyBorder="1"/>
    <xf numFmtId="7" fontId="17" fillId="0" borderId="9" xfId="2" applyNumberFormat="1" applyFont="1" applyBorder="1"/>
    <xf numFmtId="0" fontId="45" fillId="0" borderId="0" xfId="2" applyFont="1"/>
    <xf numFmtId="168" fontId="17" fillId="0" borderId="34" xfId="2" applyNumberFormat="1" applyFont="1" applyBorder="1"/>
    <xf numFmtId="7" fontId="18" fillId="0" borderId="0" xfId="2" applyNumberFormat="1" applyFont="1"/>
    <xf numFmtId="171" fontId="20" fillId="0" borderId="35" xfId="2" applyNumberFormat="1" applyFont="1" applyBorder="1"/>
    <xf numFmtId="171" fontId="20" fillId="0" borderId="0" xfId="2" applyNumberFormat="1" applyFont="1"/>
    <xf numFmtId="7" fontId="29" fillId="0" borderId="0" xfId="3" applyNumberFormat="1" applyFont="1"/>
    <xf numFmtId="186" fontId="25" fillId="0" borderId="14" xfId="2" applyNumberFormat="1" applyFont="1" applyBorder="1"/>
    <xf numFmtId="186" fontId="20" fillId="0" borderId="14" xfId="2" applyNumberFormat="1" applyFont="1" applyBorder="1"/>
    <xf numFmtId="186" fontId="29" fillId="0" borderId="14" xfId="2" applyNumberFormat="1" applyFont="1" applyBorder="1"/>
    <xf numFmtId="168" fontId="18" fillId="0" borderId="35" xfId="2" applyNumberFormat="1" applyFont="1" applyBorder="1"/>
    <xf numFmtId="7" fontId="18" fillId="0" borderId="0" xfId="3" applyNumberFormat="1" applyFont="1"/>
    <xf numFmtId="170" fontId="18" fillId="0" borderId="0" xfId="3" applyNumberFormat="1" applyFont="1"/>
    <xf numFmtId="43" fontId="17" fillId="0" borderId="9" xfId="3" applyNumberFormat="1" applyFont="1" applyBorder="1"/>
    <xf numFmtId="169" fontId="29" fillId="0" borderId="0" xfId="3" applyNumberFormat="1" applyFont="1"/>
    <xf numFmtId="171" fontId="16" fillId="0" borderId="0" xfId="2" applyNumberFormat="1"/>
    <xf numFmtId="10" fontId="46" fillId="0" borderId="0" xfId="5" applyNumberFormat="1" applyFont="1"/>
    <xf numFmtId="9" fontId="16" fillId="0" borderId="0" xfId="2" applyNumberFormat="1"/>
    <xf numFmtId="0" fontId="18" fillId="0" borderId="36" xfId="2" applyFont="1" applyBorder="1"/>
    <xf numFmtId="0" fontId="18" fillId="0" borderId="37" xfId="2" applyFont="1" applyBorder="1"/>
    <xf numFmtId="44" fontId="18" fillId="0" borderId="37" xfId="2" applyNumberFormat="1" applyFont="1" applyBorder="1"/>
    <xf numFmtId="44" fontId="18" fillId="0" borderId="38" xfId="2" applyNumberFormat="1" applyFont="1" applyBorder="1"/>
    <xf numFmtId="176" fontId="47" fillId="0" borderId="0" xfId="2" applyNumberFormat="1" applyFont="1"/>
    <xf numFmtId="0" fontId="34" fillId="0" borderId="0" xfId="2" applyFont="1" applyAlignment="1">
      <alignment horizontal="left" indent="1"/>
    </xf>
    <xf numFmtId="0" fontId="17" fillId="0" borderId="0" xfId="2" applyFont="1" applyAlignment="1">
      <alignment horizontal="left" indent="1"/>
    </xf>
    <xf numFmtId="170" fontId="25" fillId="0" borderId="0" xfId="2" applyNumberFormat="1" applyFont="1"/>
    <xf numFmtId="43" fontId="18" fillId="0" borderId="0" xfId="2" applyNumberFormat="1" applyFont="1"/>
    <xf numFmtId="170" fontId="25" fillId="0" borderId="6" xfId="2" applyNumberFormat="1" applyFont="1" applyBorder="1"/>
    <xf numFmtId="170" fontId="18" fillId="0" borderId="5" xfId="2" applyNumberFormat="1" applyFont="1" applyBorder="1"/>
    <xf numFmtId="168" fontId="20" fillId="0" borderId="0" xfId="2" applyNumberFormat="1" applyFont="1"/>
    <xf numFmtId="5" fontId="16" fillId="0" borderId="0" xfId="2" applyNumberFormat="1"/>
    <xf numFmtId="169" fontId="18" fillId="0" borderId="39" xfId="2" applyNumberFormat="1" applyFont="1" applyBorder="1"/>
    <xf numFmtId="0" fontId="45" fillId="0" borderId="0" xfId="2" applyFont="1" applyAlignment="1">
      <alignment horizontal="centerContinuous"/>
    </xf>
    <xf numFmtId="37" fontId="22" fillId="0" borderId="0" xfId="2" applyNumberFormat="1" applyFont="1"/>
    <xf numFmtId="37" fontId="29" fillId="0" borderId="0" xfId="2" applyNumberFormat="1" applyFont="1"/>
    <xf numFmtId="170" fontId="22" fillId="0" borderId="5" xfId="2" applyNumberFormat="1" applyFont="1" applyBorder="1"/>
    <xf numFmtId="5" fontId="17" fillId="0" borderId="6" xfId="2" applyNumberFormat="1" applyFont="1" applyBorder="1"/>
    <xf numFmtId="170" fontId="22" fillId="0" borderId="0" xfId="2" applyNumberFormat="1" applyFont="1"/>
    <xf numFmtId="5" fontId="22" fillId="0" borderId="0" xfId="2" applyNumberFormat="1" applyFont="1"/>
    <xf numFmtId="5" fontId="25" fillId="0" borderId="0" xfId="2" applyNumberFormat="1" applyFont="1"/>
    <xf numFmtId="0" fontId="48" fillId="0" borderId="40" xfId="2" applyFont="1" applyBorder="1" applyAlignment="1">
      <alignment horizontal="right" vertical="center"/>
    </xf>
    <xf numFmtId="0" fontId="16" fillId="0" borderId="40" xfId="2" applyBorder="1"/>
    <xf numFmtId="0" fontId="18" fillId="0" borderId="40" xfId="2" applyFont="1" applyBorder="1"/>
    <xf numFmtId="0" fontId="48" fillId="0" borderId="41" xfId="2" quotePrefix="1" applyFont="1" applyBorder="1" applyAlignment="1">
      <alignment vertical="center"/>
    </xf>
    <xf numFmtId="0" fontId="49" fillId="0" borderId="0" xfId="2" applyFont="1" applyAlignment="1">
      <alignment horizontal="left" vertical="center"/>
    </xf>
    <xf numFmtId="0" fontId="35" fillId="0" borderId="0" xfId="2" applyFont="1" applyAlignment="1">
      <alignment horizontal="center" vertical="center"/>
    </xf>
    <xf numFmtId="0" fontId="18" fillId="4" borderId="42" xfId="2" applyFont="1" applyFill="1" applyBorder="1"/>
    <xf numFmtId="0" fontId="16" fillId="0" borderId="0" xfId="2" quotePrefix="1"/>
    <xf numFmtId="0" fontId="17" fillId="0" borderId="5" xfId="2" applyFont="1" applyBorder="1"/>
    <xf numFmtId="0" fontId="16" fillId="0" borderId="5" xfId="2" applyBorder="1"/>
    <xf numFmtId="172" fontId="46" fillId="0" borderId="0" xfId="4" applyNumberFormat="1" applyFont="1"/>
    <xf numFmtId="9" fontId="46" fillId="0" borderId="0" xfId="2" applyNumberFormat="1" applyFont="1"/>
    <xf numFmtId="172" fontId="16" fillId="0" borderId="0" xfId="2" applyNumberFormat="1"/>
    <xf numFmtId="8" fontId="16" fillId="0" borderId="0" xfId="2" applyNumberFormat="1"/>
    <xf numFmtId="172" fontId="16" fillId="0" borderId="5" xfId="2" applyNumberFormat="1" applyBorder="1"/>
    <xf numFmtId="172" fontId="17" fillId="0" borderId="0" xfId="2" applyNumberFormat="1" applyFont="1"/>
    <xf numFmtId="173" fontId="46" fillId="0" borderId="0" xfId="2" applyNumberFormat="1" applyFont="1"/>
    <xf numFmtId="172" fontId="0" fillId="0" borderId="0" xfId="4" applyNumberFormat="1" applyFont="1"/>
    <xf numFmtId="44" fontId="16" fillId="0" borderId="0" xfId="2" applyNumberFormat="1"/>
    <xf numFmtId="172" fontId="0" fillId="0" borderId="5" xfId="4" applyNumberFormat="1" applyFont="1" applyBorder="1"/>
    <xf numFmtId="172" fontId="26" fillId="0" borderId="0" xfId="2" applyNumberFormat="1" applyFont="1"/>
    <xf numFmtId="172" fontId="26" fillId="0" borderId="5" xfId="2" applyNumberFormat="1" applyFont="1" applyBorder="1"/>
    <xf numFmtId="172" fontId="25" fillId="0" borderId="0" xfId="2" applyNumberFormat="1" applyFont="1"/>
    <xf numFmtId="9" fontId="0" fillId="0" borderId="0" xfId="5" applyFont="1"/>
    <xf numFmtId="172" fontId="46" fillId="0" borderId="0" xfId="2" applyNumberFormat="1" applyFont="1"/>
    <xf numFmtId="172" fontId="46" fillId="0" borderId="5" xfId="2" applyNumberFormat="1" applyFont="1" applyBorder="1"/>
    <xf numFmtId="187" fontId="16" fillId="0" borderId="0" xfId="2" applyNumberFormat="1"/>
    <xf numFmtId="172" fontId="26" fillId="0" borderId="0" xfId="4" applyNumberFormat="1" applyFont="1"/>
    <xf numFmtId="173" fontId="22" fillId="0" borderId="0" xfId="2" applyNumberFormat="1" applyFont="1"/>
    <xf numFmtId="0" fontId="46" fillId="0" borderId="0" xfId="2" applyFont="1"/>
    <xf numFmtId="0" fontId="46" fillId="0" borderId="5" xfId="2" applyFont="1" applyBorder="1"/>
    <xf numFmtId="0" fontId="54" fillId="0" borderId="0" xfId="2" applyFont="1"/>
    <xf numFmtId="0" fontId="55" fillId="0" borderId="0" xfId="2" applyFont="1"/>
    <xf numFmtId="0" fontId="56" fillId="0" borderId="0" xfId="2" applyFont="1"/>
    <xf numFmtId="9" fontId="56" fillId="0" borderId="0" xfId="2" applyNumberFormat="1" applyFont="1"/>
    <xf numFmtId="172" fontId="55" fillId="0" borderId="0" xfId="4" applyNumberFormat="1" applyFont="1"/>
    <xf numFmtId="9" fontId="0" fillId="0" borderId="0" xfId="1" applyFont="1" applyAlignment="1"/>
    <xf numFmtId="9" fontId="0" fillId="0" borderId="0" xfId="0" applyNumberFormat="1" applyFont="1" applyAlignment="1"/>
    <xf numFmtId="44" fontId="0" fillId="0" borderId="0" xfId="6" applyFont="1" applyAlignment="1"/>
    <xf numFmtId="0" fontId="57" fillId="0" borderId="0" xfId="0" applyNumberFormat="1" applyFont="1" applyAlignment="1">
      <alignment horizontal="right"/>
    </xf>
    <xf numFmtId="172" fontId="58" fillId="0" borderId="0" xfId="0" applyNumberFormat="1" applyFont="1" applyAlignment="1">
      <alignment horizontal="right"/>
    </xf>
    <xf numFmtId="0" fontId="59" fillId="0" borderId="0" xfId="0" applyFont="1" applyAlignment="1"/>
    <xf numFmtId="0" fontId="60" fillId="5" borderId="0" xfId="0" applyNumberFormat="1" applyFont="1" applyFill="1" applyAlignment="1">
      <alignment horizontal="right"/>
    </xf>
    <xf numFmtId="6" fontId="59" fillId="0" borderId="0" xfId="0" applyNumberFormat="1" applyFont="1" applyAlignment="1"/>
    <xf numFmtId="0" fontId="61" fillId="0" borderId="6" xfId="0" applyFont="1" applyBorder="1" applyAlignment="1"/>
    <xf numFmtId="6" fontId="61" fillId="0" borderId="6" xfId="0" applyNumberFormat="1" applyFont="1" applyBorder="1" applyAlignment="1"/>
    <xf numFmtId="0" fontId="61" fillId="0" borderId="0" xfId="0" applyFont="1" applyAlignment="1"/>
    <xf numFmtId="6" fontId="61" fillId="0" borderId="0" xfId="0" applyNumberFormat="1" applyFont="1" applyAlignment="1"/>
    <xf numFmtId="0" fontId="62" fillId="0" borderId="0" xfId="0" applyFont="1" applyAlignment="1"/>
    <xf numFmtId="9" fontId="62" fillId="0" borderId="0" xfId="1" applyFont="1" applyAlignment="1"/>
  </cellXfs>
  <cellStyles count="7">
    <cellStyle name="Currency" xfId="6" builtinId="4"/>
    <cellStyle name="Currency 2" xfId="4" xr:uid="{88F858DB-A913-A345-8A4C-3BBE123BF914}"/>
    <cellStyle name="Normal" xfId="0" builtinId="0"/>
    <cellStyle name="Normal 2" xfId="2" xr:uid="{3F2098A4-5FB8-604D-ABC4-B5B1FCA000C9}"/>
    <cellStyle name="Normal 2 2" xfId="3" xr:uid="{7892D66F-2876-A243-B64A-266C647D066D}"/>
    <cellStyle name="Percent" xfId="1" builtinId="5"/>
    <cellStyle name="Percent 2" xfId="5" xr:uid="{51986886-FA6C-444E-A99E-35843FE09D3A}"/>
  </cellStyles>
  <dxfs count="580">
    <dxf>
      <font>
        <color rgb="FF9C0006"/>
      </font>
    </dxf>
    <dxf>
      <font>
        <strike val="0"/>
        <color rgb="FFFF0000"/>
      </font>
    </dxf>
    <dxf>
      <font>
        <color rgb="FF9C0006"/>
      </font>
    </dxf>
    <dxf>
      <font>
        <color rgb="FF9C0006"/>
      </font>
    </dxf>
    <dxf>
      <font>
        <strike val="0"/>
        <color rgb="FFFF0000"/>
      </font>
    </dxf>
    <dxf>
      <font>
        <color rgb="FF9C0006"/>
      </font>
    </dxf>
    <dxf>
      <font>
        <color rgb="FF9C0006"/>
      </font>
    </dxf>
    <dxf>
      <font>
        <strike val="0"/>
        <color rgb="FFFF0000"/>
      </font>
    </dxf>
    <dxf>
      <font>
        <color rgb="FF9C0006"/>
      </font>
    </dxf>
    <dxf>
      <font>
        <color rgb="FF9C0006"/>
      </font>
    </dxf>
    <dxf>
      <font>
        <strike val="0"/>
        <color rgb="FFFF0000"/>
      </font>
    </dxf>
    <dxf>
      <font>
        <color rgb="FF9C0006"/>
      </font>
    </dxf>
    <dxf>
      <font>
        <color rgb="FF9C0006"/>
      </font>
    </dxf>
    <dxf>
      <font>
        <strike val="0"/>
        <color rgb="FFFF0000"/>
      </font>
    </dxf>
    <dxf>
      <font>
        <color rgb="FF9C0006"/>
      </font>
    </dxf>
    <dxf>
      <font>
        <color rgb="FF9C0006"/>
      </font>
    </dxf>
    <dxf>
      <font>
        <strike val="0"/>
        <color rgb="FFFF0000"/>
      </font>
    </dxf>
    <dxf>
      <font>
        <color rgb="FF9C0006"/>
      </font>
    </dxf>
    <dxf>
      <font>
        <color rgb="FF9C0006"/>
      </font>
    </dxf>
    <dxf>
      <font>
        <strike val="0"/>
        <color rgb="FFFF0000"/>
      </font>
    </dxf>
    <dxf>
      <font>
        <color rgb="FF9C0006"/>
      </font>
    </dxf>
    <dxf>
      <font>
        <color rgb="FF9C0006"/>
      </font>
    </dxf>
    <dxf>
      <font>
        <strike val="0"/>
        <color rgb="FFFF0000"/>
      </font>
    </dxf>
    <dxf>
      <font>
        <color rgb="FF9C0006"/>
      </font>
    </dxf>
    <dxf>
      <font>
        <color rgb="FF9C0006"/>
      </font>
    </dxf>
    <dxf>
      <font>
        <strike val="0"/>
        <color rgb="FFFF0000"/>
      </font>
    </dxf>
    <dxf>
      <font>
        <color rgb="FF9C0006"/>
      </font>
    </dxf>
    <dxf>
      <font>
        <color rgb="FF9C0006"/>
      </font>
    </dxf>
    <dxf>
      <font>
        <strike val="0"/>
        <color rgb="FFFF0000"/>
      </font>
    </dxf>
    <dxf>
      <font>
        <color rgb="FF9C0006"/>
      </font>
    </dxf>
    <dxf>
      <font>
        <color rgb="FF9C0006"/>
      </font>
    </dxf>
    <dxf>
      <font>
        <strike val="0"/>
        <color rgb="FFFF0000"/>
      </font>
    </dxf>
    <dxf>
      <font>
        <color rgb="FF9C0006"/>
      </font>
    </dxf>
    <dxf>
      <font>
        <color rgb="FF9C0006"/>
      </font>
    </dxf>
    <dxf>
      <font>
        <strike val="0"/>
        <color rgb="FFFF0000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strike val="0"/>
        <color rgb="FFFF0000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strike val="0"/>
        <color rgb="FFFF0000"/>
      </font>
    </dxf>
    <dxf>
      <font>
        <color rgb="FF9C0006"/>
      </font>
    </dxf>
    <dxf>
      <font>
        <color rgb="FF9C0006"/>
      </font>
    </dxf>
    <dxf>
      <font>
        <strike val="0"/>
        <color rgb="FFFF0000"/>
      </font>
    </dxf>
    <dxf>
      <font>
        <color rgb="FF9C0006"/>
      </font>
    </dxf>
    <dxf>
      <font>
        <color rgb="FF9C0006"/>
      </font>
    </dxf>
    <dxf>
      <font>
        <strike val="0"/>
        <color rgb="FFFF0000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strike val="0"/>
        <color rgb="FFFF0000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strike val="0"/>
        <color rgb="FFFF0000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strike val="0"/>
        <color rgb="FFFF0000"/>
      </font>
    </dxf>
    <dxf>
      <font>
        <color rgb="FF9C0006"/>
      </font>
    </dxf>
    <dxf>
      <font>
        <color rgb="FF9C0006"/>
      </font>
    </dxf>
    <dxf>
      <font>
        <strike val="0"/>
        <color rgb="FFFF0000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strike val="0"/>
        <color rgb="FFFF0000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strike val="0"/>
        <color rgb="FFFF0000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strike val="0"/>
        <color rgb="FFFF0000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strike val="0"/>
        <color rgb="FFFF0000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strike val="0"/>
        <color rgb="FFFF0000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strike val="0"/>
        <color rgb="FFFF0000"/>
      </font>
    </dxf>
    <dxf>
      <font>
        <color rgb="FF9C0006"/>
      </font>
    </dxf>
    <dxf>
      <font>
        <color rgb="FF9C0006"/>
      </font>
    </dxf>
    <dxf>
      <font>
        <strike val="0"/>
        <color rgb="FFFF0000"/>
      </font>
    </dxf>
    <dxf>
      <font>
        <color rgb="FF9C0006"/>
      </font>
    </dxf>
    <dxf>
      <font>
        <color rgb="FF9C0006"/>
      </font>
    </dxf>
    <dxf>
      <font>
        <strike val="0"/>
        <color rgb="FFFF0000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strike val="0"/>
        <color rgb="FFFF0000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strike val="0"/>
        <color rgb="FFFF0000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strike val="0"/>
        <color rgb="FFFF0000"/>
      </font>
    </dxf>
    <dxf>
      <font>
        <color rgb="FF9C0006"/>
      </font>
    </dxf>
    <dxf>
      <font>
        <color rgb="FF9C0006"/>
      </font>
    </dxf>
    <dxf>
      <font>
        <strike val="0"/>
        <color rgb="FFFF0000"/>
      </font>
    </dxf>
    <dxf>
      <font>
        <color rgb="FF9C0006"/>
      </font>
    </dxf>
    <dxf>
      <font>
        <color rgb="FF9C0006"/>
      </font>
    </dxf>
    <dxf>
      <font>
        <strike val="0"/>
        <color rgb="FFFF0000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strike val="0"/>
        <color rgb="FFFF0000"/>
      </font>
    </dxf>
    <dxf>
      <font>
        <color rgb="FF9C0006"/>
      </font>
    </dxf>
    <dxf>
      <font>
        <color rgb="FF9C0006"/>
      </font>
    </dxf>
    <dxf>
      <font>
        <strike val="0"/>
        <color rgb="FFFF0000"/>
      </font>
    </dxf>
    <dxf>
      <font>
        <color rgb="FF9C0006"/>
      </font>
    </dxf>
    <dxf>
      <font>
        <color rgb="FF9C0006"/>
      </font>
    </dxf>
    <dxf>
      <font>
        <strike val="0"/>
        <color rgb="FFFF0000"/>
      </font>
    </dxf>
    <dxf>
      <font>
        <color rgb="FF9C0006"/>
      </font>
    </dxf>
    <dxf>
      <font>
        <color rgb="FF9C0006"/>
      </font>
    </dxf>
    <dxf>
      <font>
        <strike val="0"/>
        <color rgb="FFFF0000"/>
      </font>
    </dxf>
    <dxf>
      <font>
        <color rgb="FF9C0006"/>
      </font>
    </dxf>
    <dxf>
      <font>
        <color rgb="FF9C0006"/>
      </font>
    </dxf>
    <dxf>
      <font>
        <strike val="0"/>
        <color rgb="FFFF0000"/>
      </font>
    </dxf>
    <dxf>
      <font>
        <color rgb="FF9C0006"/>
      </font>
    </dxf>
    <dxf>
      <font>
        <color rgb="FF9C0006"/>
      </font>
    </dxf>
    <dxf>
      <font>
        <strike val="0"/>
        <color rgb="FFFF0000"/>
      </font>
    </dxf>
    <dxf>
      <font>
        <color rgb="FF9C0006"/>
      </font>
    </dxf>
    <dxf>
      <font>
        <color rgb="FF9C0006"/>
      </font>
    </dxf>
    <dxf>
      <font>
        <strike val="0"/>
        <color rgb="FFFF0000"/>
      </font>
    </dxf>
    <dxf>
      <font>
        <color rgb="FF9C0006"/>
      </font>
    </dxf>
    <dxf>
      <font>
        <color rgb="FF9C0006"/>
      </font>
    </dxf>
    <dxf>
      <font>
        <strike val="0"/>
        <color rgb="FFFF0000"/>
      </font>
    </dxf>
    <dxf>
      <font>
        <color rgb="FF9C0006"/>
      </font>
    </dxf>
    <dxf>
      <font>
        <color rgb="FF9C0006"/>
      </font>
    </dxf>
    <dxf>
      <font>
        <strike val="0"/>
        <color rgb="FFFF0000"/>
      </font>
    </dxf>
    <dxf>
      <font>
        <color rgb="FF9C0006"/>
      </font>
    </dxf>
    <dxf>
      <font>
        <color rgb="FF9C0006"/>
      </font>
    </dxf>
    <dxf>
      <font>
        <strike val="0"/>
        <color rgb="FFFF0000"/>
      </font>
    </dxf>
    <dxf>
      <font>
        <color rgb="FF9C0006"/>
      </font>
    </dxf>
    <dxf>
      <font>
        <color rgb="FF9C0006"/>
      </font>
    </dxf>
    <dxf>
      <font>
        <strike val="0"/>
        <color rgb="FFFF0000"/>
      </font>
    </dxf>
    <dxf>
      <font>
        <color rgb="FF9C0006"/>
      </font>
    </dxf>
    <dxf>
      <font>
        <color rgb="FF9C0006"/>
      </font>
    </dxf>
    <dxf>
      <font>
        <strike val="0"/>
        <color rgb="FFFF0000"/>
      </font>
    </dxf>
    <dxf>
      <font>
        <color rgb="FF9C0006"/>
      </font>
    </dxf>
    <dxf>
      <font>
        <color rgb="FF9C0006"/>
      </font>
    </dxf>
    <dxf>
      <font>
        <strike val="0"/>
        <color rgb="FFFF0000"/>
      </font>
    </dxf>
    <dxf>
      <font>
        <color rgb="FF9C0006"/>
      </font>
    </dxf>
    <dxf>
      <font>
        <color rgb="FF9C0006"/>
      </font>
    </dxf>
    <dxf>
      <font>
        <strike val="0"/>
        <color rgb="FFFF0000"/>
      </font>
    </dxf>
    <dxf>
      <font>
        <color rgb="FF9C0006"/>
      </font>
    </dxf>
    <dxf>
      <font>
        <color rgb="FF9C0006"/>
      </font>
    </dxf>
    <dxf>
      <font>
        <strike val="0"/>
        <color rgb="FFFF0000"/>
      </font>
    </dxf>
    <dxf>
      <font>
        <color rgb="FF9C0006"/>
      </font>
    </dxf>
    <dxf>
      <font>
        <color rgb="FF9C0006"/>
      </font>
    </dxf>
    <dxf>
      <font>
        <strike val="0"/>
        <color rgb="FFFF0000"/>
      </font>
    </dxf>
    <dxf>
      <font>
        <color rgb="FF9C0006"/>
      </font>
    </dxf>
    <dxf>
      <font>
        <color rgb="FF9C0006"/>
      </font>
    </dxf>
    <dxf>
      <font>
        <strike val="0"/>
        <color rgb="FFFF0000"/>
      </font>
    </dxf>
    <dxf>
      <font>
        <color rgb="FF9C0006"/>
      </font>
    </dxf>
    <dxf>
      <font>
        <color rgb="FF9C0006"/>
      </font>
    </dxf>
    <dxf>
      <font>
        <strike val="0"/>
        <color rgb="FFFF0000"/>
      </font>
    </dxf>
    <dxf>
      <font>
        <color rgb="FF9C0006"/>
      </font>
    </dxf>
    <dxf>
      <font>
        <color rgb="FF9C0006"/>
      </font>
    </dxf>
    <dxf>
      <font>
        <strike val="0"/>
        <color rgb="FFFF0000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strike val="0"/>
        <color rgb="FFFF0000"/>
      </font>
    </dxf>
    <dxf>
      <font>
        <color rgb="FF9C0006"/>
      </font>
    </dxf>
    <dxf>
      <font>
        <color rgb="FF9C0006"/>
      </font>
    </dxf>
    <dxf>
      <font>
        <strike val="0"/>
        <color rgb="FFFF0000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strike val="0"/>
        <color rgb="FFFF0000"/>
      </font>
    </dxf>
    <dxf>
      <font>
        <color rgb="FF9C0006"/>
      </font>
    </dxf>
    <dxf>
      <font>
        <color rgb="FF9C0006"/>
      </font>
    </dxf>
    <dxf>
      <font>
        <strike val="0"/>
        <color rgb="FFFF0000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strike val="0"/>
        <color rgb="FFFF0000"/>
      </font>
    </dxf>
    <dxf>
      <font>
        <color rgb="FF9C0006"/>
      </font>
    </dxf>
    <dxf>
      <font>
        <color rgb="FF9C0006"/>
      </font>
    </dxf>
    <dxf>
      <font>
        <strike val="0"/>
        <color rgb="FFFF0000"/>
      </font>
    </dxf>
    <dxf>
      <font>
        <color rgb="FF9C0006"/>
      </font>
    </dxf>
    <dxf>
      <font>
        <color rgb="FF9C0006"/>
      </font>
    </dxf>
    <dxf>
      <font>
        <strike val="0"/>
        <color rgb="FFFF0000"/>
      </font>
    </dxf>
    <dxf>
      <font>
        <color rgb="FF9C0006"/>
      </font>
    </dxf>
    <dxf>
      <font>
        <color rgb="FF9C0006"/>
      </font>
    </dxf>
    <dxf>
      <font>
        <strike val="0"/>
        <color rgb="FFFF0000"/>
      </font>
    </dxf>
    <dxf>
      <font>
        <color rgb="FF9C0006"/>
      </font>
    </dxf>
    <dxf>
      <font>
        <color rgb="FF9C0006"/>
      </font>
    </dxf>
    <dxf>
      <font>
        <strike val="0"/>
        <color rgb="FFFF0000"/>
      </font>
    </dxf>
    <dxf>
      <font>
        <color rgb="FF9C0006"/>
      </font>
    </dxf>
    <dxf>
      <font>
        <color rgb="FF9C0006"/>
      </font>
    </dxf>
    <dxf>
      <font>
        <strike val="0"/>
        <color rgb="FFFF0000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strike val="0"/>
        <color rgb="FFFF0000"/>
      </font>
    </dxf>
    <dxf>
      <font>
        <color rgb="FF9C0006"/>
      </font>
    </dxf>
    <dxf>
      <font>
        <color rgb="FF9C0006"/>
      </font>
    </dxf>
    <dxf>
      <font>
        <strike val="0"/>
        <color rgb="FFFF0000"/>
      </font>
    </dxf>
    <dxf>
      <font>
        <color rgb="FF9C0006"/>
      </font>
    </dxf>
    <dxf>
      <font>
        <color rgb="FF9C0006"/>
      </font>
    </dxf>
    <dxf>
      <font>
        <strike val="0"/>
        <color rgb="FFFF0000"/>
      </font>
    </dxf>
    <dxf>
      <font>
        <color rgb="FF9C0006"/>
      </font>
    </dxf>
    <dxf>
      <font>
        <color rgb="FF9C0006"/>
      </font>
    </dxf>
    <dxf>
      <font>
        <strike val="0"/>
        <color rgb="FFFF0000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strike val="0"/>
        <color rgb="FFFF0000"/>
      </font>
    </dxf>
    <dxf>
      <font>
        <color rgb="FF9C0006"/>
      </font>
    </dxf>
    <dxf>
      <font>
        <color rgb="FF9C0006"/>
      </font>
    </dxf>
    <dxf>
      <font>
        <strike val="0"/>
        <color rgb="FFFF0000"/>
      </font>
    </dxf>
    <dxf>
      <font>
        <color rgb="FF9C0006"/>
      </font>
    </dxf>
    <dxf>
      <font>
        <strike val="0"/>
        <color rgb="FFFF0000"/>
      </font>
    </dxf>
    <dxf>
      <font>
        <color rgb="FF9C0006"/>
      </font>
    </dxf>
    <dxf>
      <font>
        <color rgb="FF9C0006"/>
      </font>
    </dxf>
    <dxf>
      <font>
        <strike val="0"/>
        <color rgb="FFFF0000"/>
      </font>
    </dxf>
    <dxf>
      <font>
        <color rgb="FF9C0006"/>
      </font>
    </dxf>
    <dxf>
      <font>
        <color rgb="FF9C0006"/>
      </font>
    </dxf>
    <dxf>
      <font>
        <strike val="0"/>
        <color rgb="FFFF0000"/>
      </font>
    </dxf>
    <dxf>
      <font>
        <color rgb="FF9C0006"/>
      </font>
    </dxf>
    <dxf>
      <font>
        <color rgb="FF9C0006"/>
      </font>
    </dxf>
    <dxf>
      <font>
        <strike val="0"/>
        <color rgb="FFFF0000"/>
      </font>
    </dxf>
    <dxf>
      <font>
        <color rgb="FF9C0006"/>
      </font>
    </dxf>
    <dxf>
      <font>
        <color rgb="FF9C0006"/>
      </font>
    </dxf>
    <dxf>
      <font>
        <strike val="0"/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strike val="0"/>
        <color rgb="FFFF0000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strike val="0"/>
        <color rgb="FFFF0000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strike val="0"/>
        <color rgb="FFFF0000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strike val="0"/>
        <color rgb="FFFF0000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strike val="0"/>
        <color rgb="FFFF0000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strike val="0"/>
        <color rgb="FFFF0000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strike val="0"/>
        <color rgb="FFFF0000"/>
      </font>
    </dxf>
    <dxf>
      <font>
        <color rgb="FF9C0006"/>
      </font>
    </dxf>
    <dxf>
      <font>
        <color rgb="FF9C0006"/>
      </font>
    </dxf>
    <dxf>
      <font>
        <strike val="0"/>
        <color rgb="FFFF0000"/>
      </font>
    </dxf>
    <dxf>
      <font>
        <color rgb="FF9C0006"/>
      </font>
    </dxf>
    <dxf>
      <font>
        <color rgb="FF9C0006"/>
      </font>
    </dxf>
    <dxf>
      <font>
        <strike val="0"/>
        <color rgb="FFFF0000"/>
      </font>
    </dxf>
    <dxf>
      <font>
        <color rgb="FF9C0006"/>
      </font>
    </dxf>
    <dxf>
      <font>
        <color rgb="FF9C0006"/>
      </font>
    </dxf>
    <dxf>
      <font>
        <strike val="0"/>
        <color rgb="FFFF0000"/>
      </font>
    </dxf>
    <dxf>
      <font>
        <color rgb="FF9C0006"/>
      </font>
    </dxf>
    <dxf>
      <font>
        <color rgb="FF9C0006"/>
      </font>
    </dxf>
    <dxf>
      <font>
        <strike val="0"/>
        <color rgb="FFFF0000"/>
      </font>
    </dxf>
    <dxf>
      <font>
        <color rgb="FF9C0006"/>
      </font>
    </dxf>
    <dxf>
      <font>
        <color rgb="FF9C0006"/>
      </font>
    </dxf>
    <dxf>
      <font>
        <strike val="0"/>
        <color rgb="FFFF0000"/>
      </font>
    </dxf>
    <dxf>
      <font>
        <color rgb="FF9C0006"/>
      </font>
    </dxf>
    <dxf>
      <font>
        <color rgb="FF9C0006"/>
      </font>
    </dxf>
    <dxf>
      <font>
        <strike val="0"/>
        <color rgb="FFFF0000"/>
      </font>
    </dxf>
    <dxf>
      <font>
        <color rgb="FF9C0006"/>
      </font>
    </dxf>
    <dxf>
      <font>
        <color rgb="FF9C0006"/>
      </font>
    </dxf>
    <dxf>
      <font>
        <strike val="0"/>
        <color rgb="FFFF0000"/>
      </font>
    </dxf>
    <dxf>
      <font>
        <color rgb="FF9C0006"/>
      </font>
    </dxf>
    <dxf>
      <font>
        <color rgb="FF9C0006"/>
      </font>
    </dxf>
    <dxf>
      <font>
        <strike val="0"/>
        <color rgb="FFFF0000"/>
      </font>
    </dxf>
    <dxf>
      <font>
        <color rgb="FF9C0006"/>
      </font>
    </dxf>
    <dxf>
      <font>
        <color rgb="FF9C0006"/>
      </font>
    </dxf>
    <dxf>
      <font>
        <strike val="0"/>
        <color rgb="FFFF0000"/>
      </font>
    </dxf>
    <dxf>
      <font>
        <color rgb="FF9C0006"/>
      </font>
    </dxf>
    <dxf>
      <font>
        <color rgb="FF9C0006"/>
      </font>
    </dxf>
    <dxf>
      <font>
        <strike val="0"/>
        <color rgb="FFFF0000"/>
      </font>
    </dxf>
    <dxf>
      <font>
        <color rgb="FF9C0006"/>
      </font>
    </dxf>
    <dxf>
      <font>
        <color rgb="FF9C0006"/>
      </font>
    </dxf>
    <dxf>
      <font>
        <strike val="0"/>
        <color rgb="FFFF0000"/>
      </font>
    </dxf>
    <dxf>
      <font>
        <color rgb="FF9C0006"/>
      </font>
    </dxf>
    <dxf>
      <font>
        <color rgb="FF9C0006"/>
      </font>
    </dxf>
    <dxf>
      <font>
        <strike val="0"/>
        <color rgb="FFFF0000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strike val="0"/>
        <color rgb="FFFF0000"/>
      </font>
    </dxf>
    <dxf>
      <font>
        <color rgb="FF9C0006"/>
      </font>
    </dxf>
    <dxf>
      <font>
        <color rgb="FF9C0006"/>
      </font>
    </dxf>
    <dxf>
      <font>
        <strike val="0"/>
        <color rgb="FFFF0000"/>
      </font>
    </dxf>
    <dxf>
      <font>
        <color rgb="FF9C0006"/>
      </font>
    </dxf>
    <dxf>
      <font>
        <color rgb="FF9C0006"/>
      </font>
    </dxf>
    <dxf>
      <font>
        <strike val="0"/>
        <color rgb="FFFF0000"/>
      </font>
    </dxf>
    <dxf>
      <font>
        <color rgb="FF9C0006"/>
      </font>
    </dxf>
    <dxf>
      <font>
        <color rgb="FF9C0006"/>
      </font>
    </dxf>
    <dxf>
      <font>
        <strike val="0"/>
        <color rgb="FFFF0000"/>
      </font>
    </dxf>
    <dxf>
      <font>
        <color rgb="FF9C0006"/>
      </font>
    </dxf>
    <dxf>
      <font>
        <color rgb="FF9C0006"/>
      </font>
    </dxf>
    <dxf>
      <font>
        <strike val="0"/>
        <color rgb="FFFF0000"/>
      </font>
    </dxf>
    <dxf>
      <font>
        <color rgb="FF9C0006"/>
      </font>
    </dxf>
    <dxf>
      <font>
        <color rgb="FF9C0006"/>
      </font>
    </dxf>
    <dxf>
      <font>
        <strike val="0"/>
        <color rgb="FFFF0000"/>
      </font>
    </dxf>
    <dxf>
      <font>
        <color rgb="FF9C0006"/>
      </font>
    </dxf>
    <dxf>
      <font>
        <color rgb="FF9C0006"/>
      </font>
    </dxf>
    <dxf>
      <font>
        <strike val="0"/>
        <color rgb="FFFF0000"/>
      </font>
    </dxf>
    <dxf>
      <font>
        <color rgb="FF9C0006"/>
      </font>
    </dxf>
    <dxf>
      <font>
        <color rgb="FF9C0006"/>
      </font>
    </dxf>
    <dxf>
      <font>
        <strike val="0"/>
        <color rgb="FFFF0000"/>
      </font>
    </dxf>
    <dxf>
      <font>
        <color rgb="FF9C0006"/>
      </font>
    </dxf>
    <dxf>
      <font>
        <color rgb="FF9C0006"/>
      </font>
    </dxf>
    <dxf>
      <font>
        <strike val="0"/>
        <color rgb="FFFF0000"/>
      </font>
    </dxf>
    <dxf>
      <font>
        <color rgb="FF9C0006"/>
      </font>
    </dxf>
    <dxf>
      <font>
        <color rgb="FF9C0006"/>
      </font>
    </dxf>
    <dxf>
      <font>
        <strike val="0"/>
        <color rgb="FFFF0000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strike val="0"/>
        <color rgb="FFFF0000"/>
      </font>
    </dxf>
    <dxf>
      <font>
        <color rgb="FF9C0006"/>
      </font>
    </dxf>
    <dxf>
      <font>
        <color rgb="FF9C0006"/>
      </font>
    </dxf>
    <dxf>
      <font>
        <strike val="0"/>
        <color rgb="FFFF0000"/>
      </font>
    </dxf>
    <dxf>
      <font>
        <color rgb="FF9C0006"/>
      </font>
    </dxf>
    <dxf>
      <font>
        <color rgb="FF9C0006"/>
      </font>
    </dxf>
    <dxf>
      <font>
        <strike val="0"/>
        <color rgb="FFFF0000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strike val="0"/>
        <color rgb="FFFF0000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strike val="0"/>
        <color rgb="FFFF0000"/>
      </font>
    </dxf>
    <dxf>
      <font>
        <color rgb="FF9C0006"/>
      </font>
    </dxf>
    <dxf>
      <font>
        <color rgb="FF9C0006"/>
      </font>
    </dxf>
    <dxf>
      <font>
        <strike val="0"/>
        <color rgb="FFFF0000"/>
      </font>
    </dxf>
    <dxf>
      <font>
        <color rgb="FF9C0006"/>
      </font>
    </dxf>
    <dxf>
      <font>
        <color rgb="FF9C0006"/>
      </font>
    </dxf>
    <dxf>
      <font>
        <strike val="0"/>
        <color rgb="FFFF0000"/>
      </font>
    </dxf>
    <dxf>
      <font>
        <color rgb="FF9C0006"/>
      </font>
    </dxf>
    <dxf>
      <font>
        <color rgb="FF9C0006"/>
      </font>
    </dxf>
    <dxf>
      <font>
        <strike val="0"/>
        <color rgb="FFFF0000"/>
      </font>
    </dxf>
    <dxf>
      <font>
        <color rgb="FF9C0006"/>
      </font>
    </dxf>
    <dxf>
      <font>
        <color rgb="FF9C0006"/>
      </font>
    </dxf>
    <dxf>
      <font>
        <strike val="0"/>
        <color rgb="FFFF0000"/>
      </font>
    </dxf>
    <dxf>
      <font>
        <color rgb="FF9C0006"/>
      </font>
    </dxf>
    <dxf>
      <font>
        <color rgb="FF9C0006"/>
      </font>
    </dxf>
    <dxf>
      <font>
        <strike val="0"/>
        <color rgb="FFFF0000"/>
      </font>
    </dxf>
    <dxf>
      <font>
        <color rgb="FF9C0006"/>
      </font>
    </dxf>
    <dxf>
      <font>
        <color rgb="FF9C0006"/>
      </font>
    </dxf>
    <dxf>
      <font>
        <strike val="0"/>
        <color rgb="FFFF0000"/>
      </font>
    </dxf>
    <dxf>
      <font>
        <color rgb="FF9C0006"/>
      </font>
    </dxf>
    <dxf>
      <font>
        <color rgb="FF9C0006"/>
      </font>
    </dxf>
    <dxf>
      <font>
        <strike val="0"/>
        <color rgb="FFFF0000"/>
      </font>
    </dxf>
    <dxf>
      <font>
        <color rgb="FF9C0006"/>
      </font>
    </dxf>
    <dxf>
      <font>
        <color rgb="FF9C0006"/>
      </font>
    </dxf>
    <dxf>
      <font>
        <strike val="0"/>
        <color rgb="FFFF0000"/>
      </font>
    </dxf>
    <dxf>
      <font>
        <color rgb="FF9C0006"/>
      </font>
    </dxf>
    <dxf>
      <font>
        <color rgb="FF9C0006"/>
      </font>
    </dxf>
    <dxf>
      <font>
        <strike val="0"/>
        <color rgb="FFFF0000"/>
      </font>
    </dxf>
    <dxf>
      <font>
        <color rgb="FF9C0006"/>
      </font>
    </dxf>
    <dxf>
      <font>
        <color rgb="FF9C0006"/>
      </font>
    </dxf>
    <dxf>
      <font>
        <strike val="0"/>
        <color rgb="FFFF0000"/>
      </font>
    </dxf>
    <dxf>
      <font>
        <color rgb="FF9C0006"/>
      </font>
    </dxf>
    <dxf>
      <font>
        <color rgb="FF9C0006"/>
      </font>
    </dxf>
    <dxf>
      <font>
        <strike val="0"/>
        <color rgb="FFFF0000"/>
      </font>
    </dxf>
    <dxf>
      <font>
        <color rgb="FF9C0006"/>
      </font>
    </dxf>
    <dxf>
      <font>
        <color rgb="FF9C0006"/>
      </font>
    </dxf>
    <dxf>
      <font>
        <strike val="0"/>
        <color rgb="FFFF0000"/>
      </font>
    </dxf>
    <dxf>
      <font>
        <color rgb="FF9C0006"/>
      </font>
    </dxf>
    <dxf>
      <font>
        <color rgb="FF9C0006"/>
      </font>
    </dxf>
    <dxf>
      <font>
        <strike val="0"/>
        <color rgb="FFFF0000"/>
      </font>
    </dxf>
    <dxf>
      <font>
        <color rgb="FF9C0006"/>
      </font>
    </dxf>
    <dxf>
      <font>
        <color rgb="FF9C0006"/>
      </font>
    </dxf>
    <dxf>
      <font>
        <strike val="0"/>
        <color rgb="FFFF0000"/>
      </font>
    </dxf>
    <dxf>
      <font>
        <color rgb="FF9C0006"/>
      </font>
    </dxf>
    <dxf>
      <font>
        <color rgb="FF9C0006"/>
      </font>
    </dxf>
    <dxf>
      <font>
        <strike val="0"/>
        <color rgb="FFFF0000"/>
      </font>
    </dxf>
    <dxf>
      <font>
        <color rgb="FF9C0006"/>
      </font>
    </dxf>
    <dxf>
      <font>
        <color rgb="FF9C0006"/>
      </font>
    </dxf>
    <dxf>
      <font>
        <strike val="0"/>
        <color rgb="FFFF0000"/>
      </font>
    </dxf>
    <dxf>
      <font>
        <color rgb="FF9C0006"/>
      </font>
    </dxf>
    <dxf>
      <font>
        <color rgb="FF9C0006"/>
      </font>
    </dxf>
    <dxf>
      <font>
        <strike val="0"/>
        <color rgb="FFFF0000"/>
      </font>
    </dxf>
    <dxf>
      <font>
        <color rgb="FF9C0006"/>
      </font>
    </dxf>
    <dxf>
      <font>
        <color rgb="FF9C0006"/>
      </font>
    </dxf>
    <dxf>
      <font>
        <strike val="0"/>
        <color rgb="FFFF0000"/>
      </font>
    </dxf>
    <dxf>
      <font>
        <color rgb="FF9C0006"/>
      </font>
    </dxf>
    <dxf>
      <font>
        <color rgb="FF9C0006"/>
      </font>
    </dxf>
    <dxf>
      <font>
        <strike val="0"/>
        <color rgb="FFFF0000"/>
      </font>
    </dxf>
    <dxf>
      <font>
        <color rgb="FF9C0006"/>
      </font>
    </dxf>
    <dxf>
      <font>
        <color rgb="FF9C0006"/>
      </font>
    </dxf>
    <dxf>
      <font>
        <strike val="0"/>
        <color rgb="FFFF0000"/>
      </font>
    </dxf>
    <dxf>
      <font>
        <color rgb="FF9C0006"/>
      </font>
    </dxf>
    <dxf>
      <font>
        <color rgb="FF9C0006"/>
      </font>
    </dxf>
    <dxf>
      <font>
        <strike val="0"/>
        <color rgb="FFFF0000"/>
      </font>
    </dxf>
    <dxf>
      <font>
        <color rgb="FF9C0006"/>
      </font>
    </dxf>
    <dxf>
      <font>
        <color rgb="FF9C0006"/>
      </font>
    </dxf>
    <dxf>
      <font>
        <strike val="0"/>
        <color rgb="FFFF0000"/>
      </font>
    </dxf>
    <dxf>
      <font>
        <color rgb="FF9C0006"/>
      </font>
    </dxf>
    <dxf>
      <font>
        <color rgb="FF9C0006"/>
      </font>
    </dxf>
    <dxf>
      <font>
        <strike val="0"/>
        <color rgb="FFFF0000"/>
      </font>
    </dxf>
    <dxf>
      <font>
        <color rgb="FF9C0006"/>
      </font>
    </dxf>
    <dxf>
      <font>
        <color rgb="FF9C0006"/>
      </font>
    </dxf>
    <dxf>
      <font>
        <strike val="0"/>
        <color rgb="FFFF0000"/>
      </font>
    </dxf>
    <dxf>
      <font>
        <color rgb="FF9C0006"/>
      </font>
    </dxf>
    <dxf>
      <font>
        <color rgb="FF9C0006"/>
      </font>
    </dxf>
    <dxf>
      <font>
        <strike val="0"/>
        <color rgb="FFFF0000"/>
      </font>
    </dxf>
    <dxf>
      <font>
        <color rgb="FF9C0006"/>
      </font>
    </dxf>
    <dxf>
      <font>
        <color rgb="FF9C0006"/>
      </font>
    </dxf>
    <dxf>
      <font>
        <strike val="0"/>
        <color rgb="FFFF0000"/>
      </font>
    </dxf>
    <dxf>
      <font>
        <color rgb="FF9C0006"/>
      </font>
    </dxf>
    <dxf>
      <font>
        <color rgb="FF9C0006"/>
      </font>
    </dxf>
    <dxf>
      <font>
        <strike val="0"/>
        <color rgb="FFFF0000"/>
      </font>
    </dxf>
    <dxf>
      <font>
        <color rgb="FF9C0006"/>
      </font>
    </dxf>
    <dxf>
      <font>
        <color rgb="FF9C0006"/>
      </font>
    </dxf>
    <dxf>
      <font>
        <strike val="0"/>
        <color rgb="FFFF0000"/>
      </font>
    </dxf>
    <dxf>
      <font>
        <color rgb="FF9C0006"/>
      </font>
    </dxf>
    <dxf>
      <font>
        <color rgb="FF9C0006"/>
      </font>
    </dxf>
    <dxf>
      <font>
        <strike val="0"/>
        <color rgb="FFFF0000"/>
      </font>
    </dxf>
    <dxf>
      <font>
        <color rgb="FF9C0006"/>
      </font>
    </dxf>
    <dxf>
      <font>
        <color rgb="FF9C0006"/>
      </font>
    </dxf>
    <dxf>
      <font>
        <strike val="0"/>
        <color rgb="FFFF0000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strike val="0"/>
        <color rgb="FFFF0000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strike val="0"/>
        <color rgb="FFFF0000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strike val="0"/>
        <color rgb="FFFF0000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strike val="0"/>
        <color rgb="FFFF0000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strike val="0"/>
        <color rgb="FFFF0000"/>
      </font>
    </dxf>
    <dxf>
      <font>
        <color rgb="FF9C0006"/>
      </font>
    </dxf>
    <dxf>
      <font>
        <color rgb="FF9C0006"/>
      </font>
    </dxf>
    <dxf>
      <font>
        <strike val="0"/>
        <color rgb="FFFF0000"/>
      </font>
    </dxf>
    <dxf>
      <font>
        <color rgb="FF9C0006"/>
      </font>
    </dxf>
    <dxf>
      <font>
        <color rgb="FF9C0006"/>
      </font>
    </dxf>
    <dxf>
      <font>
        <strike val="0"/>
        <color rgb="FFFF0000"/>
      </font>
    </dxf>
    <dxf>
      <font>
        <color rgb="FF9C0006"/>
      </font>
    </dxf>
    <dxf>
      <font>
        <color rgb="FF9C0006"/>
      </font>
    </dxf>
    <dxf>
      <font>
        <strike val="0"/>
        <color rgb="FFFF0000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strike val="0"/>
        <color rgb="FFFF0000"/>
      </font>
    </dxf>
    <dxf>
      <font>
        <color rgb="FF9C0006"/>
      </font>
    </dxf>
    <dxf>
      <font>
        <color rgb="FF9C0006"/>
      </font>
    </dxf>
    <dxf>
      <font>
        <strike val="0"/>
        <color rgb="FFFF0000"/>
      </font>
    </dxf>
    <dxf>
      <font>
        <color rgb="FF9C0006"/>
      </font>
    </dxf>
    <dxf>
      <font>
        <color rgb="FF9C0006"/>
      </font>
    </dxf>
    <dxf>
      <font>
        <strike val="0"/>
        <color rgb="FFFF0000"/>
      </font>
    </dxf>
    <dxf>
      <font>
        <color rgb="FF9C0006"/>
      </font>
    </dxf>
    <dxf>
      <font>
        <color rgb="FF9C0006"/>
      </font>
    </dxf>
    <dxf>
      <font>
        <strike val="0"/>
        <color rgb="FFFF0000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strike val="0"/>
        <color rgb="FFFF0000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strike val="0"/>
        <color rgb="FFFF0000"/>
      </font>
    </dxf>
    <dxf>
      <font>
        <color rgb="FF9C0006"/>
      </font>
    </dxf>
    <dxf>
      <font>
        <strike val="0"/>
        <color rgb="FFFF0000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strike val="0"/>
        <color rgb="FFFF0000"/>
      </font>
    </dxf>
    <dxf>
      <font>
        <color rgb="FF9C0006"/>
      </font>
    </dxf>
    <dxf>
      <font>
        <color rgb="FF9C0006"/>
      </font>
    </dxf>
    <dxf>
      <font>
        <strike val="0"/>
        <color rgb="FFFF0000"/>
      </font>
    </dxf>
    <dxf>
      <font>
        <color rgb="FF9C0006"/>
      </font>
    </dxf>
    <dxf>
      <font>
        <color rgb="FF9C0006"/>
      </font>
    </dxf>
    <dxf>
      <font>
        <strike val="0"/>
        <color rgb="FFFF0000"/>
      </font>
    </dxf>
    <dxf>
      <font>
        <color rgb="FF9C0006"/>
      </font>
    </dxf>
    <dxf>
      <font>
        <color rgb="FF9C0006"/>
      </font>
    </dxf>
    <dxf>
      <font>
        <strike val="0"/>
        <color rgb="FFFF0000"/>
      </font>
    </dxf>
    <dxf>
      <font>
        <color rgb="FF9C0006"/>
      </font>
    </dxf>
    <dxf>
      <font>
        <color rgb="FF9C0006"/>
      </font>
    </dxf>
    <dxf>
      <font>
        <strike val="0"/>
        <color rgb="FFFF0000"/>
      </font>
    </dxf>
    <dxf>
      <font>
        <color rgb="FF9C0006"/>
      </font>
    </dxf>
    <dxf>
      <font>
        <color rgb="FF9C0006"/>
      </font>
    </dxf>
    <dxf>
      <font>
        <strike val="0"/>
        <color rgb="FFFF0000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strike val="0"/>
        <color rgb="FFFF0000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69283</xdr:colOff>
      <xdr:row>2</xdr:row>
      <xdr:rowOff>41204</xdr:rowOff>
    </xdr:from>
    <xdr:ext cx="1411791" cy="422327"/>
    <xdr:pic>
      <xdr:nvPicPr>
        <xdr:cNvPr id="2" name="Picture 1">
          <a:extLst>
            <a:ext uri="{FF2B5EF4-FFF2-40B4-BE49-F238E27FC236}">
              <a16:creationId xmlns:a16="http://schemas.microsoft.com/office/drawing/2014/main" id="{B5F36624-BDE4-9F47-84AC-02E851E9CAEB}"/>
            </a:ext>
          </a:extLst>
        </xdr:cNvPr>
        <xdr:cNvPicPr/>
      </xdr:nvPicPr>
      <xdr:blipFill rotWithShape="1"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1613" r="3904" b="9680"/>
        <a:stretch/>
      </xdr:blipFill>
      <xdr:spPr bwMode="auto">
        <a:xfrm>
          <a:off x="742383" y="396804"/>
          <a:ext cx="1411791" cy="422327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PUR%20standard%20model%20-%20AC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Sheet1"/>
    </sheetNames>
    <sheetDataSet>
      <sheetData sheetId="0">
        <row r="16">
          <cell r="Q16">
            <v>214.83</v>
          </cell>
        </row>
        <row r="19">
          <cell r="Q19">
            <v>477.40000000000003</v>
          </cell>
        </row>
        <row r="53">
          <cell r="J53">
            <v>1</v>
          </cell>
          <cell r="K53">
            <v>2</v>
          </cell>
          <cell r="L53">
            <v>3</v>
          </cell>
          <cell r="M53">
            <v>4</v>
          </cell>
          <cell r="N53">
            <v>5</v>
          </cell>
          <cell r="O53">
            <v>6</v>
          </cell>
          <cell r="P53">
            <v>7</v>
          </cell>
        </row>
        <row r="158">
          <cell r="J158">
            <v>0</v>
          </cell>
        </row>
        <row r="165">
          <cell r="E165">
            <v>5</v>
          </cell>
        </row>
        <row r="167">
          <cell r="G167">
            <v>4206.7095977984018</v>
          </cell>
        </row>
        <row r="169">
          <cell r="G169">
            <v>21033.54798899201</v>
          </cell>
        </row>
        <row r="170">
          <cell r="G170">
            <v>3087.8480159883111</v>
          </cell>
        </row>
        <row r="171">
          <cell r="G171">
            <v>23201.419890988305</v>
          </cell>
        </row>
        <row r="184">
          <cell r="J184">
            <v>317.37040000000007</v>
          </cell>
          <cell r="K184">
            <v>634.74080000000015</v>
          </cell>
          <cell r="L184">
            <v>952.11120000000028</v>
          </cell>
          <cell r="M184">
            <v>1269.4816000000003</v>
          </cell>
          <cell r="N184">
            <v>1586.8520000000003</v>
          </cell>
          <cell r="O184">
            <v>1586.8520000000003</v>
          </cell>
          <cell r="P184">
            <v>1586.8520000000003</v>
          </cell>
        </row>
        <row r="186">
          <cell r="Q186">
            <v>1114.3465667566416</v>
          </cell>
        </row>
        <row r="187">
          <cell r="Q187">
            <v>17086.647356935173</v>
          </cell>
          <cell r="R187">
            <v>0.33840720057487483</v>
          </cell>
          <cell r="S187">
            <v>3.7144885558554726</v>
          </cell>
        </row>
        <row r="189">
          <cell r="Q189">
            <v>5800.3549727470763</v>
          </cell>
        </row>
        <row r="198">
          <cell r="I198">
            <v>0.47148035168647762</v>
          </cell>
        </row>
        <row r="199">
          <cell r="I199">
            <v>5.5717328337832077</v>
          </cell>
        </row>
        <row r="203">
          <cell r="Q203">
            <v>707.17328337832078</v>
          </cell>
        </row>
        <row r="204">
          <cell r="I204">
            <v>0.33928727507591261</v>
          </cell>
        </row>
        <row r="205">
          <cell r="I205">
            <v>3.5358664168916039</v>
          </cell>
        </row>
        <row r="207">
          <cell r="Q207">
            <v>407.17328337832089</v>
          </cell>
        </row>
      </sheetData>
      <sheetData sheetId="1">
        <row r="7">
          <cell r="D7">
            <v>2387</v>
          </cell>
        </row>
        <row r="8">
          <cell r="D8">
            <v>0.1467</v>
          </cell>
        </row>
        <row r="9">
          <cell r="D9">
            <v>0.12</v>
          </cell>
        </row>
        <row r="12">
          <cell r="D12">
            <v>4.5</v>
          </cell>
        </row>
        <row r="13">
          <cell r="D13">
            <v>2.8</v>
          </cell>
        </row>
        <row r="21">
          <cell r="D21">
            <v>600</v>
          </cell>
        </row>
        <row r="24">
          <cell r="D24">
            <v>5</v>
          </cell>
        </row>
        <row r="26">
          <cell r="D26">
            <v>5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1A538-2EC5-2342-9DCA-BCCC1EF3D8E3}">
  <dimension ref="A1:K27"/>
  <sheetViews>
    <sheetView showGridLines="0" tabSelected="1" zoomScale="200" zoomScaleNormal="200" workbookViewId="0">
      <selection activeCell="I12" sqref="I12"/>
    </sheetView>
  </sheetViews>
  <sheetFormatPr baseColWidth="10" defaultRowHeight="13" x14ac:dyDescent="0.15"/>
  <cols>
    <col min="1" max="1" width="10.83203125" customWidth="1"/>
    <col min="3" max="3" width="13.1640625" bestFit="1" customWidth="1"/>
    <col min="8" max="8" width="14" customWidth="1"/>
    <col min="10" max="10" width="17.83203125" bestFit="1" customWidth="1"/>
  </cols>
  <sheetData>
    <row r="1" spans="1:11" x14ac:dyDescent="0.15">
      <c r="G1" s="324">
        <f>(G4/B4)^(1/6) -1</f>
        <v>0.22561788408317374</v>
      </c>
      <c r="H1" t="s">
        <v>364</v>
      </c>
    </row>
    <row r="2" spans="1:11" x14ac:dyDescent="0.15">
      <c r="C2" s="324">
        <f>(C4-B4)/B4</f>
        <v>0.11132833158220008</v>
      </c>
      <c r="D2" s="324">
        <f t="shared" ref="D2:G2" si="0">(D4-C4)/C4</f>
        <v>0.60126808878198357</v>
      </c>
      <c r="E2" s="324">
        <f t="shared" si="0"/>
        <v>0.41739506477025523</v>
      </c>
      <c r="F2" s="324">
        <f t="shared" si="0"/>
        <v>0.1386913415775298</v>
      </c>
      <c r="G2" s="324">
        <f t="shared" si="0"/>
        <v>0.18012270892376905</v>
      </c>
      <c r="H2" t="s">
        <v>487</v>
      </c>
      <c r="I2" s="325">
        <f>AVERAGE(C2:G2)</f>
        <v>0.28976110712714753</v>
      </c>
    </row>
    <row r="3" spans="1:11" ht="14" x14ac:dyDescent="0.15">
      <c r="A3" s="329"/>
      <c r="B3" s="330">
        <v>2015</v>
      </c>
      <c r="C3" s="330">
        <v>2016</v>
      </c>
      <c r="D3" s="330">
        <v>2017</v>
      </c>
      <c r="E3" s="330">
        <v>2018</v>
      </c>
      <c r="F3" s="330">
        <v>2019</v>
      </c>
      <c r="G3" s="330">
        <v>2020</v>
      </c>
      <c r="H3" s="327">
        <v>2021</v>
      </c>
      <c r="J3" s="326">
        <f>SLOPE(B4:G4,B3:G3)</f>
        <v>2167791.7085714284</v>
      </c>
      <c r="K3" t="s">
        <v>488</v>
      </c>
    </row>
    <row r="4" spans="1:11" ht="14" x14ac:dyDescent="0.15">
      <c r="A4" s="329" t="s">
        <v>257</v>
      </c>
      <c r="B4" s="331">
        <f>'Yearly IS'!B13</f>
        <v>4221609.4800000004</v>
      </c>
      <c r="C4" s="331">
        <f>'Yearly IS'!C13</f>
        <v>4691594.22</v>
      </c>
      <c r="D4" s="331">
        <f>'Yearly IS'!D13</f>
        <v>7512500.1100000003</v>
      </c>
      <c r="E4" s="331">
        <f>'Yearly IS'!E13</f>
        <v>10648180.58</v>
      </c>
      <c r="F4" s="331">
        <f>'Yearly IS'!F13</f>
        <v>12124991.029999999</v>
      </c>
      <c r="G4" s="331">
        <f>'Yearly IS'!G13</f>
        <v>14308977.26</v>
      </c>
      <c r="H4" s="328">
        <f>J3+G4+J4</f>
        <v>16478782.452240985</v>
      </c>
      <c r="J4" s="326">
        <f>INTERCEPT(B3:G3,B4:G4)</f>
        <v>2013.4836695575841</v>
      </c>
      <c r="K4" t="s">
        <v>489</v>
      </c>
    </row>
    <row r="5" spans="1:11" x14ac:dyDescent="0.15">
      <c r="A5" s="329" t="s">
        <v>260</v>
      </c>
      <c r="B5" s="331">
        <f>'Yearly IS'!B5+'Yearly IS'!B6+'Yearly IS'!B7+'Yearly IS'!B8+'Yearly IS'!B9+'Yearly IS'!B10+'Yearly IS'!B11+'Yearly IS'!B12+'Yearly IS'!B14</f>
        <v>1258218.9900000002</v>
      </c>
      <c r="C5" s="331">
        <f>'Yearly IS'!C5+'Yearly IS'!C6+'Yearly IS'!C7+'Yearly IS'!C8+'Yearly IS'!C9+'Yearly IS'!C10+'Yearly IS'!C11+'Yearly IS'!C12+'Yearly IS'!C14</f>
        <v>1432164.71</v>
      </c>
      <c r="D5" s="331">
        <f>'Yearly IS'!D5+'Yearly IS'!D6+'Yearly IS'!D7+'Yearly IS'!D8+'Yearly IS'!D9+'Yearly IS'!D10+'Yearly IS'!D11+'Yearly IS'!D12+'Yearly IS'!D14</f>
        <v>1512577.41</v>
      </c>
      <c r="E5" s="331">
        <f>'Yearly IS'!E5+'Yearly IS'!E6+'Yearly IS'!E7+'Yearly IS'!E8+'Yearly IS'!E9+'Yearly IS'!E10+'Yearly IS'!E11+'Yearly IS'!E12+'Yearly IS'!E14</f>
        <v>1369380.38</v>
      </c>
      <c r="F5" s="331">
        <f>'Yearly IS'!F5+'Yearly IS'!F6+'Yearly IS'!F7+'Yearly IS'!F8+'Yearly IS'!F9+'Yearly IS'!F10+'Yearly IS'!F11+'Yearly IS'!F12+'Yearly IS'!F14</f>
        <v>2705389.2500000005</v>
      </c>
      <c r="G5" s="331">
        <f>'Yearly IS'!G5+'Yearly IS'!G6+'Yearly IS'!G7+'Yearly IS'!G8+'Yearly IS'!G9+'Yearly IS'!G10+'Yearly IS'!G11+'Yearly IS'!G12+'Yearly IS'!G14</f>
        <v>1970079.66</v>
      </c>
    </row>
    <row r="6" spans="1:11" x14ac:dyDescent="0.15">
      <c r="A6" s="332" t="s">
        <v>261</v>
      </c>
      <c r="B6" s="333">
        <f>'Yearly IS'!B15</f>
        <v>5479828.4699999997</v>
      </c>
      <c r="C6" s="333">
        <f>'Yearly IS'!C15</f>
        <v>6123758.9299999997</v>
      </c>
      <c r="D6" s="333">
        <f>'Yearly IS'!D15</f>
        <v>9025077.5199999996</v>
      </c>
      <c r="E6" s="333">
        <f>'Yearly IS'!E15</f>
        <v>12017560.960000001</v>
      </c>
      <c r="F6" s="333">
        <f>'Yearly IS'!F15</f>
        <v>14830380.279999999</v>
      </c>
      <c r="G6" s="333">
        <f>'Yearly IS'!G15</f>
        <v>16279056.92</v>
      </c>
    </row>
    <row r="7" spans="1:11" x14ac:dyDescent="0.15">
      <c r="A7" s="329"/>
      <c r="B7" s="329"/>
      <c r="C7" s="329"/>
      <c r="D7" s="329"/>
      <c r="E7" s="329"/>
      <c r="F7" s="329"/>
      <c r="G7" s="329"/>
    </row>
    <row r="8" spans="1:11" x14ac:dyDescent="0.15">
      <c r="A8" s="334" t="s">
        <v>246</v>
      </c>
      <c r="B8" s="335">
        <f>'Yearly IS'!B34</f>
        <v>3547255.56</v>
      </c>
      <c r="C8" s="335">
        <f>'Yearly IS'!C34</f>
        <v>4509355.59</v>
      </c>
      <c r="D8" s="335">
        <f>'Yearly IS'!D34</f>
        <v>6996734.3499999996</v>
      </c>
      <c r="E8" s="335">
        <f>'Yearly IS'!E34</f>
        <v>9466911.5299999993</v>
      </c>
      <c r="F8" s="335">
        <f>'Yearly IS'!F34</f>
        <v>11134981.09</v>
      </c>
      <c r="G8" s="335">
        <f>'Yearly IS'!G34</f>
        <v>12027308.49</v>
      </c>
    </row>
    <row r="9" spans="1:11" x14ac:dyDescent="0.15">
      <c r="A9" s="329" t="s">
        <v>149</v>
      </c>
      <c r="B9" s="331">
        <f>'Yearly IS'!B35</f>
        <v>1932572.91</v>
      </c>
      <c r="C9" s="331">
        <f>'Yearly IS'!C35</f>
        <v>1614403.34</v>
      </c>
      <c r="D9" s="331">
        <f>'Yearly IS'!D35</f>
        <v>2028343.17</v>
      </c>
      <c r="E9" s="331">
        <f>'Yearly IS'!E35</f>
        <v>2550649.4300000002</v>
      </c>
      <c r="F9" s="331">
        <f>'Yearly IS'!F35</f>
        <v>3695399.19</v>
      </c>
      <c r="G9" s="331">
        <f>'Yearly IS'!G35</f>
        <v>4251748.43</v>
      </c>
    </row>
    <row r="10" spans="1:11" x14ac:dyDescent="0.15">
      <c r="A10" s="336" t="s">
        <v>262</v>
      </c>
      <c r="B10" s="337">
        <f>B9/B6</f>
        <v>0.35267032911342205</v>
      </c>
      <c r="C10" s="337">
        <f t="shared" ref="C10:G10" si="1">C9/C6</f>
        <v>0.26362947308247486</v>
      </c>
      <c r="D10" s="337">
        <f t="shared" si="1"/>
        <v>0.22474523520768605</v>
      </c>
      <c r="E10" s="337">
        <f t="shared" si="1"/>
        <v>0.21224351917079853</v>
      </c>
      <c r="F10" s="337">
        <f t="shared" si="1"/>
        <v>0.24917764212584306</v>
      </c>
      <c r="G10" s="337">
        <f t="shared" si="1"/>
        <v>0.26117903825106842</v>
      </c>
    </row>
    <row r="11" spans="1:11" x14ac:dyDescent="0.15">
      <c r="A11" s="329"/>
      <c r="B11" s="329"/>
      <c r="C11" s="329"/>
      <c r="D11" s="329"/>
      <c r="E11" s="329"/>
      <c r="F11" s="329"/>
      <c r="G11" s="329"/>
    </row>
    <row r="12" spans="1:11" x14ac:dyDescent="0.15">
      <c r="A12" s="334" t="s">
        <v>258</v>
      </c>
      <c r="B12" s="335">
        <f>'Yearly IS'!B117</f>
        <v>1827138.86</v>
      </c>
      <c r="C12" s="335">
        <f>'Yearly IS'!C117</f>
        <v>1686304.52</v>
      </c>
      <c r="D12" s="335">
        <f>'Yearly IS'!D117</f>
        <v>1390816.59</v>
      </c>
      <c r="E12" s="335">
        <f>'Yearly IS'!E117</f>
        <v>1772356.9</v>
      </c>
      <c r="F12" s="335">
        <f>'Yearly IS'!F117</f>
        <v>2175910.16</v>
      </c>
      <c r="G12" s="335">
        <f>'Yearly IS'!G117</f>
        <v>2100731.54</v>
      </c>
    </row>
    <row r="13" spans="1:11" x14ac:dyDescent="0.15">
      <c r="A13" s="329"/>
      <c r="B13" s="329"/>
      <c r="C13" s="329"/>
      <c r="D13" s="329"/>
      <c r="E13" s="329"/>
      <c r="F13" s="329"/>
      <c r="G13" s="329"/>
    </row>
    <row r="14" spans="1:11" x14ac:dyDescent="0.15">
      <c r="A14" s="334" t="s">
        <v>259</v>
      </c>
      <c r="B14" s="335">
        <f>'Yearly IS'!B129</f>
        <v>108835.55</v>
      </c>
      <c r="C14" s="335">
        <f>'Yearly IS'!C129</f>
        <v>-43267.839999999997</v>
      </c>
      <c r="D14" s="335">
        <f>'Yearly IS'!D129</f>
        <v>638354.73</v>
      </c>
      <c r="E14" s="335">
        <f>'Yearly IS'!E129</f>
        <v>780854.95</v>
      </c>
      <c r="F14" s="335">
        <f>'Yearly IS'!F129</f>
        <v>1481423.98</v>
      </c>
      <c r="G14" s="335">
        <f>'Yearly IS'!G129</f>
        <v>2151023.77</v>
      </c>
    </row>
    <row r="15" spans="1:11" x14ac:dyDescent="0.15">
      <c r="A15" s="336" t="s">
        <v>263</v>
      </c>
      <c r="B15" s="337">
        <f>B14/B6</f>
        <v>1.9861123499728815E-2</v>
      </c>
      <c r="C15" s="337">
        <f t="shared" ref="C15:G15" si="2">C14/C6</f>
        <v>-7.0655687943614069E-3</v>
      </c>
      <c r="D15" s="337">
        <f t="shared" si="2"/>
        <v>7.073121849484125E-2</v>
      </c>
      <c r="E15" s="337">
        <f t="shared" si="2"/>
        <v>6.4976158856114505E-2</v>
      </c>
      <c r="F15" s="337">
        <f t="shared" si="2"/>
        <v>9.9891166108385193E-2</v>
      </c>
      <c r="G15" s="337">
        <f t="shared" si="2"/>
        <v>0.13213442158048552</v>
      </c>
    </row>
    <row r="16" spans="1:11" x14ac:dyDescent="0.15">
      <c r="A16" s="329"/>
      <c r="B16" s="329"/>
      <c r="C16" s="329"/>
      <c r="D16" s="329"/>
      <c r="E16" s="329"/>
      <c r="F16" s="329"/>
      <c r="G16" s="329"/>
    </row>
    <row r="17" spans="1:7" x14ac:dyDescent="0.15">
      <c r="A17" s="334" t="s">
        <v>264</v>
      </c>
      <c r="B17" s="329"/>
      <c r="C17" s="329"/>
      <c r="D17" s="329"/>
      <c r="E17" s="329"/>
      <c r="F17" s="331">
        <f>'Inv. Model'!G63*1000</f>
        <v>2093600</v>
      </c>
      <c r="G17" s="331">
        <f>'Inv. Model'!E63*1000</f>
        <v>2387000</v>
      </c>
    </row>
    <row r="18" spans="1:7" x14ac:dyDescent="0.15">
      <c r="A18" s="336" t="s">
        <v>486</v>
      </c>
      <c r="B18" s="336"/>
      <c r="C18" s="336"/>
      <c r="D18" s="336"/>
      <c r="E18" s="336"/>
      <c r="F18" s="337">
        <f>'Inv. Model'!G64</f>
        <v>0.1467</v>
      </c>
      <c r="G18" s="337">
        <f>'Inv. Model'!E64</f>
        <v>0.1467</v>
      </c>
    </row>
    <row r="22" spans="1:7" x14ac:dyDescent="0.15">
      <c r="A22" s="54" t="s">
        <v>480</v>
      </c>
    </row>
    <row r="23" spans="1:7" x14ac:dyDescent="0.15">
      <c r="A23" s="55" t="s">
        <v>481</v>
      </c>
    </row>
    <row r="24" spans="1:7" x14ac:dyDescent="0.15">
      <c r="A24" s="55" t="s">
        <v>484</v>
      </c>
    </row>
    <row r="25" spans="1:7" x14ac:dyDescent="0.15">
      <c r="A25" s="55" t="s">
        <v>482</v>
      </c>
    </row>
    <row r="26" spans="1:7" x14ac:dyDescent="0.15">
      <c r="A26" s="55" t="s">
        <v>483</v>
      </c>
    </row>
    <row r="27" spans="1:7" x14ac:dyDescent="0.15">
      <c r="A27" s="55" t="s">
        <v>485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C1011"/>
  <sheetViews>
    <sheetView showGridLines="0" workbookViewId="0">
      <pane ySplit="2" topLeftCell="A3" activePane="bottomLeft" state="frozen"/>
      <selection pane="bottomLeft" activeCell="B4" sqref="B4"/>
    </sheetView>
  </sheetViews>
  <sheetFormatPr baseColWidth="10" defaultColWidth="14.5" defaultRowHeight="15.75" customHeight="1" x14ac:dyDescent="0.15"/>
  <cols>
    <col min="1" max="1" width="58.5" customWidth="1"/>
    <col min="9" max="13" width="14.5" hidden="1"/>
  </cols>
  <sheetData>
    <row r="1" spans="1:29" ht="15.75" customHeight="1" x14ac:dyDescent="0.15">
      <c r="A1" s="1" t="s">
        <v>0</v>
      </c>
      <c r="B1" s="2"/>
      <c r="C1" s="3"/>
      <c r="D1" s="3"/>
      <c r="E1" s="2"/>
      <c r="F1" s="2"/>
      <c r="G1" s="2"/>
      <c r="H1" s="4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</row>
    <row r="2" spans="1:29" ht="15.75" customHeight="1" x14ac:dyDescent="0.15">
      <c r="A2" s="6"/>
      <c r="B2" s="7" t="s">
        <v>1</v>
      </c>
      <c r="C2" s="7" t="s">
        <v>2</v>
      </c>
      <c r="D2" s="7" t="s">
        <v>3</v>
      </c>
      <c r="E2" s="7" t="s">
        <v>4</v>
      </c>
      <c r="F2" s="7" t="s">
        <v>5</v>
      </c>
      <c r="G2" s="7" t="s">
        <v>6</v>
      </c>
      <c r="H2" s="8"/>
      <c r="I2" s="5"/>
      <c r="J2" s="7" t="s">
        <v>3</v>
      </c>
      <c r="K2" s="7" t="s">
        <v>4</v>
      </c>
      <c r="L2" s="7" t="s">
        <v>5</v>
      </c>
      <c r="M2" s="7" t="s">
        <v>6</v>
      </c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</row>
    <row r="3" spans="1:29" ht="15.75" customHeight="1" x14ac:dyDescent="0.15">
      <c r="A3" s="9" t="s">
        <v>7</v>
      </c>
      <c r="B3" s="10"/>
      <c r="C3" s="10"/>
      <c r="D3" s="11"/>
      <c r="E3" s="11"/>
      <c r="F3" s="11"/>
      <c r="G3" s="11"/>
      <c r="H3" s="8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</row>
    <row r="4" spans="1:29" ht="15.75" customHeight="1" x14ac:dyDescent="0.15">
      <c r="A4" s="12" t="s">
        <v>8</v>
      </c>
      <c r="B4" s="10"/>
      <c r="C4" s="10"/>
      <c r="D4" s="11"/>
      <c r="E4" s="11"/>
      <c r="F4" s="11"/>
      <c r="G4" s="11"/>
      <c r="H4" s="8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</row>
    <row r="5" spans="1:29" ht="15.75" customHeight="1" x14ac:dyDescent="0.15">
      <c r="A5" s="13" t="s">
        <v>9</v>
      </c>
      <c r="B5" s="10">
        <v>0</v>
      </c>
      <c r="C5" s="10">
        <v>0</v>
      </c>
      <c r="D5" s="11">
        <v>151004.76</v>
      </c>
      <c r="E5" s="11">
        <v>20888.66</v>
      </c>
      <c r="F5" s="11">
        <v>347632.44</v>
      </c>
      <c r="G5" s="11">
        <v>1055652.31</v>
      </c>
      <c r="H5" s="8"/>
      <c r="I5" s="4" t="s">
        <v>10</v>
      </c>
      <c r="J5" s="14">
        <f t="shared" ref="J5:M5" si="0">D8</f>
        <v>151004.94</v>
      </c>
      <c r="K5" s="14">
        <f t="shared" si="0"/>
        <v>20900.310000000001</v>
      </c>
      <c r="L5" s="14">
        <f t="shared" si="0"/>
        <v>347644.08</v>
      </c>
      <c r="M5" s="14">
        <f t="shared" si="0"/>
        <v>1095602.82</v>
      </c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</row>
    <row r="6" spans="1:29" ht="15.75" customHeight="1" x14ac:dyDescent="0.15">
      <c r="A6" s="6" t="s">
        <v>11</v>
      </c>
      <c r="B6" s="11">
        <v>3635.99</v>
      </c>
      <c r="C6" s="11">
        <v>5189.6000000000004</v>
      </c>
      <c r="D6" s="10">
        <v>0</v>
      </c>
      <c r="E6" s="10">
        <v>0</v>
      </c>
      <c r="F6" s="10">
        <v>0</v>
      </c>
      <c r="G6" s="10">
        <v>0</v>
      </c>
      <c r="H6" s="8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</row>
    <row r="7" spans="1:29" ht="15.75" customHeight="1" x14ac:dyDescent="0.15">
      <c r="A7" s="6" t="s">
        <v>12</v>
      </c>
      <c r="B7" s="11">
        <v>1542.41</v>
      </c>
      <c r="C7" s="11">
        <v>1543.21</v>
      </c>
      <c r="D7" s="11">
        <v>0.18</v>
      </c>
      <c r="E7" s="11">
        <v>11.65</v>
      </c>
      <c r="F7" s="11">
        <v>11.64</v>
      </c>
      <c r="G7" s="11">
        <v>39950.51</v>
      </c>
      <c r="H7" s="8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</row>
    <row r="8" spans="1:29" ht="15.75" customHeight="1" x14ac:dyDescent="0.15">
      <c r="A8" s="6" t="s">
        <v>13</v>
      </c>
      <c r="B8" s="11">
        <v>5178.3999999999996</v>
      </c>
      <c r="C8" s="11">
        <v>6732.81</v>
      </c>
      <c r="D8" s="11">
        <v>151004.94</v>
      </c>
      <c r="E8" s="11">
        <v>20900.310000000001</v>
      </c>
      <c r="F8" s="11">
        <v>347644.08</v>
      </c>
      <c r="G8" s="11">
        <v>1095602.82</v>
      </c>
      <c r="H8" s="8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</row>
    <row r="9" spans="1:29" ht="15.75" customHeight="1" x14ac:dyDescent="0.15">
      <c r="A9" s="15" t="s">
        <v>14</v>
      </c>
      <c r="B9" s="11"/>
      <c r="C9" s="11"/>
      <c r="D9" s="11"/>
      <c r="E9" s="11"/>
      <c r="F9" s="11"/>
      <c r="G9" s="11"/>
      <c r="H9" s="6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</row>
    <row r="10" spans="1:29" ht="15.75" customHeight="1" x14ac:dyDescent="0.15">
      <c r="A10" s="6" t="s">
        <v>15</v>
      </c>
      <c r="B10" s="11">
        <v>779907.08</v>
      </c>
      <c r="C10" s="11">
        <v>548764.81000000006</v>
      </c>
      <c r="D10" s="11">
        <v>514534.54</v>
      </c>
      <c r="E10" s="11">
        <v>2713600.98</v>
      </c>
      <c r="F10" s="11">
        <v>2149919.5699999998</v>
      </c>
      <c r="G10" s="11">
        <v>2646726.7000000002</v>
      </c>
      <c r="H10" s="8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</row>
    <row r="11" spans="1:29" ht="15.75" customHeight="1" x14ac:dyDescent="0.15">
      <c r="A11" s="6" t="s">
        <v>16</v>
      </c>
      <c r="B11" s="11">
        <v>779907.08</v>
      </c>
      <c r="C11" s="11">
        <v>548764.81000000006</v>
      </c>
      <c r="D11" s="11">
        <v>514534.54</v>
      </c>
      <c r="E11" s="11">
        <v>2713600.98</v>
      </c>
      <c r="F11" s="11">
        <v>2149919.5699999998</v>
      </c>
      <c r="G11" s="11">
        <v>2646726.7000000002</v>
      </c>
      <c r="H11" s="8"/>
      <c r="I11" s="4" t="s">
        <v>17</v>
      </c>
      <c r="J11" s="14">
        <f t="shared" ref="J11:M11" si="1">D11</f>
        <v>514534.54</v>
      </c>
      <c r="K11" s="14">
        <f t="shared" si="1"/>
        <v>2713600.98</v>
      </c>
      <c r="L11" s="14">
        <f t="shared" si="1"/>
        <v>2149919.5699999998</v>
      </c>
      <c r="M11" s="14">
        <f t="shared" si="1"/>
        <v>2646726.7000000002</v>
      </c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spans="1:29" ht="15.75" customHeight="1" x14ac:dyDescent="0.15">
      <c r="A12" s="15" t="s">
        <v>18</v>
      </c>
      <c r="B12" s="11"/>
      <c r="C12" s="11"/>
      <c r="D12" s="11"/>
      <c r="E12" s="11"/>
      <c r="F12" s="11"/>
      <c r="G12" s="11"/>
      <c r="H12" s="6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3" spans="1:29" ht="15.75" customHeight="1" x14ac:dyDescent="0.15">
      <c r="A13" s="6" t="s">
        <v>19</v>
      </c>
      <c r="B13" s="11">
        <v>37461.15</v>
      </c>
      <c r="C13" s="11">
        <v>86811.49</v>
      </c>
      <c r="D13" s="11">
        <v>79949.42</v>
      </c>
      <c r="E13" s="11">
        <v>268850.71000000002</v>
      </c>
      <c r="F13" s="11">
        <v>161006.26999999999</v>
      </c>
      <c r="G13" s="11">
        <v>286086.98</v>
      </c>
      <c r="H13" s="8"/>
      <c r="I13" s="4" t="s">
        <v>20</v>
      </c>
      <c r="J13" s="14">
        <f t="shared" ref="J13:M13" si="2">D13</f>
        <v>79949.42</v>
      </c>
      <c r="K13" s="14">
        <f t="shared" si="2"/>
        <v>268850.71000000002</v>
      </c>
      <c r="L13" s="14">
        <f t="shared" si="2"/>
        <v>161006.26999999999</v>
      </c>
      <c r="M13" s="14">
        <f t="shared" si="2"/>
        <v>286086.98</v>
      </c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 spans="1:29" ht="15.75" customHeight="1" x14ac:dyDescent="0.15">
      <c r="A14" s="6" t="s">
        <v>21</v>
      </c>
      <c r="B14" s="11">
        <v>9796.91</v>
      </c>
      <c r="C14" s="11">
        <v>9796.91</v>
      </c>
      <c r="D14" s="11">
        <v>9796.91</v>
      </c>
      <c r="E14" s="11">
        <v>9796.91</v>
      </c>
      <c r="F14" s="10">
        <v>0</v>
      </c>
      <c r="G14" s="10">
        <v>0</v>
      </c>
      <c r="H14" s="8"/>
      <c r="I14" s="4" t="s">
        <v>22</v>
      </c>
      <c r="J14" s="14">
        <f t="shared" ref="J14:M14" si="3">D20-J13-J15</f>
        <v>9255.9100000000017</v>
      </c>
      <c r="K14" s="14">
        <f t="shared" si="3"/>
        <v>60528.21999999995</v>
      </c>
      <c r="L14" s="14">
        <f t="shared" si="3"/>
        <v>7042.660000000018</v>
      </c>
      <c r="M14" s="14">
        <f t="shared" si="3"/>
        <v>7196.1400000000212</v>
      </c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15.75" customHeight="1" x14ac:dyDescent="0.15">
      <c r="A15" s="6" t="s">
        <v>23</v>
      </c>
      <c r="B15" s="11">
        <v>100581.89</v>
      </c>
      <c r="C15" s="10">
        <v>0</v>
      </c>
      <c r="D15" s="11">
        <v>359</v>
      </c>
      <c r="E15" s="11">
        <v>51688.65</v>
      </c>
      <c r="F15" s="10">
        <v>0</v>
      </c>
      <c r="G15" s="10">
        <v>0</v>
      </c>
      <c r="H15" s="8"/>
      <c r="I15" s="4" t="s">
        <v>24</v>
      </c>
      <c r="J15" s="14">
        <f t="shared" ref="J15:M15" si="4">D18+D19</f>
        <v>2157.31</v>
      </c>
      <c r="K15" s="14">
        <f t="shared" si="4"/>
        <v>34823.480000000003</v>
      </c>
      <c r="L15" s="14">
        <f t="shared" si="4"/>
        <v>36334.61</v>
      </c>
      <c r="M15" s="14">
        <f t="shared" si="4"/>
        <v>41791.01</v>
      </c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 spans="1:29" ht="15.75" customHeight="1" x14ac:dyDescent="0.15">
      <c r="A16" s="6" t="s">
        <v>25</v>
      </c>
      <c r="B16" s="16">
        <v>-900</v>
      </c>
      <c r="C16" s="16">
        <v>-900</v>
      </c>
      <c r="D16" s="16">
        <v>-900</v>
      </c>
      <c r="E16" s="16">
        <v>-900</v>
      </c>
      <c r="F16" s="16">
        <v>-900</v>
      </c>
      <c r="G16" s="16">
        <v>-900</v>
      </c>
      <c r="H16" s="17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 spans="1:29" ht="15.75" customHeight="1" x14ac:dyDescent="0.15">
      <c r="A17" s="6" t="s">
        <v>26</v>
      </c>
      <c r="B17" s="11">
        <v>61.1</v>
      </c>
      <c r="C17" s="16">
        <v>-57.34</v>
      </c>
      <c r="D17" s="18">
        <v>0</v>
      </c>
      <c r="E17" s="16">
        <v>-57.34</v>
      </c>
      <c r="F17" s="11">
        <v>7942.66</v>
      </c>
      <c r="G17" s="11">
        <v>8096.14</v>
      </c>
      <c r="H17" s="8"/>
      <c r="I17" s="4" t="s">
        <v>27</v>
      </c>
      <c r="J17" s="14">
        <f t="shared" ref="J17:M17" si="5">SUM(J13:J15)</f>
        <v>91362.64</v>
      </c>
      <c r="K17" s="14">
        <f t="shared" si="5"/>
        <v>364202.41</v>
      </c>
      <c r="L17" s="14">
        <f t="shared" si="5"/>
        <v>204383.53999999998</v>
      </c>
      <c r="M17" s="14">
        <f t="shared" si="5"/>
        <v>335074.13</v>
      </c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 spans="1:29" ht="15.75" customHeight="1" x14ac:dyDescent="0.15">
      <c r="A18" s="6" t="s">
        <v>28</v>
      </c>
      <c r="B18" s="11">
        <v>3634.18</v>
      </c>
      <c r="C18" s="11">
        <v>5552.13</v>
      </c>
      <c r="D18" s="11">
        <v>2157.31</v>
      </c>
      <c r="E18" s="11">
        <v>34823.480000000003</v>
      </c>
      <c r="F18" s="11">
        <v>36334.61</v>
      </c>
      <c r="G18" s="11">
        <v>41791.01</v>
      </c>
      <c r="H18" s="8"/>
      <c r="I18" s="4" t="s">
        <v>29</v>
      </c>
      <c r="J18" s="14">
        <f t="shared" ref="J18:M18" si="6">J17-D20</f>
        <v>0</v>
      </c>
      <c r="K18" s="14">
        <f t="shared" si="6"/>
        <v>0</v>
      </c>
      <c r="L18" s="14">
        <f t="shared" si="6"/>
        <v>0</v>
      </c>
      <c r="M18" s="14">
        <f t="shared" si="6"/>
        <v>0</v>
      </c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 spans="1:29" ht="15.75" customHeight="1" x14ac:dyDescent="0.15">
      <c r="A19" s="6" t="s">
        <v>30</v>
      </c>
      <c r="B19" s="11">
        <v>2471.21</v>
      </c>
      <c r="C19" s="11">
        <v>2471.21</v>
      </c>
      <c r="D19" s="10">
        <v>0</v>
      </c>
      <c r="E19" s="10">
        <v>0</v>
      </c>
      <c r="F19" s="10">
        <v>0</v>
      </c>
      <c r="G19" s="2">
        <v>0</v>
      </c>
      <c r="H19" s="8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 spans="1:29" ht="15.75" customHeight="1" x14ac:dyDescent="0.15">
      <c r="A20" s="6" t="s">
        <v>31</v>
      </c>
      <c r="B20" s="11">
        <v>153106.44</v>
      </c>
      <c r="C20" s="11">
        <v>103674.4</v>
      </c>
      <c r="D20" s="11">
        <v>91362.64</v>
      </c>
      <c r="E20" s="11">
        <v>364202.41</v>
      </c>
      <c r="F20" s="11">
        <v>204383.54</v>
      </c>
      <c r="G20" s="11">
        <v>335074.13</v>
      </c>
      <c r="H20" s="8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</row>
    <row r="21" spans="1:29" ht="15.75" customHeight="1" x14ac:dyDescent="0.15">
      <c r="A21" s="6" t="s">
        <v>32</v>
      </c>
      <c r="B21" s="11">
        <v>938191.92</v>
      </c>
      <c r="C21" s="11">
        <v>659172.02</v>
      </c>
      <c r="D21" s="11">
        <v>756902.12</v>
      </c>
      <c r="E21" s="11">
        <v>3098703.7</v>
      </c>
      <c r="F21" s="11">
        <v>2701947.19</v>
      </c>
      <c r="G21" s="11">
        <v>4077403.65</v>
      </c>
      <c r="H21" s="8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</row>
    <row r="22" spans="1:29" ht="15.75" customHeight="1" x14ac:dyDescent="0.15">
      <c r="A22" s="6" t="s">
        <v>33</v>
      </c>
      <c r="B22" s="11"/>
      <c r="C22" s="11"/>
      <c r="D22" s="11"/>
      <c r="E22" s="11"/>
      <c r="F22" s="11"/>
      <c r="G22" s="11"/>
      <c r="H22" s="6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</row>
    <row r="23" spans="1:29" ht="15.75" customHeight="1" x14ac:dyDescent="0.15">
      <c r="A23" s="6" t="s">
        <v>34</v>
      </c>
      <c r="B23" s="11">
        <v>284680.08</v>
      </c>
      <c r="C23" s="11">
        <v>207798.96</v>
      </c>
      <c r="D23" s="11">
        <v>263970.24</v>
      </c>
      <c r="E23" s="11">
        <v>283331.69</v>
      </c>
      <c r="F23" s="11">
        <v>265144.90000000002</v>
      </c>
      <c r="G23" s="11">
        <v>266401.84999999998</v>
      </c>
      <c r="H23" s="8"/>
      <c r="I23" s="5"/>
      <c r="J23" s="14">
        <f t="shared" ref="J23:M23" si="7">D29-D25</f>
        <v>512471.56999999995</v>
      </c>
      <c r="K23" s="14">
        <f t="shared" si="7"/>
        <v>531833.02</v>
      </c>
      <c r="L23" s="14">
        <f t="shared" si="7"/>
        <v>331756.42000000004</v>
      </c>
      <c r="M23" s="14">
        <f t="shared" si="7"/>
        <v>380853.7</v>
      </c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</row>
    <row r="24" spans="1:29" ht="15.75" customHeight="1" x14ac:dyDescent="0.15">
      <c r="A24" s="6" t="s">
        <v>35</v>
      </c>
      <c r="B24" s="11">
        <v>106575.88</v>
      </c>
      <c r="C24" s="11">
        <v>110457.38</v>
      </c>
      <c r="D24" s="11">
        <v>110457.38</v>
      </c>
      <c r="E24" s="11">
        <v>110457.38</v>
      </c>
      <c r="F24" s="11">
        <v>4838.5</v>
      </c>
      <c r="G24" s="11">
        <v>52678.83</v>
      </c>
      <c r="H24" s="8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</row>
    <row r="25" spans="1:29" ht="15.75" customHeight="1" x14ac:dyDescent="0.15">
      <c r="A25" s="6" t="s">
        <v>36</v>
      </c>
      <c r="B25" s="16">
        <v>-405774.69</v>
      </c>
      <c r="C25" s="16">
        <v>-353676.68</v>
      </c>
      <c r="D25" s="16">
        <v>-385491.73</v>
      </c>
      <c r="E25" s="16">
        <v>-417522.83</v>
      </c>
      <c r="F25" s="16">
        <v>-158800.44</v>
      </c>
      <c r="G25" s="16">
        <v>-158800.44</v>
      </c>
      <c r="H25" s="17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</row>
    <row r="26" spans="1:29" ht="15.75" customHeight="1" x14ac:dyDescent="0.15">
      <c r="A26" s="6" t="s">
        <v>37</v>
      </c>
      <c r="B26" s="11">
        <v>102383.17</v>
      </c>
      <c r="C26" s="11">
        <v>102383.17</v>
      </c>
      <c r="D26" s="11">
        <v>102383.17</v>
      </c>
      <c r="E26" s="11">
        <v>102383.17</v>
      </c>
      <c r="F26" s="11">
        <v>37313.040000000001</v>
      </c>
      <c r="G26" s="11">
        <v>37313.040000000001</v>
      </c>
      <c r="H26" s="8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</row>
    <row r="27" spans="1:29" ht="15.75" customHeight="1" x14ac:dyDescent="0.15">
      <c r="A27" s="6" t="s">
        <v>38</v>
      </c>
      <c r="B27" s="11">
        <v>18904.77</v>
      </c>
      <c r="C27" s="11">
        <v>18904.77</v>
      </c>
      <c r="D27" s="11">
        <v>18904.77</v>
      </c>
      <c r="E27" s="11">
        <v>18904.77</v>
      </c>
      <c r="F27" s="11">
        <v>23630.77</v>
      </c>
      <c r="G27" s="11">
        <v>23630.77</v>
      </c>
      <c r="H27" s="8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</row>
    <row r="28" spans="1:29" ht="15.75" customHeight="1" x14ac:dyDescent="0.15">
      <c r="A28" s="6" t="s">
        <v>39</v>
      </c>
      <c r="B28" s="11">
        <v>16756.009999999998</v>
      </c>
      <c r="C28" s="11">
        <v>16756.009999999998</v>
      </c>
      <c r="D28" s="11">
        <v>16756.009999999998</v>
      </c>
      <c r="E28" s="11">
        <v>16756.009999999998</v>
      </c>
      <c r="F28" s="11">
        <v>829.21</v>
      </c>
      <c r="G28" s="11">
        <v>829.21</v>
      </c>
      <c r="H28" s="8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</row>
    <row r="29" spans="1:29" ht="15.75" customHeight="1" x14ac:dyDescent="0.15">
      <c r="A29" s="6" t="s">
        <v>40</v>
      </c>
      <c r="B29" s="11">
        <v>123525.22</v>
      </c>
      <c r="C29" s="11">
        <v>102623.61</v>
      </c>
      <c r="D29" s="11">
        <v>126979.84</v>
      </c>
      <c r="E29" s="11">
        <v>114310.19</v>
      </c>
      <c r="F29" s="11">
        <v>172955.98</v>
      </c>
      <c r="G29" s="11">
        <v>222053.26</v>
      </c>
      <c r="H29" s="8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</row>
    <row r="30" spans="1:29" ht="15.75" customHeight="1" x14ac:dyDescent="0.15">
      <c r="A30" s="6" t="s">
        <v>41</v>
      </c>
      <c r="B30" s="11"/>
      <c r="C30" s="11"/>
      <c r="D30" s="11"/>
      <c r="E30" s="11"/>
      <c r="F30" s="11"/>
      <c r="G30" s="11"/>
      <c r="H30" s="6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</row>
    <row r="31" spans="1:29" ht="15.75" customHeight="1" x14ac:dyDescent="0.15">
      <c r="A31" s="6" t="s">
        <v>42</v>
      </c>
      <c r="B31" s="11">
        <v>640.44000000000005</v>
      </c>
      <c r="C31" s="11">
        <v>640.44000000000005</v>
      </c>
      <c r="D31" s="11">
        <v>640.44000000000005</v>
      </c>
      <c r="E31" s="11">
        <v>640.44000000000005</v>
      </c>
      <c r="F31" s="11">
        <v>9492.44</v>
      </c>
      <c r="G31" s="11">
        <v>9492.44</v>
      </c>
      <c r="H31" s="8"/>
      <c r="I31" s="4" t="s">
        <v>43</v>
      </c>
      <c r="J31" s="19">
        <f t="shared" ref="J31:M31" si="8">+D36+D37+D38+D39+D40</f>
        <v>107372.13</v>
      </c>
      <c r="K31" s="19">
        <f t="shared" si="8"/>
        <v>85593.14</v>
      </c>
      <c r="L31" s="19">
        <f t="shared" si="8"/>
        <v>69505.540000000008</v>
      </c>
      <c r="M31" s="19">
        <f t="shared" si="8"/>
        <v>69505.540000000008</v>
      </c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</row>
    <row r="32" spans="1:29" ht="15.75" customHeight="1" x14ac:dyDescent="0.15">
      <c r="A32" s="6" t="s">
        <v>44</v>
      </c>
      <c r="B32" s="11">
        <v>1369.92</v>
      </c>
      <c r="C32" s="10">
        <v>0</v>
      </c>
      <c r="D32" s="16">
        <v>-84782.09</v>
      </c>
      <c r="E32" s="10">
        <v>0</v>
      </c>
      <c r="F32" s="10">
        <v>0</v>
      </c>
      <c r="G32" s="10">
        <v>0</v>
      </c>
      <c r="H32" s="8"/>
      <c r="I32" s="4" t="s">
        <v>45</v>
      </c>
      <c r="J32" s="14">
        <f t="shared" ref="J32:M32" si="9">D35</f>
        <v>0</v>
      </c>
      <c r="K32" s="14">
        <f t="shared" si="9"/>
        <v>0</v>
      </c>
      <c r="L32" s="14">
        <f t="shared" si="9"/>
        <v>0</v>
      </c>
      <c r="M32" s="14">
        <f t="shared" si="9"/>
        <v>2500</v>
      </c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</row>
    <row r="33" spans="1:29" ht="15.75" customHeight="1" x14ac:dyDescent="0.15">
      <c r="A33" s="6" t="s">
        <v>46</v>
      </c>
      <c r="B33" s="11">
        <v>7231.93</v>
      </c>
      <c r="C33" s="11">
        <v>7231.93</v>
      </c>
      <c r="D33" s="11">
        <v>7231.93</v>
      </c>
      <c r="E33" s="11">
        <v>7231.93</v>
      </c>
      <c r="F33" s="10">
        <v>0</v>
      </c>
      <c r="G33" s="10">
        <v>0</v>
      </c>
      <c r="H33" s="8"/>
      <c r="I33" s="4" t="s">
        <v>47</v>
      </c>
      <c r="J33" s="14">
        <f t="shared" ref="J33:M33" si="10">J35-J31</f>
        <v>-81398.19</v>
      </c>
      <c r="K33" s="14">
        <f t="shared" si="10"/>
        <v>6056.0100000000093</v>
      </c>
      <c r="L33" s="14">
        <f t="shared" si="10"/>
        <v>9492.4400000000023</v>
      </c>
      <c r="M33" s="14">
        <f t="shared" si="10"/>
        <v>11992.440000000002</v>
      </c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</row>
    <row r="34" spans="1:29" ht="15.75" customHeight="1" x14ac:dyDescent="0.15">
      <c r="A34" s="6" t="s">
        <v>48</v>
      </c>
      <c r="B34" s="16">
        <v>-853.74</v>
      </c>
      <c r="C34" s="16">
        <v>-1205.01</v>
      </c>
      <c r="D34" s="16">
        <v>-1327.11</v>
      </c>
      <c r="E34" s="16">
        <v>-1403.38</v>
      </c>
      <c r="F34" s="18">
        <v>0</v>
      </c>
      <c r="G34" s="18">
        <v>0</v>
      </c>
      <c r="H34" s="17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</row>
    <row r="35" spans="1:29" ht="15.75" customHeight="1" x14ac:dyDescent="0.15">
      <c r="A35" s="6" t="s">
        <v>49</v>
      </c>
      <c r="B35" s="10">
        <v>0</v>
      </c>
      <c r="C35" s="10">
        <v>0</v>
      </c>
      <c r="D35" s="10">
        <v>0</v>
      </c>
      <c r="E35" s="10">
        <v>0</v>
      </c>
      <c r="F35" s="10">
        <v>0</v>
      </c>
      <c r="G35" s="11">
        <v>2500</v>
      </c>
      <c r="H35" s="8"/>
      <c r="I35" s="4" t="s">
        <v>50</v>
      </c>
      <c r="J35" s="14">
        <f t="shared" ref="J35:M35" si="11">SUM(D31:D42)</f>
        <v>25973.94</v>
      </c>
      <c r="K35" s="14">
        <f t="shared" si="11"/>
        <v>91649.150000000009</v>
      </c>
      <c r="L35" s="14">
        <f t="shared" si="11"/>
        <v>78997.98000000001</v>
      </c>
      <c r="M35" s="14">
        <f t="shared" si="11"/>
        <v>81497.98000000001</v>
      </c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</row>
    <row r="36" spans="1:29" ht="15.75" customHeight="1" x14ac:dyDescent="0.15">
      <c r="A36" s="6" t="s">
        <v>51</v>
      </c>
      <c r="B36" s="11">
        <v>15000</v>
      </c>
      <c r="C36" s="11">
        <v>15000</v>
      </c>
      <c r="D36" s="11">
        <v>15000</v>
      </c>
      <c r="E36" s="11">
        <v>18710.509999999998</v>
      </c>
      <c r="F36" s="10">
        <v>0</v>
      </c>
      <c r="G36" s="10">
        <v>0</v>
      </c>
      <c r="H36" s="8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</row>
    <row r="37" spans="1:29" ht="15.75" customHeight="1" x14ac:dyDescent="0.15">
      <c r="A37" s="6" t="s">
        <v>52</v>
      </c>
      <c r="B37" s="11">
        <v>43465.22</v>
      </c>
      <c r="C37" s="11">
        <v>43465.22</v>
      </c>
      <c r="D37" s="11">
        <v>43715.22</v>
      </c>
      <c r="E37" s="11">
        <v>43715.22</v>
      </c>
      <c r="F37" s="11">
        <v>43715.22</v>
      </c>
      <c r="G37" s="11">
        <v>43715.22</v>
      </c>
      <c r="H37" s="8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</row>
    <row r="38" spans="1:29" ht="15.75" customHeight="1" x14ac:dyDescent="0.15">
      <c r="A38" s="6" t="s">
        <v>53</v>
      </c>
      <c r="B38" s="11">
        <v>16109.77</v>
      </c>
      <c r="C38" s="11">
        <v>19714.32</v>
      </c>
      <c r="D38" s="11">
        <v>20542.099999999999</v>
      </c>
      <c r="E38" s="11">
        <v>23167.41</v>
      </c>
      <c r="F38" s="11">
        <v>25790.32</v>
      </c>
      <c r="G38" s="11">
        <v>25790.32</v>
      </c>
      <c r="H38" s="8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</row>
    <row r="39" spans="1:29" ht="15.75" customHeight="1" x14ac:dyDescent="0.15">
      <c r="A39" s="6" t="s">
        <v>54</v>
      </c>
      <c r="B39" s="11">
        <v>158664.37</v>
      </c>
      <c r="C39" s="11">
        <v>214543.79</v>
      </c>
      <c r="D39" s="11">
        <v>24953.45</v>
      </c>
      <c r="E39" s="10">
        <v>0</v>
      </c>
      <c r="F39" s="10">
        <v>0</v>
      </c>
      <c r="G39" s="10">
        <v>0</v>
      </c>
      <c r="H39" s="8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</row>
    <row r="40" spans="1:29" ht="15.75" customHeight="1" x14ac:dyDescent="0.15">
      <c r="A40" s="6" t="s">
        <v>55</v>
      </c>
      <c r="B40" s="11">
        <v>4988.21</v>
      </c>
      <c r="C40" s="11">
        <v>9205.4599999999991</v>
      </c>
      <c r="D40" s="11">
        <v>3161.36</v>
      </c>
      <c r="E40" s="10">
        <v>0</v>
      </c>
      <c r="F40" s="10">
        <v>0</v>
      </c>
      <c r="G40" s="10">
        <v>0</v>
      </c>
      <c r="H40" s="8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</row>
    <row r="41" spans="1:29" ht="15.75" customHeight="1" x14ac:dyDescent="0.15">
      <c r="A41" s="6" t="s">
        <v>56</v>
      </c>
      <c r="B41" s="11">
        <v>47340.34</v>
      </c>
      <c r="C41" s="11">
        <v>47340.34</v>
      </c>
      <c r="D41" s="10">
        <v>0</v>
      </c>
      <c r="E41" s="10">
        <v>0</v>
      </c>
      <c r="F41" s="10">
        <v>0</v>
      </c>
      <c r="G41" s="10">
        <v>0</v>
      </c>
      <c r="H41" s="20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</row>
    <row r="42" spans="1:29" ht="15.75" customHeight="1" x14ac:dyDescent="0.15">
      <c r="A42" s="6" t="s">
        <v>57</v>
      </c>
      <c r="B42" s="16">
        <v>-4988.21</v>
      </c>
      <c r="C42" s="11">
        <v>19714.32</v>
      </c>
      <c r="D42" s="16">
        <v>-3161.36</v>
      </c>
      <c r="E42" s="16">
        <v>-412.98</v>
      </c>
      <c r="F42" s="18">
        <v>0</v>
      </c>
      <c r="G42" s="18">
        <v>0</v>
      </c>
      <c r="H42" s="17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</row>
    <row r="43" spans="1:29" ht="15.75" customHeight="1" x14ac:dyDescent="0.15">
      <c r="A43" s="6" t="s">
        <v>58</v>
      </c>
      <c r="B43" s="11">
        <v>288968.25</v>
      </c>
      <c r="C43" s="11">
        <v>375650.81</v>
      </c>
      <c r="D43" s="11">
        <v>25973.94</v>
      </c>
      <c r="E43" s="11">
        <v>91649.15</v>
      </c>
      <c r="F43" s="11">
        <v>78997.98</v>
      </c>
      <c r="G43" s="11">
        <v>81497.98</v>
      </c>
      <c r="H43" s="8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</row>
    <row r="44" spans="1:29" ht="15.75" customHeight="1" x14ac:dyDescent="0.15">
      <c r="A44" s="6" t="s">
        <v>59</v>
      </c>
      <c r="B44" s="11">
        <v>1350685.39</v>
      </c>
      <c r="C44" s="11">
        <v>1137446.44</v>
      </c>
      <c r="D44" s="11">
        <v>909855.9</v>
      </c>
      <c r="E44" s="11">
        <v>3304663.04</v>
      </c>
      <c r="F44" s="11">
        <v>2953901.15</v>
      </c>
      <c r="G44" s="11">
        <v>4380954.8899999997</v>
      </c>
      <c r="H44" s="8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</row>
    <row r="45" spans="1:29" ht="15.75" customHeight="1" x14ac:dyDescent="0.15">
      <c r="A45" s="15" t="s">
        <v>60</v>
      </c>
      <c r="B45" s="11"/>
      <c r="C45" s="11"/>
      <c r="D45" s="11"/>
      <c r="E45" s="11"/>
      <c r="F45" s="11"/>
      <c r="G45" s="11"/>
      <c r="H45" s="6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</row>
    <row r="46" spans="1:29" ht="15.75" customHeight="1" x14ac:dyDescent="0.15">
      <c r="A46" s="15" t="s">
        <v>61</v>
      </c>
      <c r="B46" s="11"/>
      <c r="C46" s="11"/>
      <c r="D46" s="11"/>
      <c r="E46" s="11"/>
      <c r="F46" s="11"/>
      <c r="G46" s="11"/>
      <c r="H46" s="6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</row>
    <row r="47" spans="1:29" ht="15.75" customHeight="1" x14ac:dyDescent="0.15">
      <c r="A47" s="15" t="s">
        <v>62</v>
      </c>
      <c r="B47" s="11"/>
      <c r="C47" s="11"/>
      <c r="D47" s="11"/>
      <c r="E47" s="11"/>
      <c r="F47" s="11"/>
      <c r="G47" s="11"/>
      <c r="H47" s="6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</row>
    <row r="48" spans="1:29" ht="15.75" customHeight="1" x14ac:dyDescent="0.15">
      <c r="A48" s="6" t="s">
        <v>63</v>
      </c>
      <c r="B48" s="11">
        <v>453643.19</v>
      </c>
      <c r="C48" s="11">
        <v>254995.15</v>
      </c>
      <c r="D48" s="11">
        <v>276941.39</v>
      </c>
      <c r="E48" s="11">
        <v>2271350.46</v>
      </c>
      <c r="F48" s="11">
        <v>1462716.08</v>
      </c>
      <c r="G48" s="11">
        <v>781598.21</v>
      </c>
      <c r="H48" s="8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</row>
    <row r="49" spans="1:29" ht="15.75" customHeight="1" x14ac:dyDescent="0.15">
      <c r="A49" s="6" t="s">
        <v>64</v>
      </c>
      <c r="B49" s="11">
        <v>453643.19</v>
      </c>
      <c r="C49" s="11">
        <v>254995.15</v>
      </c>
      <c r="D49" s="11">
        <v>276941.39</v>
      </c>
      <c r="E49" s="11">
        <v>2271350.46</v>
      </c>
      <c r="F49" s="11">
        <v>1462716.08</v>
      </c>
      <c r="G49" s="11">
        <v>781598.21</v>
      </c>
      <c r="H49" s="8"/>
      <c r="I49" s="4" t="s">
        <v>65</v>
      </c>
      <c r="J49" s="14">
        <f t="shared" ref="J49:M49" si="12">D48</f>
        <v>276941.39</v>
      </c>
      <c r="K49" s="14">
        <f t="shared" si="12"/>
        <v>2271350.46</v>
      </c>
      <c r="L49" s="14">
        <f t="shared" si="12"/>
        <v>1462716.08</v>
      </c>
      <c r="M49" s="14">
        <f t="shared" si="12"/>
        <v>781598.21</v>
      </c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</row>
    <row r="50" spans="1:29" ht="15.75" customHeight="1" x14ac:dyDescent="0.15">
      <c r="A50" s="6" t="s">
        <v>66</v>
      </c>
      <c r="B50" s="11"/>
      <c r="C50" s="10"/>
      <c r="D50" s="10"/>
      <c r="E50" s="11"/>
      <c r="F50" s="11"/>
      <c r="G50" s="11"/>
      <c r="H50" s="6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</row>
    <row r="51" spans="1:29" ht="15.75" customHeight="1" x14ac:dyDescent="0.15">
      <c r="A51" s="6" t="s">
        <v>67</v>
      </c>
      <c r="B51" s="16">
        <v>-2096</v>
      </c>
      <c r="C51" s="11">
        <v>5696.03</v>
      </c>
      <c r="D51" s="18">
        <v>0</v>
      </c>
      <c r="E51" s="18">
        <v>0</v>
      </c>
      <c r="F51" s="18">
        <v>0</v>
      </c>
      <c r="G51" s="18">
        <v>0</v>
      </c>
      <c r="H51" s="17"/>
      <c r="I51" s="4" t="s">
        <v>68</v>
      </c>
      <c r="J51" s="14">
        <f t="shared" ref="J51:M51" si="13">D54+D55+D58+D59+D60+D61+D62+D63+D64</f>
        <v>122794.59000000001</v>
      </c>
      <c r="K51" s="14">
        <f t="shared" si="13"/>
        <v>253842.46999999997</v>
      </c>
      <c r="L51" s="14">
        <f t="shared" si="13"/>
        <v>377815.33</v>
      </c>
      <c r="M51" s="14">
        <f t="shared" si="13"/>
        <v>263130.88</v>
      </c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</row>
    <row r="52" spans="1:29" ht="15.75" customHeight="1" x14ac:dyDescent="0.15">
      <c r="A52" s="6" t="s">
        <v>69</v>
      </c>
      <c r="B52" s="16">
        <v>-2096</v>
      </c>
      <c r="C52" s="11">
        <v>5696.03</v>
      </c>
      <c r="D52" s="18">
        <v>0</v>
      </c>
      <c r="E52" s="18">
        <v>0</v>
      </c>
      <c r="F52" s="18">
        <v>0</v>
      </c>
      <c r="G52" s="18">
        <v>0</v>
      </c>
      <c r="H52" s="17"/>
      <c r="I52" s="4" t="s">
        <v>70</v>
      </c>
      <c r="J52" s="14">
        <f t="shared" ref="J52:M52" si="14">D66</f>
        <v>183000</v>
      </c>
      <c r="K52" s="14">
        <f t="shared" si="14"/>
        <v>330000</v>
      </c>
      <c r="L52" s="14">
        <f t="shared" si="14"/>
        <v>0</v>
      </c>
      <c r="M52" s="14">
        <f t="shared" si="14"/>
        <v>1450000</v>
      </c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</row>
    <row r="53" spans="1:29" ht="15.75" customHeight="1" x14ac:dyDescent="0.15">
      <c r="A53" s="15" t="s">
        <v>71</v>
      </c>
      <c r="B53" s="11"/>
      <c r="C53" s="11"/>
      <c r="D53" s="11"/>
      <c r="E53" s="11"/>
      <c r="F53" s="11"/>
      <c r="G53" s="11"/>
      <c r="H53" s="6"/>
      <c r="I53" s="4" t="s">
        <v>72</v>
      </c>
      <c r="J53" s="14">
        <f t="shared" ref="J53:M53" si="15">D65</f>
        <v>0</v>
      </c>
      <c r="K53" s="14">
        <f t="shared" si="15"/>
        <v>0</v>
      </c>
      <c r="L53" s="14">
        <f t="shared" si="15"/>
        <v>0</v>
      </c>
      <c r="M53" s="14">
        <f t="shared" si="15"/>
        <v>0</v>
      </c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</row>
    <row r="54" spans="1:29" ht="15.75" customHeight="1" x14ac:dyDescent="0.15">
      <c r="A54" s="13" t="s">
        <v>73</v>
      </c>
      <c r="B54" s="10">
        <v>0</v>
      </c>
      <c r="C54" s="10">
        <v>0</v>
      </c>
      <c r="D54" s="11">
        <v>916</v>
      </c>
      <c r="E54" s="11">
        <v>26944.31</v>
      </c>
      <c r="F54" s="11">
        <v>7504.55</v>
      </c>
      <c r="G54" s="11">
        <v>8878.5499999999993</v>
      </c>
      <c r="H54" s="8"/>
      <c r="I54" s="4" t="s">
        <v>74</v>
      </c>
      <c r="J54" s="14">
        <f t="shared" ref="J54:M54" si="16">J56-SUM(J51:J53)</f>
        <v>0</v>
      </c>
      <c r="K54" s="14">
        <f t="shared" si="16"/>
        <v>0</v>
      </c>
      <c r="L54" s="14">
        <f t="shared" si="16"/>
        <v>0</v>
      </c>
      <c r="M54" s="14">
        <f t="shared" si="16"/>
        <v>0</v>
      </c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</row>
    <row r="55" spans="1:29" ht="15.75" customHeight="1" x14ac:dyDescent="0.15">
      <c r="A55" s="6" t="s">
        <v>75</v>
      </c>
      <c r="B55" s="11">
        <v>18014.84</v>
      </c>
      <c r="C55" s="10">
        <v>0</v>
      </c>
      <c r="D55" s="10">
        <v>0</v>
      </c>
      <c r="E55" s="11">
        <v>14955</v>
      </c>
      <c r="F55" s="10">
        <v>0</v>
      </c>
      <c r="G55" s="11">
        <v>2348.8000000000002</v>
      </c>
      <c r="H55" s="8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</row>
    <row r="56" spans="1:29" ht="15.75" customHeight="1" x14ac:dyDescent="0.15">
      <c r="A56" s="6" t="s">
        <v>76</v>
      </c>
      <c r="B56" s="11">
        <v>25000</v>
      </c>
      <c r="C56" s="11">
        <v>25000</v>
      </c>
      <c r="D56" s="10">
        <v>0</v>
      </c>
      <c r="E56" s="10">
        <v>0</v>
      </c>
      <c r="F56" s="10">
        <v>0</v>
      </c>
      <c r="G56" s="10">
        <v>0</v>
      </c>
      <c r="H56" s="8"/>
      <c r="I56" s="5"/>
      <c r="J56" s="14">
        <f t="shared" ref="J56:M56" si="17">D68-J49</f>
        <v>305794.58999999997</v>
      </c>
      <c r="K56" s="14">
        <f t="shared" si="17"/>
        <v>583842.4700000002</v>
      </c>
      <c r="L56" s="14">
        <f t="shared" si="17"/>
        <v>377815.32999999984</v>
      </c>
      <c r="M56" s="14">
        <f t="shared" si="17"/>
        <v>1713130.88</v>
      </c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</row>
    <row r="57" spans="1:29" ht="15.75" customHeight="1" x14ac:dyDescent="0.15">
      <c r="A57" s="6" t="s">
        <v>77</v>
      </c>
      <c r="B57" s="11">
        <v>651.78</v>
      </c>
      <c r="C57" s="11">
        <v>795.8</v>
      </c>
      <c r="D57" s="10">
        <v>0</v>
      </c>
      <c r="E57" s="10">
        <v>0</v>
      </c>
      <c r="F57" s="10">
        <v>0</v>
      </c>
      <c r="G57" s="10">
        <v>0</v>
      </c>
      <c r="H57" s="8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</row>
    <row r="58" spans="1:29" ht="15.75" customHeight="1" x14ac:dyDescent="0.15">
      <c r="A58" s="6" t="s">
        <v>78</v>
      </c>
      <c r="B58" s="11">
        <v>50878.11</v>
      </c>
      <c r="C58" s="11">
        <v>50878.11</v>
      </c>
      <c r="D58" s="11">
        <v>19647.54</v>
      </c>
      <c r="E58" s="11">
        <v>25642.43</v>
      </c>
      <c r="F58" s="11">
        <v>39100.559999999998</v>
      </c>
      <c r="G58" s="11">
        <v>39100.559999999998</v>
      </c>
      <c r="H58" s="8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</row>
    <row r="59" spans="1:29" ht="15.75" customHeight="1" x14ac:dyDescent="0.15">
      <c r="A59" s="6" t="s">
        <v>79</v>
      </c>
      <c r="B59" s="11">
        <v>16841.23</v>
      </c>
      <c r="C59" s="11">
        <v>16841.23</v>
      </c>
      <c r="D59" s="11">
        <v>12357.18</v>
      </c>
      <c r="E59" s="11">
        <v>4512.79</v>
      </c>
      <c r="F59" s="11">
        <v>6067.72</v>
      </c>
      <c r="G59" s="11">
        <v>6067.72</v>
      </c>
      <c r="H59" s="8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</row>
    <row r="60" spans="1:29" ht="15.75" customHeight="1" x14ac:dyDescent="0.15">
      <c r="A60" s="6" t="s">
        <v>80</v>
      </c>
      <c r="B60" s="16">
        <v>-17612.189999999999</v>
      </c>
      <c r="C60" s="16">
        <v>-20956.34</v>
      </c>
      <c r="D60" s="11">
        <v>16805.02</v>
      </c>
      <c r="E60" s="11">
        <v>20103.810000000001</v>
      </c>
      <c r="F60" s="11">
        <v>22932.03</v>
      </c>
      <c r="G60" s="11">
        <v>22932.03</v>
      </c>
      <c r="H60" s="17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</row>
    <row r="61" spans="1:29" ht="15.75" customHeight="1" x14ac:dyDescent="0.15">
      <c r="A61" s="6" t="s">
        <v>81</v>
      </c>
      <c r="B61" s="11">
        <v>48907.48</v>
      </c>
      <c r="C61" s="11">
        <v>22869.08</v>
      </c>
      <c r="D61" s="11">
        <v>25661.68</v>
      </c>
      <c r="E61" s="11">
        <v>41475.35</v>
      </c>
      <c r="F61" s="11">
        <v>31912.25</v>
      </c>
      <c r="G61" s="11">
        <v>31912.25</v>
      </c>
      <c r="H61" s="8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</row>
    <row r="62" spans="1:29" ht="15.75" customHeight="1" x14ac:dyDescent="0.15">
      <c r="A62" s="13" t="s">
        <v>82</v>
      </c>
      <c r="B62" s="10">
        <v>0</v>
      </c>
      <c r="C62" s="10">
        <v>0</v>
      </c>
      <c r="D62" s="10">
        <v>0</v>
      </c>
      <c r="E62" s="11">
        <v>383.42</v>
      </c>
      <c r="F62" s="11">
        <v>1716</v>
      </c>
      <c r="G62" s="11">
        <v>1716</v>
      </c>
      <c r="H62" s="8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</row>
    <row r="63" spans="1:29" ht="15.75" customHeight="1" x14ac:dyDescent="0.15">
      <c r="A63" s="6" t="s">
        <v>83</v>
      </c>
      <c r="B63" s="11">
        <v>41308.53</v>
      </c>
      <c r="C63" s="11">
        <v>12533.63</v>
      </c>
      <c r="D63" s="11">
        <v>36666.17</v>
      </c>
      <c r="E63" s="11">
        <v>100953.36</v>
      </c>
      <c r="F63" s="11">
        <v>238201.82</v>
      </c>
      <c r="G63" s="11">
        <v>104554.24000000001</v>
      </c>
      <c r="H63" s="8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</row>
    <row r="64" spans="1:29" ht="14" x14ac:dyDescent="0.15">
      <c r="A64" s="6" t="s">
        <v>84</v>
      </c>
      <c r="B64" s="11">
        <v>4222.22</v>
      </c>
      <c r="C64" s="11">
        <v>10006.09</v>
      </c>
      <c r="D64" s="11">
        <v>10741</v>
      </c>
      <c r="E64" s="11">
        <v>18872</v>
      </c>
      <c r="F64" s="11">
        <v>30380.400000000001</v>
      </c>
      <c r="G64" s="11">
        <v>45620.73</v>
      </c>
      <c r="H64" s="8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</row>
    <row r="65" spans="1:29" ht="14" x14ac:dyDescent="0.15">
      <c r="A65" s="6" t="s">
        <v>85</v>
      </c>
      <c r="B65" s="11">
        <v>47340.34</v>
      </c>
      <c r="C65" s="11">
        <v>47340.34</v>
      </c>
      <c r="D65" s="10">
        <v>0</v>
      </c>
      <c r="E65" s="10">
        <v>0</v>
      </c>
      <c r="F65" s="10">
        <v>0</v>
      </c>
      <c r="G65" s="10">
        <v>0</v>
      </c>
      <c r="H65" s="8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</row>
    <row r="66" spans="1:29" ht="14" x14ac:dyDescent="0.15">
      <c r="A66" s="6" t="s">
        <v>86</v>
      </c>
      <c r="B66" s="11">
        <v>361405.12</v>
      </c>
      <c r="C66" s="11">
        <v>460000</v>
      </c>
      <c r="D66" s="11">
        <v>183000</v>
      </c>
      <c r="E66" s="11">
        <v>330000</v>
      </c>
      <c r="F66" s="10">
        <v>0</v>
      </c>
      <c r="G66" s="11">
        <v>1450000</v>
      </c>
      <c r="H66" s="8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</row>
    <row r="67" spans="1:29" ht="14" x14ac:dyDescent="0.15">
      <c r="A67" s="6" t="s">
        <v>87</v>
      </c>
      <c r="B67" s="11">
        <v>596957.46</v>
      </c>
      <c r="C67" s="11">
        <v>625307.93999999994</v>
      </c>
      <c r="D67" s="11">
        <v>305794.59000000003</v>
      </c>
      <c r="E67" s="11">
        <v>583842.47</v>
      </c>
      <c r="F67" s="11">
        <v>377815.33</v>
      </c>
      <c r="G67" s="11">
        <v>1713130.88</v>
      </c>
      <c r="H67" s="8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</row>
    <row r="68" spans="1:29" ht="14" x14ac:dyDescent="0.15">
      <c r="A68" s="6" t="s">
        <v>88</v>
      </c>
      <c r="B68" s="11">
        <v>1048504.65</v>
      </c>
      <c r="C68" s="11">
        <v>885999.12</v>
      </c>
      <c r="D68" s="11">
        <v>582735.98</v>
      </c>
      <c r="E68" s="11">
        <v>2855192.93</v>
      </c>
      <c r="F68" s="11">
        <v>1840531.41</v>
      </c>
      <c r="G68" s="11">
        <v>2494729.09</v>
      </c>
      <c r="H68" s="8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</row>
    <row r="69" spans="1:29" ht="14" x14ac:dyDescent="0.15">
      <c r="A69" s="15" t="s">
        <v>89</v>
      </c>
      <c r="B69" s="11"/>
      <c r="C69" s="11"/>
      <c r="D69" s="11"/>
      <c r="E69" s="11"/>
      <c r="F69" s="11"/>
      <c r="G69" s="11"/>
      <c r="H69" s="6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</row>
    <row r="70" spans="1:29" ht="14" x14ac:dyDescent="0.15">
      <c r="A70" s="6" t="s">
        <v>90</v>
      </c>
      <c r="B70" s="10">
        <v>0</v>
      </c>
      <c r="C70" s="10">
        <v>0</v>
      </c>
      <c r="D70" s="10">
        <v>0</v>
      </c>
      <c r="E70" s="10">
        <v>0</v>
      </c>
      <c r="F70" s="10">
        <v>0</v>
      </c>
      <c r="G70" s="11">
        <v>384945</v>
      </c>
      <c r="H70" s="8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</row>
    <row r="71" spans="1:29" ht="14" x14ac:dyDescent="0.15">
      <c r="A71" s="6" t="s">
        <v>91</v>
      </c>
      <c r="B71" s="11">
        <v>187791.78</v>
      </c>
      <c r="C71" s="10">
        <v>0</v>
      </c>
      <c r="D71" s="10">
        <v>0</v>
      </c>
      <c r="E71" s="10">
        <v>0</v>
      </c>
      <c r="F71" s="10">
        <v>0</v>
      </c>
      <c r="G71" s="10">
        <v>0</v>
      </c>
      <c r="H71" s="8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</row>
    <row r="72" spans="1:29" ht="14" x14ac:dyDescent="0.15">
      <c r="A72" s="13" t="s">
        <v>92</v>
      </c>
      <c r="B72" s="2">
        <v>0</v>
      </c>
      <c r="C72" s="11">
        <v>175337.99</v>
      </c>
      <c r="D72" s="11">
        <v>145924.82</v>
      </c>
      <c r="E72" s="11">
        <v>113273.47</v>
      </c>
      <c r="F72" s="11">
        <v>77027.44</v>
      </c>
      <c r="G72" s="11">
        <v>36622.82</v>
      </c>
      <c r="H72" s="8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</row>
    <row r="73" spans="1:29" ht="14" x14ac:dyDescent="0.15">
      <c r="A73" s="13" t="s">
        <v>93</v>
      </c>
      <c r="B73" s="10">
        <v>0</v>
      </c>
      <c r="C73" s="10">
        <v>0</v>
      </c>
      <c r="D73" s="11">
        <v>55300.24</v>
      </c>
      <c r="E73" s="11">
        <v>47319.94</v>
      </c>
      <c r="F73" s="11">
        <v>35238.46</v>
      </c>
      <c r="G73" s="11">
        <v>23106.639999999999</v>
      </c>
      <c r="H73" s="8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</row>
    <row r="74" spans="1:29" ht="14" x14ac:dyDescent="0.15">
      <c r="A74" s="6" t="s">
        <v>94</v>
      </c>
      <c r="B74" s="11">
        <v>187791.78</v>
      </c>
      <c r="C74" s="11">
        <v>175337.99</v>
      </c>
      <c r="D74" s="11">
        <v>201225.06</v>
      </c>
      <c r="E74" s="11">
        <v>160593.41</v>
      </c>
      <c r="F74" s="11">
        <v>112265.9</v>
      </c>
      <c r="G74" s="11">
        <v>444674.46</v>
      </c>
      <c r="H74" s="8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</row>
    <row r="75" spans="1:29" ht="14" x14ac:dyDescent="0.15">
      <c r="A75" s="6" t="s">
        <v>95</v>
      </c>
      <c r="B75" s="11"/>
      <c r="C75" s="11"/>
      <c r="D75" s="11"/>
      <c r="E75" s="11"/>
      <c r="F75" s="11"/>
      <c r="G75" s="11"/>
      <c r="H75" s="6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</row>
    <row r="76" spans="1:29" ht="14" x14ac:dyDescent="0.15">
      <c r="A76" s="6" t="s">
        <v>95</v>
      </c>
      <c r="B76" s="11"/>
      <c r="C76" s="11"/>
      <c r="D76" s="11"/>
      <c r="E76" s="11"/>
      <c r="F76" s="11"/>
      <c r="G76" s="11"/>
      <c r="H76" s="6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</row>
    <row r="77" spans="1:29" ht="14" x14ac:dyDescent="0.15">
      <c r="A77" s="6" t="s">
        <v>96</v>
      </c>
      <c r="B77" s="11">
        <v>17843.7</v>
      </c>
      <c r="C77" s="11">
        <v>17843.7</v>
      </c>
      <c r="D77" s="11">
        <v>17843.7</v>
      </c>
      <c r="E77" s="11">
        <v>17843.7</v>
      </c>
      <c r="F77" s="11">
        <v>17843.7</v>
      </c>
      <c r="G77" s="11">
        <v>17843.7</v>
      </c>
      <c r="H77" s="8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</row>
    <row r="78" spans="1:29" ht="14" x14ac:dyDescent="0.15">
      <c r="A78" s="13" t="s">
        <v>97</v>
      </c>
      <c r="B78" s="10">
        <v>0</v>
      </c>
      <c r="C78" s="10">
        <v>0</v>
      </c>
      <c r="D78" s="16">
        <v>-568854.88</v>
      </c>
      <c r="E78" s="16">
        <v>-621034.47</v>
      </c>
      <c r="F78" s="16">
        <v>-769609.82</v>
      </c>
      <c r="G78" s="16">
        <v>-1710576.27</v>
      </c>
      <c r="H78" s="8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</row>
    <row r="79" spans="1:29" ht="14" x14ac:dyDescent="0.15">
      <c r="A79" s="6" t="s">
        <v>98</v>
      </c>
      <c r="B79" s="11">
        <v>128647.14</v>
      </c>
      <c r="C79" s="11">
        <v>128647.14</v>
      </c>
      <c r="D79" s="11">
        <v>128647.14</v>
      </c>
      <c r="E79" s="11">
        <v>128647.14</v>
      </c>
      <c r="F79" s="11">
        <v>128647.14</v>
      </c>
      <c r="G79" s="11">
        <v>128647.14</v>
      </c>
      <c r="H79" s="8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</row>
    <row r="80" spans="1:29" ht="14" x14ac:dyDescent="0.15">
      <c r="A80" s="6" t="s">
        <v>99</v>
      </c>
      <c r="B80" s="11">
        <v>146490.84</v>
      </c>
      <c r="C80" s="11">
        <v>146490.84</v>
      </c>
      <c r="D80" s="16">
        <v>-422364.04</v>
      </c>
      <c r="E80" s="16">
        <v>-474543.63</v>
      </c>
      <c r="F80" s="16">
        <v>-623118.98</v>
      </c>
      <c r="G80" s="16">
        <v>-1564085.43</v>
      </c>
      <c r="H80" s="8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</row>
    <row r="81" spans="1:29" ht="14" x14ac:dyDescent="0.15">
      <c r="A81" s="6" t="s">
        <v>100</v>
      </c>
      <c r="B81" s="16">
        <v>-140937.43</v>
      </c>
      <c r="C81" s="16">
        <v>-27113.67</v>
      </c>
      <c r="D81" s="16">
        <v>-90095.83</v>
      </c>
      <c r="E81" s="16">
        <v>-17434.62</v>
      </c>
      <c r="F81" s="11">
        <v>142798.84</v>
      </c>
      <c r="G81" s="11">
        <v>854613</v>
      </c>
      <c r="H81" s="17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</row>
    <row r="82" spans="1:29" ht="14" x14ac:dyDescent="0.15">
      <c r="A82" s="6" t="s">
        <v>101</v>
      </c>
      <c r="B82" s="11">
        <v>108835.55</v>
      </c>
      <c r="C82" s="16">
        <v>-43267.839999999997</v>
      </c>
      <c r="D82" s="11">
        <v>638354.73</v>
      </c>
      <c r="E82" s="11">
        <v>780854.95</v>
      </c>
      <c r="F82" s="11">
        <v>1481423.98</v>
      </c>
      <c r="G82" s="11">
        <v>2151023.77</v>
      </c>
      <c r="H82" s="8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</row>
    <row r="83" spans="1:29" ht="14" x14ac:dyDescent="0.15">
      <c r="A83" s="6" t="s">
        <v>102</v>
      </c>
      <c r="B83" s="11">
        <v>114388.96</v>
      </c>
      <c r="C83" s="11">
        <v>76109.33</v>
      </c>
      <c r="D83" s="11">
        <v>125894.86</v>
      </c>
      <c r="E83" s="11">
        <v>288876.7</v>
      </c>
      <c r="F83" s="11">
        <v>1001103.84</v>
      </c>
      <c r="G83" s="11">
        <v>1441551.34</v>
      </c>
      <c r="H83" s="8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</row>
    <row r="84" spans="1:29" ht="14" x14ac:dyDescent="0.15">
      <c r="A84" s="6" t="s">
        <v>103</v>
      </c>
      <c r="B84" s="11">
        <v>1350685.39</v>
      </c>
      <c r="C84" s="11">
        <v>1137446.44</v>
      </c>
      <c r="D84" s="11">
        <v>909855.9</v>
      </c>
      <c r="E84" s="11">
        <v>3304663.04</v>
      </c>
      <c r="F84" s="11">
        <v>2953901.15</v>
      </c>
      <c r="G84" s="11">
        <v>4380954.8899999997</v>
      </c>
      <c r="H84" s="8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</row>
    <row r="85" spans="1:29" ht="14" x14ac:dyDescent="0.15">
      <c r="A85" s="5"/>
      <c r="B85" s="3"/>
      <c r="C85" s="3"/>
      <c r="D85" s="3"/>
      <c r="E85" s="3"/>
      <c r="F85" s="3"/>
      <c r="G85" s="3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</row>
    <row r="86" spans="1:29" ht="14" x14ac:dyDescent="0.15">
      <c r="A86" s="5"/>
      <c r="B86" s="3"/>
      <c r="C86" s="3"/>
      <c r="D86" s="3"/>
      <c r="E86" s="3"/>
      <c r="F86" s="3"/>
      <c r="G86" s="3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</row>
    <row r="87" spans="1:29" ht="14" x14ac:dyDescent="0.15">
      <c r="A87" s="5"/>
      <c r="B87" s="3"/>
      <c r="C87" s="3"/>
      <c r="D87" s="3"/>
      <c r="E87" s="3"/>
      <c r="F87" s="3"/>
      <c r="G87" s="3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</row>
    <row r="88" spans="1:29" ht="14" x14ac:dyDescent="0.15">
      <c r="A88" s="5"/>
      <c r="B88" s="3"/>
      <c r="C88" s="3"/>
      <c r="D88" s="3"/>
      <c r="E88" s="3"/>
      <c r="F88" s="3"/>
      <c r="G88" s="3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</row>
    <row r="89" spans="1:29" ht="14" x14ac:dyDescent="0.15">
      <c r="A89" s="5"/>
      <c r="B89" s="3"/>
      <c r="C89" s="3"/>
      <c r="D89" s="3"/>
      <c r="E89" s="3"/>
      <c r="F89" s="3"/>
      <c r="G89" s="3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</row>
    <row r="90" spans="1:29" ht="14" x14ac:dyDescent="0.15">
      <c r="A90" s="5"/>
      <c r="B90" s="3"/>
      <c r="C90" s="3"/>
      <c r="D90" s="3"/>
      <c r="E90" s="3"/>
      <c r="F90" s="3"/>
      <c r="G90" s="3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</row>
    <row r="91" spans="1:29" ht="14" x14ac:dyDescent="0.15">
      <c r="A91" s="5"/>
      <c r="B91" s="3"/>
      <c r="C91" s="3"/>
      <c r="D91" s="3"/>
      <c r="E91" s="3"/>
      <c r="F91" s="3"/>
      <c r="G91" s="3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</row>
    <row r="92" spans="1:29" ht="14" x14ac:dyDescent="0.15">
      <c r="A92" s="5"/>
      <c r="B92" s="3"/>
      <c r="C92" s="3"/>
      <c r="D92" s="3"/>
      <c r="E92" s="3"/>
      <c r="F92" s="3"/>
      <c r="G92" s="3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</row>
    <row r="93" spans="1:29" ht="14" x14ac:dyDescent="0.15">
      <c r="A93" s="5"/>
      <c r="B93" s="3"/>
      <c r="C93" s="3"/>
      <c r="D93" s="3"/>
      <c r="E93" s="3"/>
      <c r="F93" s="3"/>
      <c r="G93" s="3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</row>
    <row r="94" spans="1:29" ht="14" x14ac:dyDescent="0.15">
      <c r="A94" s="5"/>
      <c r="B94" s="3"/>
      <c r="C94" s="3"/>
      <c r="D94" s="3"/>
      <c r="E94" s="3"/>
      <c r="F94" s="3"/>
      <c r="G94" s="3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</row>
    <row r="95" spans="1:29" ht="14" x14ac:dyDescent="0.15">
      <c r="A95" s="5"/>
      <c r="B95" s="3"/>
      <c r="C95" s="3"/>
      <c r="D95" s="3"/>
      <c r="E95" s="3"/>
      <c r="F95" s="3"/>
      <c r="G95" s="3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</row>
    <row r="96" spans="1:29" ht="14" x14ac:dyDescent="0.15">
      <c r="A96" s="5"/>
      <c r="B96" s="3"/>
      <c r="C96" s="3"/>
      <c r="D96" s="3"/>
      <c r="E96" s="3"/>
      <c r="F96" s="3"/>
      <c r="G96" s="3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</row>
    <row r="97" spans="1:29" ht="14" x14ac:dyDescent="0.15">
      <c r="A97" s="5"/>
      <c r="B97" s="3"/>
      <c r="C97" s="3"/>
      <c r="D97" s="3"/>
      <c r="E97" s="3"/>
      <c r="F97" s="3"/>
      <c r="G97" s="3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</row>
    <row r="98" spans="1:29" ht="14" x14ac:dyDescent="0.15">
      <c r="A98" s="5"/>
      <c r="B98" s="3"/>
      <c r="C98" s="3"/>
      <c r="D98" s="3"/>
      <c r="E98" s="3"/>
      <c r="F98" s="3"/>
      <c r="G98" s="3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</row>
    <row r="99" spans="1:29" ht="14" x14ac:dyDescent="0.15">
      <c r="A99" s="5"/>
      <c r="B99" s="3"/>
      <c r="C99" s="3"/>
      <c r="D99" s="3"/>
      <c r="E99" s="3"/>
      <c r="F99" s="3"/>
      <c r="G99" s="3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</row>
    <row r="100" spans="1:29" ht="14" x14ac:dyDescent="0.15">
      <c r="A100" s="5"/>
      <c r="B100" s="3"/>
      <c r="C100" s="3"/>
      <c r="D100" s="3"/>
      <c r="E100" s="3"/>
      <c r="F100" s="3"/>
      <c r="G100" s="3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</row>
    <row r="101" spans="1:29" ht="14" x14ac:dyDescent="0.15">
      <c r="A101" s="5"/>
      <c r="B101" s="3"/>
      <c r="C101" s="3"/>
      <c r="D101" s="3"/>
      <c r="E101" s="3"/>
      <c r="F101" s="3"/>
      <c r="G101" s="3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</row>
    <row r="102" spans="1:29" ht="14" x14ac:dyDescent="0.15">
      <c r="A102" s="5"/>
      <c r="B102" s="3"/>
      <c r="C102" s="3"/>
      <c r="D102" s="3"/>
      <c r="E102" s="3"/>
      <c r="F102" s="3"/>
      <c r="G102" s="3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</row>
    <row r="103" spans="1:29" ht="14" x14ac:dyDescent="0.15">
      <c r="A103" s="5"/>
      <c r="B103" s="3"/>
      <c r="C103" s="3"/>
      <c r="D103" s="3"/>
      <c r="E103" s="3"/>
      <c r="F103" s="3"/>
      <c r="G103" s="3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</row>
    <row r="104" spans="1:29" ht="14" x14ac:dyDescent="0.15">
      <c r="A104" s="5"/>
      <c r="B104" s="3"/>
      <c r="C104" s="3"/>
      <c r="D104" s="3"/>
      <c r="E104" s="3"/>
      <c r="F104" s="3"/>
      <c r="G104" s="3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</row>
    <row r="105" spans="1:29" ht="14" x14ac:dyDescent="0.15">
      <c r="A105" s="5"/>
      <c r="B105" s="3"/>
      <c r="C105" s="3"/>
      <c r="D105" s="3"/>
      <c r="E105" s="3"/>
      <c r="F105" s="3"/>
      <c r="G105" s="3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</row>
    <row r="106" spans="1:29" ht="14" x14ac:dyDescent="0.15">
      <c r="A106" s="5"/>
      <c r="B106" s="3"/>
      <c r="C106" s="3"/>
      <c r="D106" s="3"/>
      <c r="E106" s="3"/>
      <c r="F106" s="3"/>
      <c r="G106" s="3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</row>
    <row r="107" spans="1:29" ht="14" x14ac:dyDescent="0.15">
      <c r="A107" s="5"/>
      <c r="B107" s="3"/>
      <c r="C107" s="3"/>
      <c r="D107" s="3"/>
      <c r="E107" s="3"/>
      <c r="F107" s="3"/>
      <c r="G107" s="3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</row>
    <row r="108" spans="1:29" ht="14" x14ac:dyDescent="0.15">
      <c r="A108" s="5"/>
      <c r="B108" s="3"/>
      <c r="C108" s="3"/>
      <c r="D108" s="3"/>
      <c r="E108" s="3"/>
      <c r="F108" s="3"/>
      <c r="G108" s="3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</row>
    <row r="109" spans="1:29" ht="14" x14ac:dyDescent="0.15">
      <c r="A109" s="5"/>
      <c r="B109" s="3"/>
      <c r="C109" s="3"/>
      <c r="D109" s="3"/>
      <c r="E109" s="3"/>
      <c r="F109" s="3"/>
      <c r="G109" s="3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</row>
    <row r="110" spans="1:29" ht="14" x14ac:dyDescent="0.15">
      <c r="A110" s="5"/>
      <c r="B110" s="3"/>
      <c r="C110" s="3"/>
      <c r="D110" s="3"/>
      <c r="E110" s="3"/>
      <c r="F110" s="3"/>
      <c r="G110" s="3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</row>
    <row r="111" spans="1:29" ht="14" x14ac:dyDescent="0.15">
      <c r="A111" s="5"/>
      <c r="B111" s="3"/>
      <c r="C111" s="3"/>
      <c r="D111" s="3"/>
      <c r="E111" s="3"/>
      <c r="F111" s="3"/>
      <c r="G111" s="3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</row>
    <row r="112" spans="1:29" ht="14" x14ac:dyDescent="0.15">
      <c r="A112" s="5"/>
      <c r="B112" s="3"/>
      <c r="C112" s="3"/>
      <c r="D112" s="3"/>
      <c r="E112" s="3"/>
      <c r="F112" s="3"/>
      <c r="G112" s="3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</row>
    <row r="113" spans="1:29" ht="14" x14ac:dyDescent="0.15">
      <c r="A113" s="5"/>
      <c r="B113" s="3"/>
      <c r="C113" s="3"/>
      <c r="D113" s="3"/>
      <c r="E113" s="3"/>
      <c r="F113" s="3"/>
      <c r="G113" s="3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</row>
    <row r="114" spans="1:29" ht="14" x14ac:dyDescent="0.15">
      <c r="A114" s="5"/>
      <c r="B114" s="3"/>
      <c r="C114" s="3"/>
      <c r="D114" s="3"/>
      <c r="E114" s="3"/>
      <c r="F114" s="3"/>
      <c r="G114" s="3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</row>
    <row r="115" spans="1:29" ht="14" x14ac:dyDescent="0.15">
      <c r="A115" s="5"/>
      <c r="B115" s="3"/>
      <c r="C115" s="3"/>
      <c r="D115" s="3"/>
      <c r="E115" s="3"/>
      <c r="F115" s="3"/>
      <c r="G115" s="3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</row>
    <row r="116" spans="1:29" ht="14" x14ac:dyDescent="0.15">
      <c r="A116" s="5"/>
      <c r="B116" s="3"/>
      <c r="C116" s="3"/>
      <c r="D116" s="3"/>
      <c r="E116" s="3"/>
      <c r="F116" s="3"/>
      <c r="G116" s="3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</row>
    <row r="117" spans="1:29" ht="14" x14ac:dyDescent="0.15">
      <c r="A117" s="5"/>
      <c r="B117" s="3"/>
      <c r="C117" s="3"/>
      <c r="D117" s="3"/>
      <c r="E117" s="3"/>
      <c r="F117" s="3"/>
      <c r="G117" s="3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</row>
    <row r="118" spans="1:29" ht="14" x14ac:dyDescent="0.15">
      <c r="A118" s="5"/>
      <c r="B118" s="3"/>
      <c r="C118" s="3"/>
      <c r="D118" s="3"/>
      <c r="E118" s="3"/>
      <c r="F118" s="3"/>
      <c r="G118" s="3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</row>
    <row r="119" spans="1:29" ht="14" x14ac:dyDescent="0.15">
      <c r="A119" s="5"/>
      <c r="B119" s="3"/>
      <c r="C119" s="3"/>
      <c r="D119" s="3"/>
      <c r="E119" s="3"/>
      <c r="F119" s="3"/>
      <c r="G119" s="3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</row>
    <row r="120" spans="1:29" ht="14" x14ac:dyDescent="0.15">
      <c r="A120" s="5"/>
      <c r="B120" s="3"/>
      <c r="C120" s="3"/>
      <c r="D120" s="3"/>
      <c r="E120" s="3"/>
      <c r="F120" s="3"/>
      <c r="G120" s="3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</row>
    <row r="121" spans="1:29" ht="14" x14ac:dyDescent="0.15">
      <c r="A121" s="5"/>
      <c r="B121" s="3"/>
      <c r="C121" s="3"/>
      <c r="D121" s="3"/>
      <c r="E121" s="3"/>
      <c r="F121" s="3"/>
      <c r="G121" s="3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</row>
    <row r="122" spans="1:29" ht="14" x14ac:dyDescent="0.15">
      <c r="A122" s="5"/>
      <c r="B122" s="3"/>
      <c r="C122" s="3"/>
      <c r="D122" s="3"/>
      <c r="E122" s="3"/>
      <c r="F122" s="3"/>
      <c r="G122" s="3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</row>
    <row r="123" spans="1:29" ht="14" x14ac:dyDescent="0.15">
      <c r="A123" s="5"/>
      <c r="B123" s="3"/>
      <c r="C123" s="3"/>
      <c r="D123" s="3"/>
      <c r="E123" s="3"/>
      <c r="F123" s="3"/>
      <c r="G123" s="3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</row>
    <row r="124" spans="1:29" ht="14" x14ac:dyDescent="0.15">
      <c r="A124" s="5"/>
      <c r="B124" s="3"/>
      <c r="C124" s="3"/>
      <c r="D124" s="3"/>
      <c r="E124" s="3"/>
      <c r="F124" s="3"/>
      <c r="G124" s="3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</row>
    <row r="125" spans="1:29" ht="14" x14ac:dyDescent="0.15">
      <c r="A125" s="5"/>
      <c r="B125" s="3"/>
      <c r="C125" s="3"/>
      <c r="D125" s="3"/>
      <c r="E125" s="3"/>
      <c r="F125" s="3"/>
      <c r="G125" s="3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</row>
    <row r="126" spans="1:29" ht="14" x14ac:dyDescent="0.15">
      <c r="A126" s="5"/>
      <c r="B126" s="3"/>
      <c r="C126" s="3"/>
      <c r="D126" s="3"/>
      <c r="E126" s="3"/>
      <c r="F126" s="3"/>
      <c r="G126" s="3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</row>
    <row r="127" spans="1:29" ht="14" x14ac:dyDescent="0.15">
      <c r="A127" s="5"/>
      <c r="B127" s="3"/>
      <c r="C127" s="3"/>
      <c r="D127" s="3"/>
      <c r="E127" s="3"/>
      <c r="F127" s="3"/>
      <c r="G127" s="3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</row>
    <row r="128" spans="1:29" ht="14" x14ac:dyDescent="0.15">
      <c r="A128" s="5"/>
      <c r="B128" s="3"/>
      <c r="C128" s="3"/>
      <c r="D128" s="3"/>
      <c r="E128" s="3"/>
      <c r="F128" s="3"/>
      <c r="G128" s="3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</row>
    <row r="129" spans="1:29" ht="14" x14ac:dyDescent="0.15">
      <c r="A129" s="5"/>
      <c r="B129" s="3"/>
      <c r="C129" s="3"/>
      <c r="D129" s="3"/>
      <c r="E129" s="3"/>
      <c r="F129" s="3"/>
      <c r="G129" s="3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</row>
    <row r="130" spans="1:29" ht="14" x14ac:dyDescent="0.15">
      <c r="A130" s="5"/>
      <c r="B130" s="3"/>
      <c r="C130" s="3"/>
      <c r="D130" s="3"/>
      <c r="E130" s="3"/>
      <c r="F130" s="3"/>
      <c r="G130" s="3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</row>
    <row r="131" spans="1:29" ht="14" x14ac:dyDescent="0.15">
      <c r="A131" s="5"/>
      <c r="B131" s="3"/>
      <c r="C131" s="3"/>
      <c r="D131" s="3"/>
      <c r="E131" s="3"/>
      <c r="F131" s="3"/>
      <c r="G131" s="3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</row>
    <row r="132" spans="1:29" ht="14" x14ac:dyDescent="0.15">
      <c r="A132" s="5"/>
      <c r="B132" s="3"/>
      <c r="C132" s="3"/>
      <c r="D132" s="3"/>
      <c r="E132" s="3"/>
      <c r="F132" s="3"/>
      <c r="G132" s="3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</row>
    <row r="133" spans="1:29" ht="14" x14ac:dyDescent="0.15">
      <c r="A133" s="5"/>
      <c r="B133" s="3"/>
      <c r="C133" s="3"/>
      <c r="D133" s="3"/>
      <c r="E133" s="3"/>
      <c r="F133" s="3"/>
      <c r="G133" s="3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</row>
    <row r="134" spans="1:29" ht="14" x14ac:dyDescent="0.15">
      <c r="A134" s="5"/>
      <c r="B134" s="3"/>
      <c r="C134" s="3"/>
      <c r="D134" s="3"/>
      <c r="E134" s="3"/>
      <c r="F134" s="3"/>
      <c r="G134" s="3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</row>
    <row r="135" spans="1:29" ht="14" x14ac:dyDescent="0.15">
      <c r="A135" s="5"/>
      <c r="B135" s="3"/>
      <c r="C135" s="3"/>
      <c r="D135" s="3"/>
      <c r="E135" s="3"/>
      <c r="F135" s="3"/>
      <c r="G135" s="3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</row>
    <row r="136" spans="1:29" ht="14" x14ac:dyDescent="0.15">
      <c r="A136" s="5"/>
      <c r="B136" s="3"/>
      <c r="C136" s="3"/>
      <c r="D136" s="3"/>
      <c r="E136" s="3"/>
      <c r="F136" s="3"/>
      <c r="G136" s="3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</row>
    <row r="137" spans="1:29" ht="14" x14ac:dyDescent="0.15">
      <c r="A137" s="5"/>
      <c r="B137" s="3"/>
      <c r="C137" s="3"/>
      <c r="D137" s="3"/>
      <c r="E137" s="3"/>
      <c r="F137" s="3"/>
      <c r="G137" s="3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</row>
    <row r="138" spans="1:29" ht="14" x14ac:dyDescent="0.15">
      <c r="A138" s="5"/>
      <c r="B138" s="3"/>
      <c r="C138" s="3"/>
      <c r="D138" s="3"/>
      <c r="E138" s="3"/>
      <c r="F138" s="3"/>
      <c r="G138" s="3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</row>
    <row r="139" spans="1:29" ht="14" x14ac:dyDescent="0.15">
      <c r="A139" s="5"/>
      <c r="B139" s="3"/>
      <c r="C139" s="3"/>
      <c r="D139" s="3"/>
      <c r="E139" s="3"/>
      <c r="F139" s="3"/>
      <c r="G139" s="3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</row>
    <row r="140" spans="1:29" ht="14" x14ac:dyDescent="0.15">
      <c r="A140" s="5"/>
      <c r="B140" s="3"/>
      <c r="C140" s="3"/>
      <c r="D140" s="3"/>
      <c r="E140" s="3"/>
      <c r="F140" s="3"/>
      <c r="G140" s="3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</row>
    <row r="141" spans="1:29" ht="14" x14ac:dyDescent="0.15">
      <c r="A141" s="5"/>
      <c r="B141" s="3"/>
      <c r="C141" s="3"/>
      <c r="D141" s="3"/>
      <c r="E141" s="3"/>
      <c r="F141" s="3"/>
      <c r="G141" s="3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</row>
    <row r="142" spans="1:29" ht="14" x14ac:dyDescent="0.15">
      <c r="A142" s="5"/>
      <c r="B142" s="3"/>
      <c r="C142" s="3"/>
      <c r="D142" s="3"/>
      <c r="E142" s="3"/>
      <c r="F142" s="3"/>
      <c r="G142" s="3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</row>
    <row r="143" spans="1:29" ht="14" x14ac:dyDescent="0.15">
      <c r="A143" s="5"/>
      <c r="B143" s="3"/>
      <c r="C143" s="3"/>
      <c r="D143" s="3"/>
      <c r="E143" s="3"/>
      <c r="F143" s="3"/>
      <c r="G143" s="3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</row>
    <row r="144" spans="1:29" ht="14" x14ac:dyDescent="0.15">
      <c r="A144" s="5"/>
      <c r="B144" s="3"/>
      <c r="C144" s="3"/>
      <c r="D144" s="3"/>
      <c r="E144" s="3"/>
      <c r="F144" s="3"/>
      <c r="G144" s="3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</row>
    <row r="145" spans="1:29" ht="14" x14ac:dyDescent="0.15">
      <c r="A145" s="5"/>
      <c r="B145" s="3"/>
      <c r="C145" s="3"/>
      <c r="D145" s="3"/>
      <c r="E145" s="3"/>
      <c r="F145" s="3"/>
      <c r="G145" s="3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</row>
    <row r="146" spans="1:29" ht="14" x14ac:dyDescent="0.15">
      <c r="A146" s="5"/>
      <c r="B146" s="3"/>
      <c r="C146" s="3"/>
      <c r="D146" s="3"/>
      <c r="E146" s="3"/>
      <c r="F146" s="3"/>
      <c r="G146" s="3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</row>
    <row r="147" spans="1:29" ht="14" x14ac:dyDescent="0.15">
      <c r="A147" s="5"/>
      <c r="B147" s="3"/>
      <c r="C147" s="3"/>
      <c r="D147" s="3"/>
      <c r="E147" s="3"/>
      <c r="F147" s="3"/>
      <c r="G147" s="3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</row>
    <row r="148" spans="1:29" ht="14" x14ac:dyDescent="0.15">
      <c r="A148" s="5"/>
      <c r="B148" s="3"/>
      <c r="C148" s="3"/>
      <c r="D148" s="3"/>
      <c r="E148" s="3"/>
      <c r="F148" s="3"/>
      <c r="G148" s="3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</row>
    <row r="149" spans="1:29" ht="14" x14ac:dyDescent="0.15">
      <c r="A149" s="5"/>
      <c r="B149" s="3"/>
      <c r="C149" s="3"/>
      <c r="D149" s="3"/>
      <c r="E149" s="3"/>
      <c r="F149" s="3"/>
      <c r="G149" s="3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</row>
    <row r="150" spans="1:29" ht="14" x14ac:dyDescent="0.15">
      <c r="A150" s="5"/>
      <c r="B150" s="3"/>
      <c r="C150" s="3"/>
      <c r="D150" s="3"/>
      <c r="E150" s="3"/>
      <c r="F150" s="3"/>
      <c r="G150" s="3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</row>
    <row r="151" spans="1:29" ht="14" x14ac:dyDescent="0.15">
      <c r="A151" s="5"/>
      <c r="B151" s="3"/>
      <c r="C151" s="3"/>
      <c r="D151" s="3"/>
      <c r="E151" s="3"/>
      <c r="F151" s="3"/>
      <c r="G151" s="3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</row>
    <row r="152" spans="1:29" ht="14" x14ac:dyDescent="0.15">
      <c r="A152" s="5"/>
      <c r="B152" s="3"/>
      <c r="C152" s="3"/>
      <c r="D152" s="3"/>
      <c r="E152" s="3"/>
      <c r="F152" s="3"/>
      <c r="G152" s="3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</row>
    <row r="153" spans="1:29" ht="14" x14ac:dyDescent="0.15">
      <c r="A153" s="5"/>
      <c r="B153" s="3"/>
      <c r="C153" s="3"/>
      <c r="D153" s="3"/>
      <c r="E153" s="3"/>
      <c r="F153" s="3"/>
      <c r="G153" s="3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</row>
    <row r="154" spans="1:29" ht="14" x14ac:dyDescent="0.15">
      <c r="A154" s="5"/>
      <c r="B154" s="3"/>
      <c r="C154" s="3"/>
      <c r="D154" s="3"/>
      <c r="E154" s="3"/>
      <c r="F154" s="3"/>
      <c r="G154" s="3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</row>
    <row r="155" spans="1:29" ht="14" x14ac:dyDescent="0.15">
      <c r="A155" s="5"/>
      <c r="B155" s="3"/>
      <c r="C155" s="3"/>
      <c r="D155" s="3"/>
      <c r="E155" s="3"/>
      <c r="F155" s="3"/>
      <c r="G155" s="3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</row>
    <row r="156" spans="1:29" ht="14" x14ac:dyDescent="0.15">
      <c r="A156" s="5"/>
      <c r="B156" s="3"/>
      <c r="C156" s="3"/>
      <c r="D156" s="3"/>
      <c r="E156" s="3"/>
      <c r="F156" s="3"/>
      <c r="G156" s="3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</row>
    <row r="157" spans="1:29" ht="14" x14ac:dyDescent="0.15">
      <c r="A157" s="5"/>
      <c r="B157" s="3"/>
      <c r="C157" s="3"/>
      <c r="D157" s="3"/>
      <c r="E157" s="3"/>
      <c r="F157" s="3"/>
      <c r="G157" s="3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</row>
    <row r="158" spans="1:29" ht="14" x14ac:dyDescent="0.15">
      <c r="A158" s="5"/>
      <c r="B158" s="3"/>
      <c r="C158" s="3"/>
      <c r="D158" s="3"/>
      <c r="E158" s="3"/>
      <c r="F158" s="3"/>
      <c r="G158" s="3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</row>
    <row r="159" spans="1:29" ht="14" x14ac:dyDescent="0.15">
      <c r="A159" s="5"/>
      <c r="B159" s="3"/>
      <c r="C159" s="3"/>
      <c r="D159" s="3"/>
      <c r="E159" s="3"/>
      <c r="F159" s="3"/>
      <c r="G159" s="3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</row>
    <row r="160" spans="1:29" ht="14" x14ac:dyDescent="0.15">
      <c r="A160" s="5"/>
      <c r="B160" s="3"/>
      <c r="C160" s="3"/>
      <c r="D160" s="3"/>
      <c r="E160" s="3"/>
      <c r="F160" s="3"/>
      <c r="G160" s="3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</row>
    <row r="161" spans="1:29" ht="14" x14ac:dyDescent="0.15">
      <c r="A161" s="5"/>
      <c r="B161" s="3"/>
      <c r="C161" s="3"/>
      <c r="D161" s="3"/>
      <c r="E161" s="3"/>
      <c r="F161" s="3"/>
      <c r="G161" s="3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</row>
    <row r="162" spans="1:29" ht="14" x14ac:dyDescent="0.15">
      <c r="A162" s="5"/>
      <c r="B162" s="3"/>
      <c r="C162" s="3"/>
      <c r="D162" s="3"/>
      <c r="E162" s="3"/>
      <c r="F162" s="3"/>
      <c r="G162" s="3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</row>
    <row r="163" spans="1:29" ht="14" x14ac:dyDescent="0.15">
      <c r="A163" s="5"/>
      <c r="B163" s="3"/>
      <c r="C163" s="3"/>
      <c r="D163" s="3"/>
      <c r="E163" s="3"/>
      <c r="F163" s="3"/>
      <c r="G163" s="3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</row>
    <row r="164" spans="1:29" ht="14" x14ac:dyDescent="0.15">
      <c r="A164" s="5"/>
      <c r="B164" s="3"/>
      <c r="C164" s="3"/>
      <c r="D164" s="3"/>
      <c r="E164" s="3"/>
      <c r="F164" s="3"/>
      <c r="G164" s="3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</row>
    <row r="165" spans="1:29" ht="14" x14ac:dyDescent="0.15">
      <c r="A165" s="5"/>
      <c r="B165" s="3"/>
      <c r="C165" s="3"/>
      <c r="D165" s="3"/>
      <c r="E165" s="3"/>
      <c r="F165" s="3"/>
      <c r="G165" s="3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</row>
    <row r="166" spans="1:29" ht="14" x14ac:dyDescent="0.15">
      <c r="A166" s="5"/>
      <c r="B166" s="3"/>
      <c r="C166" s="3"/>
      <c r="D166" s="3"/>
      <c r="E166" s="3"/>
      <c r="F166" s="3"/>
      <c r="G166" s="3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</row>
    <row r="167" spans="1:29" ht="14" x14ac:dyDescent="0.15">
      <c r="A167" s="5"/>
      <c r="B167" s="3"/>
      <c r="C167" s="3"/>
      <c r="D167" s="3"/>
      <c r="E167" s="3"/>
      <c r="F167" s="3"/>
      <c r="G167" s="3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</row>
    <row r="168" spans="1:29" ht="14" x14ac:dyDescent="0.15">
      <c r="A168" s="5"/>
      <c r="B168" s="3"/>
      <c r="C168" s="3"/>
      <c r="D168" s="3"/>
      <c r="E168" s="3"/>
      <c r="F168" s="3"/>
      <c r="G168" s="3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</row>
    <row r="169" spans="1:29" ht="14" x14ac:dyDescent="0.15">
      <c r="A169" s="5"/>
      <c r="B169" s="3"/>
      <c r="C169" s="3"/>
      <c r="D169" s="3"/>
      <c r="E169" s="3"/>
      <c r="F169" s="3"/>
      <c r="G169" s="3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</row>
    <row r="170" spans="1:29" ht="14" x14ac:dyDescent="0.15">
      <c r="A170" s="5"/>
      <c r="B170" s="3"/>
      <c r="C170" s="3"/>
      <c r="D170" s="3"/>
      <c r="E170" s="3"/>
      <c r="F170" s="3"/>
      <c r="G170" s="3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</row>
    <row r="171" spans="1:29" ht="14" x14ac:dyDescent="0.15">
      <c r="A171" s="5"/>
      <c r="B171" s="3"/>
      <c r="C171" s="3"/>
      <c r="D171" s="3"/>
      <c r="E171" s="3"/>
      <c r="F171" s="3"/>
      <c r="G171" s="3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</row>
    <row r="172" spans="1:29" ht="14" x14ac:dyDescent="0.15">
      <c r="A172" s="5"/>
      <c r="B172" s="3"/>
      <c r="C172" s="3"/>
      <c r="D172" s="3"/>
      <c r="E172" s="3"/>
      <c r="F172" s="3"/>
      <c r="G172" s="3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</row>
    <row r="173" spans="1:29" ht="14" x14ac:dyDescent="0.15">
      <c r="A173" s="5"/>
      <c r="B173" s="3"/>
      <c r="C173" s="3"/>
      <c r="D173" s="3"/>
      <c r="E173" s="3"/>
      <c r="F173" s="3"/>
      <c r="G173" s="3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</row>
    <row r="174" spans="1:29" ht="14" x14ac:dyDescent="0.15">
      <c r="A174" s="5"/>
      <c r="B174" s="3"/>
      <c r="C174" s="3"/>
      <c r="D174" s="3"/>
      <c r="E174" s="3"/>
      <c r="F174" s="3"/>
      <c r="G174" s="3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</row>
    <row r="175" spans="1:29" ht="14" x14ac:dyDescent="0.15">
      <c r="A175" s="5"/>
      <c r="B175" s="3"/>
      <c r="C175" s="3"/>
      <c r="D175" s="3"/>
      <c r="E175" s="3"/>
      <c r="F175" s="3"/>
      <c r="G175" s="3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</row>
    <row r="176" spans="1:29" ht="14" x14ac:dyDescent="0.15">
      <c r="A176" s="5"/>
      <c r="B176" s="3"/>
      <c r="C176" s="3"/>
      <c r="D176" s="3"/>
      <c r="E176" s="3"/>
      <c r="F176" s="3"/>
      <c r="G176" s="3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</row>
    <row r="177" spans="1:29" ht="14" x14ac:dyDescent="0.15">
      <c r="A177" s="5"/>
      <c r="B177" s="3"/>
      <c r="C177" s="3"/>
      <c r="D177" s="3"/>
      <c r="E177" s="3"/>
      <c r="F177" s="3"/>
      <c r="G177" s="3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</row>
    <row r="178" spans="1:29" ht="14" x14ac:dyDescent="0.15">
      <c r="A178" s="5"/>
      <c r="B178" s="3"/>
      <c r="C178" s="3"/>
      <c r="D178" s="3"/>
      <c r="E178" s="3"/>
      <c r="F178" s="3"/>
      <c r="G178" s="3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</row>
    <row r="179" spans="1:29" ht="14" x14ac:dyDescent="0.15">
      <c r="A179" s="5"/>
      <c r="B179" s="3"/>
      <c r="C179" s="3"/>
      <c r="D179" s="3"/>
      <c r="E179" s="3"/>
      <c r="F179" s="3"/>
      <c r="G179" s="3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</row>
    <row r="180" spans="1:29" ht="14" x14ac:dyDescent="0.15">
      <c r="A180" s="5"/>
      <c r="B180" s="3"/>
      <c r="C180" s="3"/>
      <c r="D180" s="3"/>
      <c r="E180" s="3"/>
      <c r="F180" s="3"/>
      <c r="G180" s="3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</row>
    <row r="181" spans="1:29" ht="14" x14ac:dyDescent="0.15">
      <c r="A181" s="5"/>
      <c r="B181" s="3"/>
      <c r="C181" s="3"/>
      <c r="D181" s="3"/>
      <c r="E181" s="3"/>
      <c r="F181" s="3"/>
      <c r="G181" s="3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</row>
    <row r="182" spans="1:29" ht="14" x14ac:dyDescent="0.15">
      <c r="A182" s="5"/>
      <c r="B182" s="3"/>
      <c r="C182" s="3"/>
      <c r="D182" s="3"/>
      <c r="E182" s="3"/>
      <c r="F182" s="3"/>
      <c r="G182" s="3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</row>
    <row r="183" spans="1:29" ht="14" x14ac:dyDescent="0.15">
      <c r="A183" s="5"/>
      <c r="B183" s="3"/>
      <c r="C183" s="3"/>
      <c r="D183" s="3"/>
      <c r="E183" s="3"/>
      <c r="F183" s="3"/>
      <c r="G183" s="3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</row>
    <row r="184" spans="1:29" ht="14" x14ac:dyDescent="0.15">
      <c r="A184" s="5"/>
      <c r="B184" s="3"/>
      <c r="C184" s="3"/>
      <c r="D184" s="3"/>
      <c r="E184" s="3"/>
      <c r="F184" s="3"/>
      <c r="G184" s="3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</row>
    <row r="185" spans="1:29" ht="14" x14ac:dyDescent="0.15">
      <c r="A185" s="5"/>
      <c r="B185" s="3"/>
      <c r="C185" s="3"/>
      <c r="D185" s="3"/>
      <c r="E185" s="3"/>
      <c r="F185" s="3"/>
      <c r="G185" s="3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</row>
    <row r="186" spans="1:29" ht="14" x14ac:dyDescent="0.15">
      <c r="A186" s="5"/>
      <c r="B186" s="3"/>
      <c r="C186" s="3"/>
      <c r="D186" s="3"/>
      <c r="E186" s="3"/>
      <c r="F186" s="3"/>
      <c r="G186" s="3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</row>
    <row r="187" spans="1:29" ht="14" x14ac:dyDescent="0.15">
      <c r="A187" s="5"/>
      <c r="B187" s="3"/>
      <c r="C187" s="3"/>
      <c r="D187" s="3"/>
      <c r="E187" s="3"/>
      <c r="F187" s="3"/>
      <c r="G187" s="3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</row>
    <row r="188" spans="1:29" ht="14" x14ac:dyDescent="0.15">
      <c r="A188" s="5"/>
      <c r="B188" s="3"/>
      <c r="C188" s="3"/>
      <c r="D188" s="3"/>
      <c r="E188" s="3"/>
      <c r="F188" s="3"/>
      <c r="G188" s="3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</row>
    <row r="189" spans="1:29" ht="14" x14ac:dyDescent="0.15">
      <c r="A189" s="5"/>
      <c r="B189" s="3"/>
      <c r="C189" s="3"/>
      <c r="D189" s="3"/>
      <c r="E189" s="3"/>
      <c r="F189" s="3"/>
      <c r="G189" s="3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</row>
    <row r="190" spans="1:29" ht="14" x14ac:dyDescent="0.15">
      <c r="A190" s="5"/>
      <c r="B190" s="3"/>
      <c r="C190" s="3"/>
      <c r="D190" s="3"/>
      <c r="E190" s="3"/>
      <c r="F190" s="3"/>
      <c r="G190" s="3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</row>
    <row r="191" spans="1:29" ht="14" x14ac:dyDescent="0.15">
      <c r="A191" s="5"/>
      <c r="B191" s="3"/>
      <c r="C191" s="3"/>
      <c r="D191" s="3"/>
      <c r="E191" s="3"/>
      <c r="F191" s="3"/>
      <c r="G191" s="3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</row>
    <row r="192" spans="1:29" ht="14" x14ac:dyDescent="0.15">
      <c r="A192" s="5"/>
      <c r="B192" s="3"/>
      <c r="C192" s="3"/>
      <c r="D192" s="3"/>
      <c r="E192" s="3"/>
      <c r="F192" s="3"/>
      <c r="G192" s="3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</row>
    <row r="193" spans="1:29" ht="14" x14ac:dyDescent="0.15">
      <c r="A193" s="5"/>
      <c r="B193" s="3"/>
      <c r="C193" s="3"/>
      <c r="D193" s="3"/>
      <c r="E193" s="3"/>
      <c r="F193" s="3"/>
      <c r="G193" s="3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</row>
    <row r="194" spans="1:29" ht="14" x14ac:dyDescent="0.15">
      <c r="A194" s="5"/>
      <c r="B194" s="3"/>
      <c r="C194" s="3"/>
      <c r="D194" s="3"/>
      <c r="E194" s="3"/>
      <c r="F194" s="3"/>
      <c r="G194" s="3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</row>
    <row r="195" spans="1:29" ht="14" x14ac:dyDescent="0.15">
      <c r="A195" s="5"/>
      <c r="B195" s="3"/>
      <c r="C195" s="3"/>
      <c r="D195" s="3"/>
      <c r="E195" s="3"/>
      <c r="F195" s="3"/>
      <c r="G195" s="3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</row>
    <row r="196" spans="1:29" ht="14" x14ac:dyDescent="0.15">
      <c r="A196" s="5"/>
      <c r="B196" s="3"/>
      <c r="C196" s="3"/>
      <c r="D196" s="3"/>
      <c r="E196" s="3"/>
      <c r="F196" s="3"/>
      <c r="G196" s="3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</row>
    <row r="197" spans="1:29" ht="14" x14ac:dyDescent="0.15">
      <c r="A197" s="5"/>
      <c r="B197" s="3"/>
      <c r="C197" s="3"/>
      <c r="D197" s="3"/>
      <c r="E197" s="3"/>
      <c r="F197" s="3"/>
      <c r="G197" s="3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</row>
    <row r="198" spans="1:29" ht="14" x14ac:dyDescent="0.15">
      <c r="A198" s="5"/>
      <c r="B198" s="3"/>
      <c r="C198" s="3"/>
      <c r="D198" s="3"/>
      <c r="E198" s="3"/>
      <c r="F198" s="3"/>
      <c r="G198" s="3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</row>
    <row r="199" spans="1:29" ht="14" x14ac:dyDescent="0.15">
      <c r="A199" s="5"/>
      <c r="B199" s="3"/>
      <c r="C199" s="3"/>
      <c r="D199" s="3"/>
      <c r="E199" s="3"/>
      <c r="F199" s="3"/>
      <c r="G199" s="3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</row>
    <row r="200" spans="1:29" ht="14" x14ac:dyDescent="0.15">
      <c r="A200" s="5"/>
      <c r="B200" s="3"/>
      <c r="C200" s="3"/>
      <c r="D200" s="3"/>
      <c r="E200" s="3"/>
      <c r="F200" s="3"/>
      <c r="G200" s="3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</row>
    <row r="201" spans="1:29" ht="14" x14ac:dyDescent="0.15">
      <c r="A201" s="5"/>
      <c r="B201" s="3"/>
      <c r="C201" s="3"/>
      <c r="D201" s="3"/>
      <c r="E201" s="3"/>
      <c r="F201" s="3"/>
      <c r="G201" s="3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</row>
    <row r="202" spans="1:29" ht="14" x14ac:dyDescent="0.15">
      <c r="A202" s="5"/>
      <c r="B202" s="3"/>
      <c r="C202" s="3"/>
      <c r="D202" s="3"/>
      <c r="E202" s="3"/>
      <c r="F202" s="3"/>
      <c r="G202" s="3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</row>
    <row r="203" spans="1:29" ht="14" x14ac:dyDescent="0.15">
      <c r="A203" s="5"/>
      <c r="B203" s="3"/>
      <c r="C203" s="3"/>
      <c r="D203" s="3"/>
      <c r="E203" s="3"/>
      <c r="F203" s="3"/>
      <c r="G203" s="3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</row>
    <row r="204" spans="1:29" ht="14" x14ac:dyDescent="0.15">
      <c r="A204" s="5"/>
      <c r="B204" s="3"/>
      <c r="C204" s="3"/>
      <c r="D204" s="3"/>
      <c r="E204" s="3"/>
      <c r="F204" s="3"/>
      <c r="G204" s="3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</row>
    <row r="205" spans="1:29" ht="14" x14ac:dyDescent="0.15">
      <c r="A205" s="5"/>
      <c r="B205" s="3"/>
      <c r="C205" s="3"/>
      <c r="D205" s="3"/>
      <c r="E205" s="3"/>
      <c r="F205" s="3"/>
      <c r="G205" s="3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</row>
    <row r="206" spans="1:29" ht="14" x14ac:dyDescent="0.15">
      <c r="A206" s="5"/>
      <c r="B206" s="3"/>
      <c r="C206" s="3"/>
      <c r="D206" s="3"/>
      <c r="E206" s="3"/>
      <c r="F206" s="3"/>
      <c r="G206" s="3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</row>
    <row r="207" spans="1:29" ht="14" x14ac:dyDescent="0.15">
      <c r="A207" s="5"/>
      <c r="B207" s="3"/>
      <c r="C207" s="3"/>
      <c r="D207" s="3"/>
      <c r="E207" s="3"/>
      <c r="F207" s="3"/>
      <c r="G207" s="3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</row>
    <row r="208" spans="1:29" ht="14" x14ac:dyDescent="0.15">
      <c r="A208" s="5"/>
      <c r="B208" s="3"/>
      <c r="C208" s="3"/>
      <c r="D208" s="3"/>
      <c r="E208" s="3"/>
      <c r="F208" s="3"/>
      <c r="G208" s="3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</row>
    <row r="209" spans="1:29" ht="14" x14ac:dyDescent="0.15">
      <c r="A209" s="5"/>
      <c r="B209" s="3"/>
      <c r="C209" s="3"/>
      <c r="D209" s="3"/>
      <c r="E209" s="3"/>
      <c r="F209" s="3"/>
      <c r="G209" s="3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</row>
    <row r="210" spans="1:29" ht="14" x14ac:dyDescent="0.15">
      <c r="A210" s="5"/>
      <c r="B210" s="3"/>
      <c r="C210" s="3"/>
      <c r="D210" s="3"/>
      <c r="E210" s="3"/>
      <c r="F210" s="3"/>
      <c r="G210" s="3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</row>
    <row r="211" spans="1:29" ht="14" x14ac:dyDescent="0.15">
      <c r="A211" s="5"/>
      <c r="B211" s="3"/>
      <c r="C211" s="3"/>
      <c r="D211" s="3"/>
      <c r="E211" s="3"/>
      <c r="F211" s="3"/>
      <c r="G211" s="3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</row>
    <row r="212" spans="1:29" ht="14" x14ac:dyDescent="0.15">
      <c r="A212" s="5"/>
      <c r="B212" s="3"/>
      <c r="C212" s="3"/>
      <c r="D212" s="3"/>
      <c r="E212" s="3"/>
      <c r="F212" s="3"/>
      <c r="G212" s="3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</row>
    <row r="213" spans="1:29" ht="14" x14ac:dyDescent="0.15">
      <c r="A213" s="5"/>
      <c r="B213" s="3"/>
      <c r="C213" s="3"/>
      <c r="D213" s="3"/>
      <c r="E213" s="3"/>
      <c r="F213" s="3"/>
      <c r="G213" s="3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</row>
    <row r="214" spans="1:29" ht="14" x14ac:dyDescent="0.15">
      <c r="A214" s="5"/>
      <c r="B214" s="3"/>
      <c r="C214" s="3"/>
      <c r="D214" s="3"/>
      <c r="E214" s="3"/>
      <c r="F214" s="3"/>
      <c r="G214" s="3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</row>
    <row r="215" spans="1:29" ht="14" x14ac:dyDescent="0.15">
      <c r="A215" s="5"/>
      <c r="B215" s="3"/>
      <c r="C215" s="3"/>
      <c r="D215" s="3"/>
      <c r="E215" s="3"/>
      <c r="F215" s="3"/>
      <c r="G215" s="3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</row>
    <row r="216" spans="1:29" ht="14" x14ac:dyDescent="0.15">
      <c r="A216" s="5"/>
      <c r="B216" s="3"/>
      <c r="C216" s="3"/>
      <c r="D216" s="3"/>
      <c r="E216" s="3"/>
      <c r="F216" s="3"/>
      <c r="G216" s="3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</row>
    <row r="217" spans="1:29" ht="14" x14ac:dyDescent="0.15">
      <c r="A217" s="5"/>
      <c r="B217" s="3"/>
      <c r="C217" s="3"/>
      <c r="D217" s="3"/>
      <c r="E217" s="3"/>
      <c r="F217" s="3"/>
      <c r="G217" s="3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</row>
    <row r="218" spans="1:29" ht="14" x14ac:dyDescent="0.15">
      <c r="A218" s="5"/>
      <c r="B218" s="3"/>
      <c r="C218" s="3"/>
      <c r="D218" s="3"/>
      <c r="E218" s="3"/>
      <c r="F218" s="3"/>
      <c r="G218" s="3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</row>
    <row r="219" spans="1:29" ht="14" x14ac:dyDescent="0.15">
      <c r="A219" s="5"/>
      <c r="B219" s="3"/>
      <c r="C219" s="3"/>
      <c r="D219" s="3"/>
      <c r="E219" s="3"/>
      <c r="F219" s="3"/>
      <c r="G219" s="3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</row>
    <row r="220" spans="1:29" ht="14" x14ac:dyDescent="0.15">
      <c r="A220" s="5"/>
      <c r="B220" s="3"/>
      <c r="C220" s="3"/>
      <c r="D220" s="3"/>
      <c r="E220" s="3"/>
      <c r="F220" s="3"/>
      <c r="G220" s="3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</row>
    <row r="221" spans="1:29" ht="14" x14ac:dyDescent="0.15">
      <c r="A221" s="5"/>
      <c r="B221" s="3"/>
      <c r="C221" s="3"/>
      <c r="D221" s="3"/>
      <c r="E221" s="3"/>
      <c r="F221" s="3"/>
      <c r="G221" s="3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</row>
    <row r="222" spans="1:29" ht="14" x14ac:dyDescent="0.15">
      <c r="A222" s="5"/>
      <c r="B222" s="3"/>
      <c r="C222" s="3"/>
      <c r="D222" s="3"/>
      <c r="E222" s="3"/>
      <c r="F222" s="3"/>
      <c r="G222" s="3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</row>
    <row r="223" spans="1:29" ht="14" x14ac:dyDescent="0.15">
      <c r="A223" s="5"/>
      <c r="B223" s="3"/>
      <c r="C223" s="3"/>
      <c r="D223" s="3"/>
      <c r="E223" s="3"/>
      <c r="F223" s="3"/>
      <c r="G223" s="3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</row>
    <row r="224" spans="1:29" ht="14" x14ac:dyDescent="0.15">
      <c r="A224" s="5"/>
      <c r="B224" s="3"/>
      <c r="C224" s="3"/>
      <c r="D224" s="3"/>
      <c r="E224" s="3"/>
      <c r="F224" s="3"/>
      <c r="G224" s="3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</row>
    <row r="225" spans="1:29" ht="14" x14ac:dyDescent="0.15">
      <c r="A225" s="5"/>
      <c r="B225" s="3"/>
      <c r="C225" s="3"/>
      <c r="D225" s="3"/>
      <c r="E225" s="3"/>
      <c r="F225" s="3"/>
      <c r="G225" s="3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</row>
    <row r="226" spans="1:29" ht="14" x14ac:dyDescent="0.15">
      <c r="A226" s="5"/>
      <c r="B226" s="3"/>
      <c r="C226" s="3"/>
      <c r="D226" s="3"/>
      <c r="E226" s="3"/>
      <c r="F226" s="3"/>
      <c r="G226" s="3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</row>
    <row r="227" spans="1:29" ht="14" x14ac:dyDescent="0.15">
      <c r="A227" s="5"/>
      <c r="B227" s="3"/>
      <c r="C227" s="3"/>
      <c r="D227" s="3"/>
      <c r="E227" s="3"/>
      <c r="F227" s="3"/>
      <c r="G227" s="3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</row>
    <row r="228" spans="1:29" ht="14" x14ac:dyDescent="0.15">
      <c r="A228" s="5"/>
      <c r="B228" s="3"/>
      <c r="C228" s="3"/>
      <c r="D228" s="3"/>
      <c r="E228" s="3"/>
      <c r="F228" s="3"/>
      <c r="G228" s="3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</row>
    <row r="229" spans="1:29" ht="14" x14ac:dyDescent="0.15">
      <c r="A229" s="5"/>
      <c r="B229" s="3"/>
      <c r="C229" s="3"/>
      <c r="D229" s="3"/>
      <c r="E229" s="3"/>
      <c r="F229" s="3"/>
      <c r="G229" s="3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</row>
    <row r="230" spans="1:29" ht="14" x14ac:dyDescent="0.15">
      <c r="A230" s="5"/>
      <c r="B230" s="3"/>
      <c r="C230" s="3"/>
      <c r="D230" s="3"/>
      <c r="E230" s="3"/>
      <c r="F230" s="3"/>
      <c r="G230" s="3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</row>
    <row r="231" spans="1:29" ht="14" x14ac:dyDescent="0.15">
      <c r="A231" s="5"/>
      <c r="B231" s="3"/>
      <c r="C231" s="3"/>
      <c r="D231" s="3"/>
      <c r="E231" s="3"/>
      <c r="F231" s="3"/>
      <c r="G231" s="3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</row>
    <row r="232" spans="1:29" ht="14" x14ac:dyDescent="0.15">
      <c r="A232" s="5"/>
      <c r="B232" s="3"/>
      <c r="C232" s="3"/>
      <c r="D232" s="3"/>
      <c r="E232" s="3"/>
      <c r="F232" s="3"/>
      <c r="G232" s="3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</row>
    <row r="233" spans="1:29" ht="14" x14ac:dyDescent="0.15">
      <c r="A233" s="5"/>
      <c r="B233" s="3"/>
      <c r="C233" s="3"/>
      <c r="D233" s="3"/>
      <c r="E233" s="3"/>
      <c r="F233" s="3"/>
      <c r="G233" s="3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</row>
    <row r="234" spans="1:29" ht="14" x14ac:dyDescent="0.15">
      <c r="A234" s="5"/>
      <c r="B234" s="3"/>
      <c r="C234" s="3"/>
      <c r="D234" s="3"/>
      <c r="E234" s="3"/>
      <c r="F234" s="3"/>
      <c r="G234" s="3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</row>
    <row r="235" spans="1:29" ht="14" x14ac:dyDescent="0.15">
      <c r="A235" s="5"/>
      <c r="B235" s="3"/>
      <c r="C235" s="3"/>
      <c r="D235" s="3"/>
      <c r="E235" s="3"/>
      <c r="F235" s="3"/>
      <c r="G235" s="3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</row>
    <row r="236" spans="1:29" ht="14" x14ac:dyDescent="0.15">
      <c r="A236" s="5"/>
      <c r="B236" s="3"/>
      <c r="C236" s="3"/>
      <c r="D236" s="3"/>
      <c r="E236" s="3"/>
      <c r="F236" s="3"/>
      <c r="G236" s="3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</row>
    <row r="237" spans="1:29" ht="14" x14ac:dyDescent="0.15">
      <c r="A237" s="5"/>
      <c r="B237" s="3"/>
      <c r="C237" s="3"/>
      <c r="D237" s="3"/>
      <c r="E237" s="3"/>
      <c r="F237" s="3"/>
      <c r="G237" s="3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</row>
    <row r="238" spans="1:29" ht="14" x14ac:dyDescent="0.15">
      <c r="A238" s="5"/>
      <c r="B238" s="3"/>
      <c r="C238" s="3"/>
      <c r="D238" s="3"/>
      <c r="E238" s="3"/>
      <c r="F238" s="3"/>
      <c r="G238" s="3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</row>
    <row r="239" spans="1:29" ht="14" x14ac:dyDescent="0.15">
      <c r="A239" s="5"/>
      <c r="B239" s="3"/>
      <c r="C239" s="3"/>
      <c r="D239" s="3"/>
      <c r="E239" s="3"/>
      <c r="F239" s="3"/>
      <c r="G239" s="3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</row>
    <row r="240" spans="1:29" ht="14" x14ac:dyDescent="0.15">
      <c r="A240" s="5"/>
      <c r="B240" s="3"/>
      <c r="C240" s="3"/>
      <c r="D240" s="3"/>
      <c r="E240" s="3"/>
      <c r="F240" s="3"/>
      <c r="G240" s="3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</row>
    <row r="241" spans="1:29" ht="14" x14ac:dyDescent="0.15">
      <c r="A241" s="5"/>
      <c r="B241" s="3"/>
      <c r="C241" s="3"/>
      <c r="D241" s="3"/>
      <c r="E241" s="3"/>
      <c r="F241" s="3"/>
      <c r="G241" s="3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</row>
    <row r="242" spans="1:29" ht="14" x14ac:dyDescent="0.15">
      <c r="A242" s="5"/>
      <c r="B242" s="3"/>
      <c r="C242" s="3"/>
      <c r="D242" s="3"/>
      <c r="E242" s="3"/>
      <c r="F242" s="3"/>
      <c r="G242" s="3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</row>
    <row r="243" spans="1:29" ht="14" x14ac:dyDescent="0.15">
      <c r="A243" s="5"/>
      <c r="B243" s="3"/>
      <c r="C243" s="3"/>
      <c r="D243" s="3"/>
      <c r="E243" s="3"/>
      <c r="F243" s="3"/>
      <c r="G243" s="3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</row>
    <row r="244" spans="1:29" ht="14" x14ac:dyDescent="0.15">
      <c r="A244" s="5"/>
      <c r="B244" s="3"/>
      <c r="C244" s="3"/>
      <c r="D244" s="3"/>
      <c r="E244" s="3"/>
      <c r="F244" s="3"/>
      <c r="G244" s="3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</row>
    <row r="245" spans="1:29" ht="14" x14ac:dyDescent="0.15">
      <c r="A245" s="5"/>
      <c r="B245" s="3"/>
      <c r="C245" s="3"/>
      <c r="D245" s="3"/>
      <c r="E245" s="3"/>
      <c r="F245" s="3"/>
      <c r="G245" s="3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</row>
    <row r="246" spans="1:29" ht="14" x14ac:dyDescent="0.15">
      <c r="A246" s="5"/>
      <c r="B246" s="3"/>
      <c r="C246" s="3"/>
      <c r="D246" s="3"/>
      <c r="E246" s="3"/>
      <c r="F246" s="3"/>
      <c r="G246" s="3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</row>
    <row r="247" spans="1:29" ht="14" x14ac:dyDescent="0.15">
      <c r="A247" s="5"/>
      <c r="B247" s="3"/>
      <c r="C247" s="3"/>
      <c r="D247" s="3"/>
      <c r="E247" s="3"/>
      <c r="F247" s="3"/>
      <c r="G247" s="3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</row>
    <row r="248" spans="1:29" ht="14" x14ac:dyDescent="0.15">
      <c r="A248" s="5"/>
      <c r="B248" s="3"/>
      <c r="C248" s="3"/>
      <c r="D248" s="3"/>
      <c r="E248" s="3"/>
      <c r="F248" s="3"/>
      <c r="G248" s="3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</row>
    <row r="249" spans="1:29" ht="14" x14ac:dyDescent="0.15">
      <c r="A249" s="5"/>
      <c r="B249" s="3"/>
      <c r="C249" s="3"/>
      <c r="D249" s="3"/>
      <c r="E249" s="3"/>
      <c r="F249" s="3"/>
      <c r="G249" s="3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</row>
    <row r="250" spans="1:29" ht="14" x14ac:dyDescent="0.15">
      <c r="A250" s="5"/>
      <c r="B250" s="3"/>
      <c r="C250" s="3"/>
      <c r="D250" s="3"/>
      <c r="E250" s="3"/>
      <c r="F250" s="3"/>
      <c r="G250" s="3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</row>
    <row r="251" spans="1:29" ht="14" x14ac:dyDescent="0.15">
      <c r="A251" s="5"/>
      <c r="B251" s="3"/>
      <c r="C251" s="3"/>
      <c r="D251" s="3"/>
      <c r="E251" s="3"/>
      <c r="F251" s="3"/>
      <c r="G251" s="3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</row>
    <row r="252" spans="1:29" ht="14" x14ac:dyDescent="0.15">
      <c r="A252" s="5"/>
      <c r="B252" s="3"/>
      <c r="C252" s="3"/>
      <c r="D252" s="3"/>
      <c r="E252" s="3"/>
      <c r="F252" s="3"/>
      <c r="G252" s="3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</row>
    <row r="253" spans="1:29" ht="14" x14ac:dyDescent="0.15">
      <c r="A253" s="5"/>
      <c r="B253" s="3"/>
      <c r="C253" s="3"/>
      <c r="D253" s="3"/>
      <c r="E253" s="3"/>
      <c r="F253" s="3"/>
      <c r="G253" s="3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</row>
    <row r="254" spans="1:29" ht="14" x14ac:dyDescent="0.15">
      <c r="A254" s="5"/>
      <c r="B254" s="3"/>
      <c r="C254" s="3"/>
      <c r="D254" s="3"/>
      <c r="E254" s="3"/>
      <c r="F254" s="3"/>
      <c r="G254" s="3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</row>
    <row r="255" spans="1:29" ht="14" x14ac:dyDescent="0.15">
      <c r="A255" s="5"/>
      <c r="B255" s="3"/>
      <c r="C255" s="3"/>
      <c r="D255" s="3"/>
      <c r="E255" s="3"/>
      <c r="F255" s="3"/>
      <c r="G255" s="3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</row>
    <row r="256" spans="1:29" ht="14" x14ac:dyDescent="0.15">
      <c r="A256" s="5"/>
      <c r="B256" s="3"/>
      <c r="C256" s="3"/>
      <c r="D256" s="3"/>
      <c r="E256" s="3"/>
      <c r="F256" s="3"/>
      <c r="G256" s="3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</row>
    <row r="257" spans="1:29" ht="14" x14ac:dyDescent="0.15">
      <c r="A257" s="5"/>
      <c r="B257" s="3"/>
      <c r="C257" s="3"/>
      <c r="D257" s="3"/>
      <c r="E257" s="3"/>
      <c r="F257" s="3"/>
      <c r="G257" s="3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</row>
    <row r="258" spans="1:29" ht="14" x14ac:dyDescent="0.15">
      <c r="A258" s="5"/>
      <c r="B258" s="3"/>
      <c r="C258" s="3"/>
      <c r="D258" s="3"/>
      <c r="E258" s="3"/>
      <c r="F258" s="3"/>
      <c r="G258" s="3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</row>
    <row r="259" spans="1:29" ht="14" x14ac:dyDescent="0.15">
      <c r="A259" s="5"/>
      <c r="B259" s="3"/>
      <c r="C259" s="3"/>
      <c r="D259" s="3"/>
      <c r="E259" s="3"/>
      <c r="F259" s="3"/>
      <c r="G259" s="3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</row>
    <row r="260" spans="1:29" ht="14" x14ac:dyDescent="0.15">
      <c r="A260" s="5"/>
      <c r="B260" s="3"/>
      <c r="C260" s="3"/>
      <c r="D260" s="3"/>
      <c r="E260" s="3"/>
      <c r="F260" s="3"/>
      <c r="G260" s="3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</row>
    <row r="261" spans="1:29" ht="14" x14ac:dyDescent="0.15">
      <c r="A261" s="5"/>
      <c r="B261" s="3"/>
      <c r="C261" s="3"/>
      <c r="D261" s="3"/>
      <c r="E261" s="3"/>
      <c r="F261" s="3"/>
      <c r="G261" s="3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</row>
    <row r="262" spans="1:29" ht="14" x14ac:dyDescent="0.15">
      <c r="A262" s="5"/>
      <c r="B262" s="3"/>
      <c r="C262" s="3"/>
      <c r="D262" s="3"/>
      <c r="E262" s="3"/>
      <c r="F262" s="3"/>
      <c r="G262" s="3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</row>
    <row r="263" spans="1:29" ht="14" x14ac:dyDescent="0.15">
      <c r="A263" s="5"/>
      <c r="B263" s="3"/>
      <c r="C263" s="3"/>
      <c r="D263" s="3"/>
      <c r="E263" s="3"/>
      <c r="F263" s="3"/>
      <c r="G263" s="3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</row>
    <row r="264" spans="1:29" ht="14" x14ac:dyDescent="0.15">
      <c r="A264" s="5"/>
      <c r="B264" s="3"/>
      <c r="C264" s="3"/>
      <c r="D264" s="3"/>
      <c r="E264" s="3"/>
      <c r="F264" s="3"/>
      <c r="G264" s="3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</row>
    <row r="265" spans="1:29" ht="14" x14ac:dyDescent="0.15">
      <c r="A265" s="5"/>
      <c r="B265" s="3"/>
      <c r="C265" s="3"/>
      <c r="D265" s="3"/>
      <c r="E265" s="3"/>
      <c r="F265" s="3"/>
      <c r="G265" s="3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</row>
    <row r="266" spans="1:29" ht="14" x14ac:dyDescent="0.15">
      <c r="A266" s="5"/>
      <c r="B266" s="3"/>
      <c r="C266" s="3"/>
      <c r="D266" s="3"/>
      <c r="E266" s="3"/>
      <c r="F266" s="3"/>
      <c r="G266" s="3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</row>
    <row r="267" spans="1:29" ht="14" x14ac:dyDescent="0.15">
      <c r="A267" s="5"/>
      <c r="B267" s="3"/>
      <c r="C267" s="3"/>
      <c r="D267" s="3"/>
      <c r="E267" s="3"/>
      <c r="F267" s="3"/>
      <c r="G267" s="3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</row>
    <row r="268" spans="1:29" ht="14" x14ac:dyDescent="0.15">
      <c r="A268" s="5"/>
      <c r="B268" s="3"/>
      <c r="C268" s="3"/>
      <c r="D268" s="3"/>
      <c r="E268" s="3"/>
      <c r="F268" s="3"/>
      <c r="G268" s="3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</row>
    <row r="269" spans="1:29" ht="14" x14ac:dyDescent="0.15">
      <c r="A269" s="5"/>
      <c r="B269" s="3"/>
      <c r="C269" s="3"/>
      <c r="D269" s="3"/>
      <c r="E269" s="3"/>
      <c r="F269" s="3"/>
      <c r="G269" s="3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</row>
    <row r="270" spans="1:29" ht="14" x14ac:dyDescent="0.15">
      <c r="A270" s="5"/>
      <c r="B270" s="3"/>
      <c r="C270" s="3"/>
      <c r="D270" s="3"/>
      <c r="E270" s="3"/>
      <c r="F270" s="3"/>
      <c r="G270" s="3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</row>
    <row r="271" spans="1:29" ht="14" x14ac:dyDescent="0.15">
      <c r="A271" s="5"/>
      <c r="B271" s="3"/>
      <c r="C271" s="3"/>
      <c r="D271" s="3"/>
      <c r="E271" s="3"/>
      <c r="F271" s="3"/>
      <c r="G271" s="3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</row>
    <row r="272" spans="1:29" ht="14" x14ac:dyDescent="0.15">
      <c r="A272" s="5"/>
      <c r="B272" s="3"/>
      <c r="C272" s="3"/>
      <c r="D272" s="3"/>
      <c r="E272" s="3"/>
      <c r="F272" s="3"/>
      <c r="G272" s="3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</row>
    <row r="273" spans="1:29" ht="14" x14ac:dyDescent="0.15">
      <c r="A273" s="5"/>
      <c r="B273" s="3"/>
      <c r="C273" s="3"/>
      <c r="D273" s="3"/>
      <c r="E273" s="3"/>
      <c r="F273" s="3"/>
      <c r="G273" s="3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</row>
    <row r="274" spans="1:29" ht="14" x14ac:dyDescent="0.15">
      <c r="A274" s="5"/>
      <c r="B274" s="3"/>
      <c r="C274" s="3"/>
      <c r="D274" s="3"/>
      <c r="E274" s="3"/>
      <c r="F274" s="3"/>
      <c r="G274" s="3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</row>
    <row r="275" spans="1:29" ht="14" x14ac:dyDescent="0.15">
      <c r="A275" s="5"/>
      <c r="B275" s="3"/>
      <c r="C275" s="3"/>
      <c r="D275" s="3"/>
      <c r="E275" s="3"/>
      <c r="F275" s="3"/>
      <c r="G275" s="3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</row>
    <row r="276" spans="1:29" ht="14" x14ac:dyDescent="0.15">
      <c r="A276" s="5"/>
      <c r="B276" s="3"/>
      <c r="C276" s="3"/>
      <c r="D276" s="3"/>
      <c r="E276" s="3"/>
      <c r="F276" s="3"/>
      <c r="G276" s="3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</row>
    <row r="277" spans="1:29" ht="14" x14ac:dyDescent="0.15">
      <c r="A277" s="5"/>
      <c r="B277" s="3"/>
      <c r="C277" s="3"/>
      <c r="D277" s="3"/>
      <c r="E277" s="3"/>
      <c r="F277" s="3"/>
      <c r="G277" s="3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</row>
    <row r="278" spans="1:29" ht="14" x14ac:dyDescent="0.15">
      <c r="A278" s="5"/>
      <c r="B278" s="3"/>
      <c r="C278" s="3"/>
      <c r="D278" s="3"/>
      <c r="E278" s="3"/>
      <c r="F278" s="3"/>
      <c r="G278" s="3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</row>
    <row r="279" spans="1:29" ht="14" x14ac:dyDescent="0.15">
      <c r="A279" s="5"/>
      <c r="B279" s="3"/>
      <c r="C279" s="3"/>
      <c r="D279" s="3"/>
      <c r="E279" s="3"/>
      <c r="F279" s="3"/>
      <c r="G279" s="3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</row>
    <row r="280" spans="1:29" ht="14" x14ac:dyDescent="0.15">
      <c r="A280" s="5"/>
      <c r="B280" s="3"/>
      <c r="C280" s="3"/>
      <c r="D280" s="3"/>
      <c r="E280" s="3"/>
      <c r="F280" s="3"/>
      <c r="G280" s="3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</row>
    <row r="281" spans="1:29" ht="14" x14ac:dyDescent="0.15">
      <c r="A281" s="5"/>
      <c r="B281" s="3"/>
      <c r="C281" s="3"/>
      <c r="D281" s="3"/>
      <c r="E281" s="3"/>
      <c r="F281" s="3"/>
      <c r="G281" s="3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</row>
    <row r="282" spans="1:29" ht="14" x14ac:dyDescent="0.15">
      <c r="A282" s="5"/>
      <c r="B282" s="3"/>
      <c r="C282" s="3"/>
      <c r="D282" s="3"/>
      <c r="E282" s="3"/>
      <c r="F282" s="3"/>
      <c r="G282" s="3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</row>
    <row r="283" spans="1:29" ht="14" x14ac:dyDescent="0.15">
      <c r="A283" s="5"/>
      <c r="B283" s="3"/>
      <c r="C283" s="3"/>
      <c r="D283" s="3"/>
      <c r="E283" s="3"/>
      <c r="F283" s="3"/>
      <c r="G283" s="3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</row>
    <row r="284" spans="1:29" ht="14" x14ac:dyDescent="0.15">
      <c r="A284" s="5"/>
      <c r="B284" s="3"/>
      <c r="C284" s="3"/>
      <c r="D284" s="3"/>
      <c r="E284" s="3"/>
      <c r="F284" s="3"/>
      <c r="G284" s="3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</row>
    <row r="285" spans="1:29" ht="14" x14ac:dyDescent="0.15">
      <c r="A285" s="5"/>
      <c r="B285" s="3"/>
      <c r="C285" s="3"/>
      <c r="D285" s="3"/>
      <c r="E285" s="3"/>
      <c r="F285" s="3"/>
      <c r="G285" s="3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</row>
    <row r="286" spans="1:29" ht="14" x14ac:dyDescent="0.15">
      <c r="A286" s="5"/>
      <c r="B286" s="3"/>
      <c r="C286" s="3"/>
      <c r="D286" s="3"/>
      <c r="E286" s="3"/>
      <c r="F286" s="3"/>
      <c r="G286" s="3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</row>
    <row r="287" spans="1:29" ht="14" x14ac:dyDescent="0.15">
      <c r="A287" s="5"/>
      <c r="B287" s="3"/>
      <c r="C287" s="3"/>
      <c r="D287" s="3"/>
      <c r="E287" s="3"/>
      <c r="F287" s="3"/>
      <c r="G287" s="3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</row>
    <row r="288" spans="1:29" ht="14" x14ac:dyDescent="0.15">
      <c r="A288" s="5"/>
      <c r="B288" s="3"/>
      <c r="C288" s="3"/>
      <c r="D288" s="3"/>
      <c r="E288" s="3"/>
      <c r="F288" s="3"/>
      <c r="G288" s="3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</row>
    <row r="289" spans="1:29" ht="14" x14ac:dyDescent="0.15">
      <c r="A289" s="5"/>
      <c r="B289" s="3"/>
      <c r="C289" s="3"/>
      <c r="D289" s="3"/>
      <c r="E289" s="3"/>
      <c r="F289" s="3"/>
      <c r="G289" s="3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</row>
    <row r="290" spans="1:29" ht="14" x14ac:dyDescent="0.15">
      <c r="A290" s="5"/>
      <c r="B290" s="3"/>
      <c r="C290" s="3"/>
      <c r="D290" s="3"/>
      <c r="E290" s="3"/>
      <c r="F290" s="3"/>
      <c r="G290" s="3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</row>
    <row r="291" spans="1:29" ht="14" x14ac:dyDescent="0.15">
      <c r="A291" s="5"/>
      <c r="B291" s="3"/>
      <c r="C291" s="3"/>
      <c r="D291" s="3"/>
      <c r="E291" s="3"/>
      <c r="F291" s="3"/>
      <c r="G291" s="3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</row>
    <row r="292" spans="1:29" ht="14" x14ac:dyDescent="0.15">
      <c r="A292" s="5"/>
      <c r="B292" s="3"/>
      <c r="C292" s="3"/>
      <c r="D292" s="3"/>
      <c r="E292" s="3"/>
      <c r="F292" s="3"/>
      <c r="G292" s="3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</row>
    <row r="293" spans="1:29" ht="14" x14ac:dyDescent="0.15">
      <c r="A293" s="5"/>
      <c r="B293" s="3"/>
      <c r="C293" s="3"/>
      <c r="D293" s="3"/>
      <c r="E293" s="3"/>
      <c r="F293" s="3"/>
      <c r="G293" s="3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</row>
    <row r="294" spans="1:29" ht="14" x14ac:dyDescent="0.15">
      <c r="A294" s="5"/>
      <c r="B294" s="3"/>
      <c r="C294" s="3"/>
      <c r="D294" s="3"/>
      <c r="E294" s="3"/>
      <c r="F294" s="3"/>
      <c r="G294" s="3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</row>
    <row r="295" spans="1:29" ht="14" x14ac:dyDescent="0.15">
      <c r="A295" s="5"/>
      <c r="B295" s="3"/>
      <c r="C295" s="3"/>
      <c r="D295" s="3"/>
      <c r="E295" s="3"/>
      <c r="F295" s="3"/>
      <c r="G295" s="3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</row>
    <row r="296" spans="1:29" ht="14" x14ac:dyDescent="0.15">
      <c r="A296" s="5"/>
      <c r="B296" s="3"/>
      <c r="C296" s="3"/>
      <c r="D296" s="3"/>
      <c r="E296" s="3"/>
      <c r="F296" s="3"/>
      <c r="G296" s="3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</row>
    <row r="297" spans="1:29" ht="14" x14ac:dyDescent="0.15">
      <c r="A297" s="5"/>
      <c r="B297" s="3"/>
      <c r="C297" s="3"/>
      <c r="D297" s="3"/>
      <c r="E297" s="3"/>
      <c r="F297" s="3"/>
      <c r="G297" s="3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</row>
    <row r="298" spans="1:29" ht="14" x14ac:dyDescent="0.15">
      <c r="A298" s="5"/>
      <c r="B298" s="3"/>
      <c r="C298" s="3"/>
      <c r="D298" s="3"/>
      <c r="E298" s="3"/>
      <c r="F298" s="3"/>
      <c r="G298" s="3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</row>
    <row r="299" spans="1:29" ht="14" x14ac:dyDescent="0.15">
      <c r="A299" s="5"/>
      <c r="B299" s="3"/>
      <c r="C299" s="3"/>
      <c r="D299" s="3"/>
      <c r="E299" s="3"/>
      <c r="F299" s="3"/>
      <c r="G299" s="3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</row>
    <row r="300" spans="1:29" ht="14" x14ac:dyDescent="0.15">
      <c r="A300" s="5"/>
      <c r="B300" s="3"/>
      <c r="C300" s="3"/>
      <c r="D300" s="3"/>
      <c r="E300" s="3"/>
      <c r="F300" s="3"/>
      <c r="G300" s="3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</row>
    <row r="301" spans="1:29" ht="14" x14ac:dyDescent="0.15">
      <c r="A301" s="5"/>
      <c r="B301" s="3"/>
      <c r="C301" s="3"/>
      <c r="D301" s="3"/>
      <c r="E301" s="3"/>
      <c r="F301" s="3"/>
      <c r="G301" s="3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</row>
    <row r="302" spans="1:29" ht="14" x14ac:dyDescent="0.15">
      <c r="A302" s="5"/>
      <c r="B302" s="3"/>
      <c r="C302" s="3"/>
      <c r="D302" s="3"/>
      <c r="E302" s="3"/>
      <c r="F302" s="3"/>
      <c r="G302" s="3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</row>
    <row r="303" spans="1:29" ht="14" x14ac:dyDescent="0.15">
      <c r="A303" s="5"/>
      <c r="B303" s="3"/>
      <c r="C303" s="3"/>
      <c r="D303" s="3"/>
      <c r="E303" s="3"/>
      <c r="F303" s="3"/>
      <c r="G303" s="3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</row>
    <row r="304" spans="1:29" ht="14" x14ac:dyDescent="0.15">
      <c r="A304" s="5"/>
      <c r="B304" s="3"/>
      <c r="C304" s="3"/>
      <c r="D304" s="3"/>
      <c r="E304" s="3"/>
      <c r="F304" s="3"/>
      <c r="G304" s="3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</row>
    <row r="305" spans="1:29" ht="14" x14ac:dyDescent="0.15">
      <c r="A305" s="5"/>
      <c r="B305" s="3"/>
      <c r="C305" s="3"/>
      <c r="D305" s="3"/>
      <c r="E305" s="3"/>
      <c r="F305" s="3"/>
      <c r="G305" s="3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</row>
    <row r="306" spans="1:29" ht="14" x14ac:dyDescent="0.15">
      <c r="A306" s="5"/>
      <c r="B306" s="3"/>
      <c r="C306" s="3"/>
      <c r="D306" s="3"/>
      <c r="E306" s="3"/>
      <c r="F306" s="3"/>
      <c r="G306" s="3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</row>
    <row r="307" spans="1:29" ht="14" x14ac:dyDescent="0.15">
      <c r="A307" s="5"/>
      <c r="B307" s="3"/>
      <c r="C307" s="3"/>
      <c r="D307" s="3"/>
      <c r="E307" s="3"/>
      <c r="F307" s="3"/>
      <c r="G307" s="3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</row>
    <row r="308" spans="1:29" ht="14" x14ac:dyDescent="0.15">
      <c r="A308" s="5"/>
      <c r="B308" s="3"/>
      <c r="C308" s="3"/>
      <c r="D308" s="3"/>
      <c r="E308" s="3"/>
      <c r="F308" s="3"/>
      <c r="G308" s="3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</row>
    <row r="309" spans="1:29" ht="14" x14ac:dyDescent="0.15">
      <c r="A309" s="5"/>
      <c r="B309" s="3"/>
      <c r="C309" s="3"/>
      <c r="D309" s="3"/>
      <c r="E309" s="3"/>
      <c r="F309" s="3"/>
      <c r="G309" s="3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</row>
    <row r="310" spans="1:29" ht="14" x14ac:dyDescent="0.15">
      <c r="A310" s="5"/>
      <c r="B310" s="3"/>
      <c r="C310" s="3"/>
      <c r="D310" s="3"/>
      <c r="E310" s="3"/>
      <c r="F310" s="3"/>
      <c r="G310" s="3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</row>
    <row r="311" spans="1:29" ht="14" x14ac:dyDescent="0.15">
      <c r="A311" s="5"/>
      <c r="B311" s="3"/>
      <c r="C311" s="3"/>
      <c r="D311" s="3"/>
      <c r="E311" s="3"/>
      <c r="F311" s="3"/>
      <c r="G311" s="3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</row>
    <row r="312" spans="1:29" ht="14" x14ac:dyDescent="0.15">
      <c r="A312" s="5"/>
      <c r="B312" s="3"/>
      <c r="C312" s="3"/>
      <c r="D312" s="3"/>
      <c r="E312" s="3"/>
      <c r="F312" s="3"/>
      <c r="G312" s="3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</row>
    <row r="313" spans="1:29" ht="14" x14ac:dyDescent="0.15">
      <c r="A313" s="5"/>
      <c r="B313" s="3"/>
      <c r="C313" s="3"/>
      <c r="D313" s="3"/>
      <c r="E313" s="3"/>
      <c r="F313" s="3"/>
      <c r="G313" s="3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</row>
    <row r="314" spans="1:29" ht="14" x14ac:dyDescent="0.15">
      <c r="A314" s="5"/>
      <c r="B314" s="3"/>
      <c r="C314" s="3"/>
      <c r="D314" s="3"/>
      <c r="E314" s="3"/>
      <c r="F314" s="3"/>
      <c r="G314" s="3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</row>
    <row r="315" spans="1:29" ht="14" x14ac:dyDescent="0.15">
      <c r="A315" s="5"/>
      <c r="B315" s="3"/>
      <c r="C315" s="3"/>
      <c r="D315" s="3"/>
      <c r="E315" s="3"/>
      <c r="F315" s="3"/>
      <c r="G315" s="3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</row>
    <row r="316" spans="1:29" ht="14" x14ac:dyDescent="0.15">
      <c r="A316" s="5"/>
      <c r="B316" s="3"/>
      <c r="C316" s="3"/>
      <c r="D316" s="3"/>
      <c r="E316" s="3"/>
      <c r="F316" s="3"/>
      <c r="G316" s="3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</row>
    <row r="317" spans="1:29" ht="14" x14ac:dyDescent="0.15">
      <c r="A317" s="5"/>
      <c r="B317" s="3"/>
      <c r="C317" s="3"/>
      <c r="D317" s="3"/>
      <c r="E317" s="3"/>
      <c r="F317" s="3"/>
      <c r="G317" s="3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</row>
    <row r="318" spans="1:29" ht="14" x14ac:dyDescent="0.15">
      <c r="A318" s="5"/>
      <c r="B318" s="3"/>
      <c r="C318" s="3"/>
      <c r="D318" s="3"/>
      <c r="E318" s="3"/>
      <c r="F318" s="3"/>
      <c r="G318" s="3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</row>
    <row r="319" spans="1:29" ht="14" x14ac:dyDescent="0.15">
      <c r="A319" s="5"/>
      <c r="B319" s="3"/>
      <c r="C319" s="3"/>
      <c r="D319" s="3"/>
      <c r="E319" s="3"/>
      <c r="F319" s="3"/>
      <c r="G319" s="3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</row>
    <row r="320" spans="1:29" ht="14" x14ac:dyDescent="0.15">
      <c r="A320" s="5"/>
      <c r="B320" s="3"/>
      <c r="C320" s="3"/>
      <c r="D320" s="3"/>
      <c r="E320" s="3"/>
      <c r="F320" s="3"/>
      <c r="G320" s="3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</row>
    <row r="321" spans="1:29" ht="14" x14ac:dyDescent="0.15">
      <c r="A321" s="5"/>
      <c r="B321" s="3"/>
      <c r="C321" s="3"/>
      <c r="D321" s="3"/>
      <c r="E321" s="3"/>
      <c r="F321" s="3"/>
      <c r="G321" s="3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</row>
    <row r="322" spans="1:29" ht="14" x14ac:dyDescent="0.15">
      <c r="A322" s="5"/>
      <c r="B322" s="3"/>
      <c r="C322" s="3"/>
      <c r="D322" s="3"/>
      <c r="E322" s="3"/>
      <c r="F322" s="3"/>
      <c r="G322" s="3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</row>
    <row r="323" spans="1:29" ht="14" x14ac:dyDescent="0.15">
      <c r="A323" s="5"/>
      <c r="B323" s="3"/>
      <c r="C323" s="3"/>
      <c r="D323" s="3"/>
      <c r="E323" s="3"/>
      <c r="F323" s="3"/>
      <c r="G323" s="3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</row>
    <row r="324" spans="1:29" ht="14" x14ac:dyDescent="0.15">
      <c r="A324" s="5"/>
      <c r="B324" s="3"/>
      <c r="C324" s="3"/>
      <c r="D324" s="3"/>
      <c r="E324" s="3"/>
      <c r="F324" s="3"/>
      <c r="G324" s="3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</row>
    <row r="325" spans="1:29" ht="14" x14ac:dyDescent="0.15">
      <c r="A325" s="5"/>
      <c r="B325" s="3"/>
      <c r="C325" s="3"/>
      <c r="D325" s="3"/>
      <c r="E325" s="3"/>
      <c r="F325" s="3"/>
      <c r="G325" s="3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</row>
    <row r="326" spans="1:29" ht="14" x14ac:dyDescent="0.15">
      <c r="A326" s="5"/>
      <c r="B326" s="3"/>
      <c r="C326" s="3"/>
      <c r="D326" s="3"/>
      <c r="E326" s="3"/>
      <c r="F326" s="3"/>
      <c r="G326" s="3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</row>
    <row r="327" spans="1:29" ht="14" x14ac:dyDescent="0.15">
      <c r="A327" s="5"/>
      <c r="B327" s="3"/>
      <c r="C327" s="3"/>
      <c r="D327" s="3"/>
      <c r="E327" s="3"/>
      <c r="F327" s="3"/>
      <c r="G327" s="3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</row>
    <row r="328" spans="1:29" ht="14" x14ac:dyDescent="0.15">
      <c r="A328" s="5"/>
      <c r="B328" s="3"/>
      <c r="C328" s="3"/>
      <c r="D328" s="3"/>
      <c r="E328" s="3"/>
      <c r="F328" s="3"/>
      <c r="G328" s="3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</row>
    <row r="329" spans="1:29" ht="14" x14ac:dyDescent="0.15">
      <c r="A329" s="5"/>
      <c r="B329" s="3"/>
      <c r="C329" s="3"/>
      <c r="D329" s="3"/>
      <c r="E329" s="3"/>
      <c r="F329" s="3"/>
      <c r="G329" s="3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</row>
    <row r="330" spans="1:29" ht="14" x14ac:dyDescent="0.15">
      <c r="A330" s="5"/>
      <c r="B330" s="3"/>
      <c r="C330" s="3"/>
      <c r="D330" s="3"/>
      <c r="E330" s="3"/>
      <c r="F330" s="3"/>
      <c r="G330" s="3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</row>
    <row r="331" spans="1:29" ht="14" x14ac:dyDescent="0.15">
      <c r="A331" s="5"/>
      <c r="B331" s="3"/>
      <c r="C331" s="3"/>
      <c r="D331" s="3"/>
      <c r="E331" s="3"/>
      <c r="F331" s="3"/>
      <c r="G331" s="3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</row>
    <row r="332" spans="1:29" ht="14" x14ac:dyDescent="0.15">
      <c r="A332" s="5"/>
      <c r="B332" s="3"/>
      <c r="C332" s="3"/>
      <c r="D332" s="3"/>
      <c r="E332" s="3"/>
      <c r="F332" s="3"/>
      <c r="G332" s="3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</row>
    <row r="333" spans="1:29" ht="14" x14ac:dyDescent="0.15">
      <c r="A333" s="5"/>
      <c r="B333" s="3"/>
      <c r="C333" s="3"/>
      <c r="D333" s="3"/>
      <c r="E333" s="3"/>
      <c r="F333" s="3"/>
      <c r="G333" s="3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</row>
    <row r="334" spans="1:29" ht="14" x14ac:dyDescent="0.15">
      <c r="A334" s="5"/>
      <c r="B334" s="3"/>
      <c r="C334" s="3"/>
      <c r="D334" s="3"/>
      <c r="E334" s="3"/>
      <c r="F334" s="3"/>
      <c r="G334" s="3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</row>
    <row r="335" spans="1:29" ht="14" x14ac:dyDescent="0.15">
      <c r="A335" s="5"/>
      <c r="B335" s="3"/>
      <c r="C335" s="3"/>
      <c r="D335" s="3"/>
      <c r="E335" s="3"/>
      <c r="F335" s="3"/>
      <c r="G335" s="3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</row>
    <row r="336" spans="1:29" ht="14" x14ac:dyDescent="0.15">
      <c r="A336" s="5"/>
      <c r="B336" s="3"/>
      <c r="C336" s="3"/>
      <c r="D336" s="3"/>
      <c r="E336" s="3"/>
      <c r="F336" s="3"/>
      <c r="G336" s="3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</row>
    <row r="337" spans="1:29" ht="14" x14ac:dyDescent="0.15">
      <c r="A337" s="5"/>
      <c r="B337" s="3"/>
      <c r="C337" s="3"/>
      <c r="D337" s="3"/>
      <c r="E337" s="3"/>
      <c r="F337" s="3"/>
      <c r="G337" s="3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</row>
    <row r="338" spans="1:29" ht="14" x14ac:dyDescent="0.15">
      <c r="A338" s="5"/>
      <c r="B338" s="3"/>
      <c r="C338" s="3"/>
      <c r="D338" s="3"/>
      <c r="E338" s="3"/>
      <c r="F338" s="3"/>
      <c r="G338" s="3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</row>
    <row r="339" spans="1:29" ht="14" x14ac:dyDescent="0.15">
      <c r="A339" s="5"/>
      <c r="B339" s="3"/>
      <c r="C339" s="3"/>
      <c r="D339" s="3"/>
      <c r="E339" s="3"/>
      <c r="F339" s="3"/>
      <c r="G339" s="3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</row>
    <row r="340" spans="1:29" ht="14" x14ac:dyDescent="0.15">
      <c r="A340" s="5"/>
      <c r="B340" s="3"/>
      <c r="C340" s="3"/>
      <c r="D340" s="3"/>
      <c r="E340" s="3"/>
      <c r="F340" s="3"/>
      <c r="G340" s="3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</row>
    <row r="341" spans="1:29" ht="14" x14ac:dyDescent="0.15">
      <c r="A341" s="5"/>
      <c r="B341" s="3"/>
      <c r="C341" s="3"/>
      <c r="D341" s="3"/>
      <c r="E341" s="3"/>
      <c r="F341" s="3"/>
      <c r="G341" s="3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</row>
    <row r="342" spans="1:29" ht="14" x14ac:dyDescent="0.15">
      <c r="A342" s="5"/>
      <c r="B342" s="3"/>
      <c r="C342" s="3"/>
      <c r="D342" s="3"/>
      <c r="E342" s="3"/>
      <c r="F342" s="3"/>
      <c r="G342" s="3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</row>
    <row r="343" spans="1:29" ht="14" x14ac:dyDescent="0.15">
      <c r="A343" s="5"/>
      <c r="B343" s="3"/>
      <c r="C343" s="3"/>
      <c r="D343" s="3"/>
      <c r="E343" s="3"/>
      <c r="F343" s="3"/>
      <c r="G343" s="3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</row>
    <row r="344" spans="1:29" ht="14" x14ac:dyDescent="0.15">
      <c r="A344" s="5"/>
      <c r="B344" s="3"/>
      <c r="C344" s="3"/>
      <c r="D344" s="3"/>
      <c r="E344" s="3"/>
      <c r="F344" s="3"/>
      <c r="G344" s="3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</row>
    <row r="345" spans="1:29" ht="14" x14ac:dyDescent="0.15">
      <c r="A345" s="5"/>
      <c r="B345" s="3"/>
      <c r="C345" s="3"/>
      <c r="D345" s="3"/>
      <c r="E345" s="3"/>
      <c r="F345" s="3"/>
      <c r="G345" s="3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</row>
    <row r="346" spans="1:29" ht="14" x14ac:dyDescent="0.15">
      <c r="A346" s="5"/>
      <c r="B346" s="3"/>
      <c r="C346" s="3"/>
      <c r="D346" s="3"/>
      <c r="E346" s="3"/>
      <c r="F346" s="3"/>
      <c r="G346" s="3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</row>
    <row r="347" spans="1:29" ht="14" x14ac:dyDescent="0.15">
      <c r="A347" s="5"/>
      <c r="B347" s="3"/>
      <c r="C347" s="3"/>
      <c r="D347" s="3"/>
      <c r="E347" s="3"/>
      <c r="F347" s="3"/>
      <c r="G347" s="3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</row>
    <row r="348" spans="1:29" ht="14" x14ac:dyDescent="0.15">
      <c r="A348" s="5"/>
      <c r="B348" s="3"/>
      <c r="C348" s="3"/>
      <c r="D348" s="3"/>
      <c r="E348" s="3"/>
      <c r="F348" s="3"/>
      <c r="G348" s="3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</row>
    <row r="349" spans="1:29" ht="14" x14ac:dyDescent="0.15">
      <c r="A349" s="5"/>
      <c r="B349" s="3"/>
      <c r="C349" s="3"/>
      <c r="D349" s="3"/>
      <c r="E349" s="3"/>
      <c r="F349" s="3"/>
      <c r="G349" s="3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</row>
    <row r="350" spans="1:29" ht="14" x14ac:dyDescent="0.15">
      <c r="A350" s="5"/>
      <c r="B350" s="3"/>
      <c r="C350" s="3"/>
      <c r="D350" s="3"/>
      <c r="E350" s="3"/>
      <c r="F350" s="3"/>
      <c r="G350" s="3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</row>
    <row r="351" spans="1:29" ht="14" x14ac:dyDescent="0.15">
      <c r="A351" s="5"/>
      <c r="B351" s="3"/>
      <c r="C351" s="3"/>
      <c r="D351" s="3"/>
      <c r="E351" s="3"/>
      <c r="F351" s="3"/>
      <c r="G351" s="3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</row>
    <row r="352" spans="1:29" ht="14" x14ac:dyDescent="0.15">
      <c r="A352" s="5"/>
      <c r="B352" s="3"/>
      <c r="C352" s="3"/>
      <c r="D352" s="3"/>
      <c r="E352" s="3"/>
      <c r="F352" s="3"/>
      <c r="G352" s="3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</row>
    <row r="353" spans="1:29" ht="14" x14ac:dyDescent="0.15">
      <c r="A353" s="5"/>
      <c r="B353" s="3"/>
      <c r="C353" s="3"/>
      <c r="D353" s="3"/>
      <c r="E353" s="3"/>
      <c r="F353" s="3"/>
      <c r="G353" s="3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</row>
    <row r="354" spans="1:29" ht="14" x14ac:dyDescent="0.15">
      <c r="A354" s="5"/>
      <c r="B354" s="3"/>
      <c r="C354" s="3"/>
      <c r="D354" s="3"/>
      <c r="E354" s="3"/>
      <c r="F354" s="3"/>
      <c r="G354" s="3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</row>
    <row r="355" spans="1:29" ht="14" x14ac:dyDescent="0.15">
      <c r="A355" s="5"/>
      <c r="B355" s="3"/>
      <c r="C355" s="3"/>
      <c r="D355" s="3"/>
      <c r="E355" s="3"/>
      <c r="F355" s="3"/>
      <c r="G355" s="3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</row>
    <row r="356" spans="1:29" ht="14" x14ac:dyDescent="0.15">
      <c r="A356" s="5"/>
      <c r="B356" s="3"/>
      <c r="C356" s="3"/>
      <c r="D356" s="3"/>
      <c r="E356" s="3"/>
      <c r="F356" s="3"/>
      <c r="G356" s="3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</row>
    <row r="357" spans="1:29" ht="14" x14ac:dyDescent="0.15">
      <c r="A357" s="5"/>
      <c r="B357" s="3"/>
      <c r="C357" s="3"/>
      <c r="D357" s="3"/>
      <c r="E357" s="3"/>
      <c r="F357" s="3"/>
      <c r="G357" s="3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</row>
    <row r="358" spans="1:29" ht="14" x14ac:dyDescent="0.15">
      <c r="A358" s="5"/>
      <c r="B358" s="3"/>
      <c r="C358" s="3"/>
      <c r="D358" s="3"/>
      <c r="E358" s="3"/>
      <c r="F358" s="3"/>
      <c r="G358" s="3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</row>
    <row r="359" spans="1:29" ht="14" x14ac:dyDescent="0.15">
      <c r="A359" s="5"/>
      <c r="B359" s="3"/>
      <c r="C359" s="3"/>
      <c r="D359" s="3"/>
      <c r="E359" s="3"/>
      <c r="F359" s="3"/>
      <c r="G359" s="3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</row>
    <row r="360" spans="1:29" ht="14" x14ac:dyDescent="0.15">
      <c r="A360" s="5"/>
      <c r="B360" s="3"/>
      <c r="C360" s="3"/>
      <c r="D360" s="3"/>
      <c r="E360" s="3"/>
      <c r="F360" s="3"/>
      <c r="G360" s="3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</row>
    <row r="361" spans="1:29" ht="14" x14ac:dyDescent="0.15">
      <c r="A361" s="5"/>
      <c r="B361" s="3"/>
      <c r="C361" s="3"/>
      <c r="D361" s="3"/>
      <c r="E361" s="3"/>
      <c r="F361" s="3"/>
      <c r="G361" s="3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</row>
    <row r="362" spans="1:29" ht="14" x14ac:dyDescent="0.15">
      <c r="A362" s="5"/>
      <c r="B362" s="3"/>
      <c r="C362" s="3"/>
      <c r="D362" s="3"/>
      <c r="E362" s="3"/>
      <c r="F362" s="3"/>
      <c r="G362" s="3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</row>
    <row r="363" spans="1:29" ht="14" x14ac:dyDescent="0.15">
      <c r="A363" s="5"/>
      <c r="B363" s="3"/>
      <c r="C363" s="3"/>
      <c r="D363" s="3"/>
      <c r="E363" s="3"/>
      <c r="F363" s="3"/>
      <c r="G363" s="3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</row>
    <row r="364" spans="1:29" ht="14" x14ac:dyDescent="0.15">
      <c r="A364" s="5"/>
      <c r="B364" s="3"/>
      <c r="C364" s="3"/>
      <c r="D364" s="3"/>
      <c r="E364" s="3"/>
      <c r="F364" s="3"/>
      <c r="G364" s="3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</row>
    <row r="365" spans="1:29" ht="14" x14ac:dyDescent="0.15">
      <c r="A365" s="5"/>
      <c r="B365" s="3"/>
      <c r="C365" s="3"/>
      <c r="D365" s="3"/>
      <c r="E365" s="3"/>
      <c r="F365" s="3"/>
      <c r="G365" s="3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</row>
    <row r="366" spans="1:29" ht="14" x14ac:dyDescent="0.15">
      <c r="A366" s="5"/>
      <c r="B366" s="3"/>
      <c r="C366" s="3"/>
      <c r="D366" s="3"/>
      <c r="E366" s="3"/>
      <c r="F366" s="3"/>
      <c r="G366" s="3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</row>
    <row r="367" spans="1:29" ht="14" x14ac:dyDescent="0.15">
      <c r="A367" s="5"/>
      <c r="B367" s="3"/>
      <c r="C367" s="3"/>
      <c r="D367" s="3"/>
      <c r="E367" s="3"/>
      <c r="F367" s="3"/>
      <c r="G367" s="3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</row>
    <row r="368" spans="1:29" ht="14" x14ac:dyDescent="0.15">
      <c r="A368" s="5"/>
      <c r="B368" s="3"/>
      <c r="C368" s="3"/>
      <c r="D368" s="3"/>
      <c r="E368" s="3"/>
      <c r="F368" s="3"/>
      <c r="G368" s="3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</row>
    <row r="369" spans="1:29" ht="14" x14ac:dyDescent="0.15">
      <c r="A369" s="5"/>
      <c r="B369" s="3"/>
      <c r="C369" s="3"/>
      <c r="D369" s="3"/>
      <c r="E369" s="3"/>
      <c r="F369" s="3"/>
      <c r="G369" s="3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</row>
    <row r="370" spans="1:29" ht="14" x14ac:dyDescent="0.15">
      <c r="A370" s="5"/>
      <c r="B370" s="3"/>
      <c r="C370" s="3"/>
      <c r="D370" s="3"/>
      <c r="E370" s="3"/>
      <c r="F370" s="3"/>
      <c r="G370" s="3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</row>
    <row r="371" spans="1:29" ht="14" x14ac:dyDescent="0.15">
      <c r="A371" s="5"/>
      <c r="B371" s="3"/>
      <c r="C371" s="3"/>
      <c r="D371" s="3"/>
      <c r="E371" s="3"/>
      <c r="F371" s="3"/>
      <c r="G371" s="3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</row>
    <row r="372" spans="1:29" ht="14" x14ac:dyDescent="0.15">
      <c r="A372" s="5"/>
      <c r="B372" s="3"/>
      <c r="C372" s="3"/>
      <c r="D372" s="3"/>
      <c r="E372" s="3"/>
      <c r="F372" s="3"/>
      <c r="G372" s="3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</row>
    <row r="373" spans="1:29" ht="14" x14ac:dyDescent="0.15">
      <c r="A373" s="5"/>
      <c r="B373" s="3"/>
      <c r="C373" s="3"/>
      <c r="D373" s="3"/>
      <c r="E373" s="3"/>
      <c r="F373" s="3"/>
      <c r="G373" s="3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</row>
    <row r="374" spans="1:29" ht="14" x14ac:dyDescent="0.15">
      <c r="A374" s="5"/>
      <c r="B374" s="3"/>
      <c r="C374" s="3"/>
      <c r="D374" s="3"/>
      <c r="E374" s="3"/>
      <c r="F374" s="3"/>
      <c r="G374" s="3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</row>
    <row r="375" spans="1:29" ht="14" x14ac:dyDescent="0.15">
      <c r="A375" s="5"/>
      <c r="B375" s="3"/>
      <c r="C375" s="3"/>
      <c r="D375" s="3"/>
      <c r="E375" s="3"/>
      <c r="F375" s="3"/>
      <c r="G375" s="3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</row>
    <row r="376" spans="1:29" ht="14" x14ac:dyDescent="0.15">
      <c r="A376" s="5"/>
      <c r="B376" s="3"/>
      <c r="C376" s="3"/>
      <c r="D376" s="3"/>
      <c r="E376" s="3"/>
      <c r="F376" s="3"/>
      <c r="G376" s="3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</row>
    <row r="377" spans="1:29" ht="14" x14ac:dyDescent="0.15">
      <c r="A377" s="5"/>
      <c r="B377" s="3"/>
      <c r="C377" s="3"/>
      <c r="D377" s="3"/>
      <c r="E377" s="3"/>
      <c r="F377" s="3"/>
      <c r="G377" s="3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</row>
    <row r="378" spans="1:29" ht="14" x14ac:dyDescent="0.15">
      <c r="A378" s="5"/>
      <c r="B378" s="3"/>
      <c r="C378" s="3"/>
      <c r="D378" s="3"/>
      <c r="E378" s="3"/>
      <c r="F378" s="3"/>
      <c r="G378" s="3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</row>
    <row r="379" spans="1:29" ht="14" x14ac:dyDescent="0.15">
      <c r="A379" s="5"/>
      <c r="B379" s="3"/>
      <c r="C379" s="3"/>
      <c r="D379" s="3"/>
      <c r="E379" s="3"/>
      <c r="F379" s="3"/>
      <c r="G379" s="3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</row>
    <row r="380" spans="1:29" ht="14" x14ac:dyDescent="0.15">
      <c r="A380" s="5"/>
      <c r="B380" s="3"/>
      <c r="C380" s="3"/>
      <c r="D380" s="3"/>
      <c r="E380" s="3"/>
      <c r="F380" s="3"/>
      <c r="G380" s="3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</row>
    <row r="381" spans="1:29" ht="14" x14ac:dyDescent="0.15">
      <c r="A381" s="5"/>
      <c r="B381" s="3"/>
      <c r="C381" s="3"/>
      <c r="D381" s="3"/>
      <c r="E381" s="3"/>
      <c r="F381" s="3"/>
      <c r="G381" s="3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</row>
    <row r="382" spans="1:29" ht="14" x14ac:dyDescent="0.15">
      <c r="A382" s="5"/>
      <c r="B382" s="3"/>
      <c r="C382" s="3"/>
      <c r="D382" s="3"/>
      <c r="E382" s="3"/>
      <c r="F382" s="3"/>
      <c r="G382" s="3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</row>
    <row r="383" spans="1:29" ht="14" x14ac:dyDescent="0.15">
      <c r="A383" s="5"/>
      <c r="B383" s="3"/>
      <c r="C383" s="3"/>
      <c r="D383" s="3"/>
      <c r="E383" s="3"/>
      <c r="F383" s="3"/>
      <c r="G383" s="3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</row>
    <row r="384" spans="1:29" ht="14" x14ac:dyDescent="0.15">
      <c r="A384" s="5"/>
      <c r="B384" s="3"/>
      <c r="C384" s="3"/>
      <c r="D384" s="3"/>
      <c r="E384" s="3"/>
      <c r="F384" s="3"/>
      <c r="G384" s="3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</row>
    <row r="385" spans="1:29" ht="14" x14ac:dyDescent="0.15">
      <c r="A385" s="5"/>
      <c r="B385" s="3"/>
      <c r="C385" s="3"/>
      <c r="D385" s="3"/>
      <c r="E385" s="3"/>
      <c r="F385" s="3"/>
      <c r="G385" s="3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</row>
    <row r="386" spans="1:29" ht="14" x14ac:dyDescent="0.15">
      <c r="A386" s="5"/>
      <c r="B386" s="3"/>
      <c r="C386" s="3"/>
      <c r="D386" s="3"/>
      <c r="E386" s="3"/>
      <c r="F386" s="3"/>
      <c r="G386" s="3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</row>
    <row r="387" spans="1:29" ht="14" x14ac:dyDescent="0.15">
      <c r="A387" s="5"/>
      <c r="B387" s="3"/>
      <c r="C387" s="3"/>
      <c r="D387" s="3"/>
      <c r="E387" s="3"/>
      <c r="F387" s="3"/>
      <c r="G387" s="3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</row>
    <row r="388" spans="1:29" ht="14" x14ac:dyDescent="0.15">
      <c r="A388" s="5"/>
      <c r="B388" s="3"/>
      <c r="C388" s="3"/>
      <c r="D388" s="3"/>
      <c r="E388" s="3"/>
      <c r="F388" s="3"/>
      <c r="G388" s="3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</row>
    <row r="389" spans="1:29" ht="14" x14ac:dyDescent="0.15">
      <c r="A389" s="5"/>
      <c r="B389" s="3"/>
      <c r="C389" s="3"/>
      <c r="D389" s="3"/>
      <c r="E389" s="3"/>
      <c r="F389" s="3"/>
      <c r="G389" s="3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</row>
    <row r="390" spans="1:29" ht="14" x14ac:dyDescent="0.15">
      <c r="A390" s="5"/>
      <c r="B390" s="3"/>
      <c r="C390" s="3"/>
      <c r="D390" s="3"/>
      <c r="E390" s="3"/>
      <c r="F390" s="3"/>
      <c r="G390" s="3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</row>
    <row r="391" spans="1:29" ht="14" x14ac:dyDescent="0.15">
      <c r="A391" s="5"/>
      <c r="B391" s="3"/>
      <c r="C391" s="3"/>
      <c r="D391" s="3"/>
      <c r="E391" s="3"/>
      <c r="F391" s="3"/>
      <c r="G391" s="3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</row>
    <row r="392" spans="1:29" ht="14" x14ac:dyDescent="0.15">
      <c r="A392" s="5"/>
      <c r="B392" s="3"/>
      <c r="C392" s="3"/>
      <c r="D392" s="3"/>
      <c r="E392" s="3"/>
      <c r="F392" s="3"/>
      <c r="G392" s="3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</row>
    <row r="393" spans="1:29" ht="14" x14ac:dyDescent="0.15">
      <c r="A393" s="5"/>
      <c r="B393" s="3"/>
      <c r="C393" s="3"/>
      <c r="D393" s="3"/>
      <c r="E393" s="3"/>
      <c r="F393" s="3"/>
      <c r="G393" s="3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</row>
    <row r="394" spans="1:29" ht="14" x14ac:dyDescent="0.15">
      <c r="A394" s="5"/>
      <c r="B394" s="3"/>
      <c r="C394" s="3"/>
      <c r="D394" s="3"/>
      <c r="E394" s="3"/>
      <c r="F394" s="3"/>
      <c r="G394" s="3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</row>
    <row r="395" spans="1:29" ht="14" x14ac:dyDescent="0.15">
      <c r="A395" s="5"/>
      <c r="B395" s="3"/>
      <c r="C395" s="3"/>
      <c r="D395" s="3"/>
      <c r="E395" s="3"/>
      <c r="F395" s="3"/>
      <c r="G395" s="3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</row>
    <row r="396" spans="1:29" ht="14" x14ac:dyDescent="0.15">
      <c r="A396" s="5"/>
      <c r="B396" s="3"/>
      <c r="C396" s="3"/>
      <c r="D396" s="3"/>
      <c r="E396" s="3"/>
      <c r="F396" s="3"/>
      <c r="G396" s="3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</row>
    <row r="397" spans="1:29" ht="14" x14ac:dyDescent="0.15">
      <c r="A397" s="5"/>
      <c r="B397" s="3"/>
      <c r="C397" s="3"/>
      <c r="D397" s="3"/>
      <c r="E397" s="3"/>
      <c r="F397" s="3"/>
      <c r="G397" s="3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</row>
    <row r="398" spans="1:29" ht="14" x14ac:dyDescent="0.15">
      <c r="A398" s="5"/>
      <c r="B398" s="3"/>
      <c r="C398" s="3"/>
      <c r="D398" s="3"/>
      <c r="E398" s="3"/>
      <c r="F398" s="3"/>
      <c r="G398" s="3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</row>
    <row r="399" spans="1:29" ht="14" x14ac:dyDescent="0.15">
      <c r="A399" s="5"/>
      <c r="B399" s="3"/>
      <c r="C399" s="3"/>
      <c r="D399" s="3"/>
      <c r="E399" s="3"/>
      <c r="F399" s="3"/>
      <c r="G399" s="3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</row>
    <row r="400" spans="1:29" ht="14" x14ac:dyDescent="0.15">
      <c r="A400" s="5"/>
      <c r="B400" s="3"/>
      <c r="C400" s="3"/>
      <c r="D400" s="3"/>
      <c r="E400" s="3"/>
      <c r="F400" s="3"/>
      <c r="G400" s="3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</row>
    <row r="401" spans="1:29" ht="14" x14ac:dyDescent="0.15">
      <c r="A401" s="5"/>
      <c r="B401" s="3"/>
      <c r="C401" s="3"/>
      <c r="D401" s="3"/>
      <c r="E401" s="3"/>
      <c r="F401" s="3"/>
      <c r="G401" s="3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</row>
    <row r="402" spans="1:29" ht="14" x14ac:dyDescent="0.15">
      <c r="A402" s="5"/>
      <c r="B402" s="3"/>
      <c r="C402" s="3"/>
      <c r="D402" s="3"/>
      <c r="E402" s="3"/>
      <c r="F402" s="3"/>
      <c r="G402" s="3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</row>
    <row r="403" spans="1:29" ht="14" x14ac:dyDescent="0.15">
      <c r="A403" s="5"/>
      <c r="B403" s="3"/>
      <c r="C403" s="3"/>
      <c r="D403" s="3"/>
      <c r="E403" s="3"/>
      <c r="F403" s="3"/>
      <c r="G403" s="3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</row>
    <row r="404" spans="1:29" ht="14" x14ac:dyDescent="0.15">
      <c r="A404" s="5"/>
      <c r="B404" s="3"/>
      <c r="C404" s="3"/>
      <c r="D404" s="3"/>
      <c r="E404" s="3"/>
      <c r="F404" s="3"/>
      <c r="G404" s="3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</row>
    <row r="405" spans="1:29" ht="14" x14ac:dyDescent="0.15">
      <c r="A405" s="5"/>
      <c r="B405" s="3"/>
      <c r="C405" s="3"/>
      <c r="D405" s="3"/>
      <c r="E405" s="3"/>
      <c r="F405" s="3"/>
      <c r="G405" s="3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</row>
    <row r="406" spans="1:29" ht="14" x14ac:dyDescent="0.15">
      <c r="A406" s="5"/>
      <c r="B406" s="3"/>
      <c r="C406" s="3"/>
      <c r="D406" s="3"/>
      <c r="E406" s="3"/>
      <c r="F406" s="3"/>
      <c r="G406" s="3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</row>
    <row r="407" spans="1:29" ht="14" x14ac:dyDescent="0.15">
      <c r="A407" s="5"/>
      <c r="B407" s="3"/>
      <c r="C407" s="3"/>
      <c r="D407" s="3"/>
      <c r="E407" s="3"/>
      <c r="F407" s="3"/>
      <c r="G407" s="3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</row>
    <row r="408" spans="1:29" ht="14" x14ac:dyDescent="0.15">
      <c r="A408" s="5"/>
      <c r="B408" s="3"/>
      <c r="C408" s="3"/>
      <c r="D408" s="3"/>
      <c r="E408" s="3"/>
      <c r="F408" s="3"/>
      <c r="G408" s="3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</row>
    <row r="409" spans="1:29" ht="14" x14ac:dyDescent="0.15">
      <c r="A409" s="5"/>
      <c r="B409" s="3"/>
      <c r="C409" s="3"/>
      <c r="D409" s="3"/>
      <c r="E409" s="3"/>
      <c r="F409" s="3"/>
      <c r="G409" s="3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</row>
    <row r="410" spans="1:29" ht="14" x14ac:dyDescent="0.15">
      <c r="A410" s="5"/>
      <c r="B410" s="3"/>
      <c r="C410" s="3"/>
      <c r="D410" s="3"/>
      <c r="E410" s="3"/>
      <c r="F410" s="3"/>
      <c r="G410" s="3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</row>
    <row r="411" spans="1:29" ht="14" x14ac:dyDescent="0.15">
      <c r="A411" s="5"/>
      <c r="B411" s="3"/>
      <c r="C411" s="3"/>
      <c r="D411" s="3"/>
      <c r="E411" s="3"/>
      <c r="F411" s="3"/>
      <c r="G411" s="3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</row>
    <row r="412" spans="1:29" ht="14" x14ac:dyDescent="0.15">
      <c r="A412" s="5"/>
      <c r="B412" s="3"/>
      <c r="C412" s="3"/>
      <c r="D412" s="3"/>
      <c r="E412" s="3"/>
      <c r="F412" s="3"/>
      <c r="G412" s="3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</row>
    <row r="413" spans="1:29" ht="14" x14ac:dyDescent="0.15">
      <c r="A413" s="5"/>
      <c r="B413" s="3"/>
      <c r="C413" s="3"/>
      <c r="D413" s="3"/>
      <c r="E413" s="3"/>
      <c r="F413" s="3"/>
      <c r="G413" s="3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</row>
    <row r="414" spans="1:29" ht="14" x14ac:dyDescent="0.15">
      <c r="A414" s="5"/>
      <c r="B414" s="3"/>
      <c r="C414" s="3"/>
      <c r="D414" s="3"/>
      <c r="E414" s="3"/>
      <c r="F414" s="3"/>
      <c r="G414" s="3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</row>
    <row r="415" spans="1:29" ht="14" x14ac:dyDescent="0.15">
      <c r="A415" s="5"/>
      <c r="B415" s="3"/>
      <c r="C415" s="3"/>
      <c r="D415" s="3"/>
      <c r="E415" s="3"/>
      <c r="F415" s="3"/>
      <c r="G415" s="3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</row>
    <row r="416" spans="1:29" ht="14" x14ac:dyDescent="0.15">
      <c r="A416" s="5"/>
      <c r="B416" s="3"/>
      <c r="C416" s="3"/>
      <c r="D416" s="3"/>
      <c r="E416" s="3"/>
      <c r="F416" s="3"/>
      <c r="G416" s="3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</row>
    <row r="417" spans="1:29" ht="14" x14ac:dyDescent="0.15">
      <c r="A417" s="5"/>
      <c r="B417" s="3"/>
      <c r="C417" s="3"/>
      <c r="D417" s="3"/>
      <c r="E417" s="3"/>
      <c r="F417" s="3"/>
      <c r="G417" s="3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</row>
    <row r="418" spans="1:29" ht="14" x14ac:dyDescent="0.15">
      <c r="A418" s="5"/>
      <c r="B418" s="3"/>
      <c r="C418" s="3"/>
      <c r="D418" s="3"/>
      <c r="E418" s="3"/>
      <c r="F418" s="3"/>
      <c r="G418" s="3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</row>
    <row r="419" spans="1:29" ht="14" x14ac:dyDescent="0.15">
      <c r="A419" s="5"/>
      <c r="B419" s="3"/>
      <c r="C419" s="3"/>
      <c r="D419" s="3"/>
      <c r="E419" s="3"/>
      <c r="F419" s="3"/>
      <c r="G419" s="3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</row>
    <row r="420" spans="1:29" ht="14" x14ac:dyDescent="0.15">
      <c r="A420" s="5"/>
      <c r="B420" s="3"/>
      <c r="C420" s="3"/>
      <c r="D420" s="3"/>
      <c r="E420" s="3"/>
      <c r="F420" s="3"/>
      <c r="G420" s="3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</row>
    <row r="421" spans="1:29" ht="14" x14ac:dyDescent="0.15">
      <c r="A421" s="5"/>
      <c r="B421" s="3"/>
      <c r="C421" s="3"/>
      <c r="D421" s="3"/>
      <c r="E421" s="3"/>
      <c r="F421" s="3"/>
      <c r="G421" s="3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</row>
    <row r="422" spans="1:29" ht="14" x14ac:dyDescent="0.15">
      <c r="A422" s="5"/>
      <c r="B422" s="3"/>
      <c r="C422" s="3"/>
      <c r="D422" s="3"/>
      <c r="E422" s="3"/>
      <c r="F422" s="3"/>
      <c r="G422" s="3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</row>
    <row r="423" spans="1:29" ht="14" x14ac:dyDescent="0.15">
      <c r="A423" s="5"/>
      <c r="B423" s="3"/>
      <c r="C423" s="3"/>
      <c r="D423" s="3"/>
      <c r="E423" s="3"/>
      <c r="F423" s="3"/>
      <c r="G423" s="3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</row>
    <row r="424" spans="1:29" ht="14" x14ac:dyDescent="0.15">
      <c r="A424" s="5"/>
      <c r="B424" s="3"/>
      <c r="C424" s="3"/>
      <c r="D424" s="3"/>
      <c r="E424" s="3"/>
      <c r="F424" s="3"/>
      <c r="G424" s="3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</row>
    <row r="425" spans="1:29" ht="14" x14ac:dyDescent="0.15">
      <c r="A425" s="5"/>
      <c r="B425" s="3"/>
      <c r="C425" s="3"/>
      <c r="D425" s="3"/>
      <c r="E425" s="3"/>
      <c r="F425" s="3"/>
      <c r="G425" s="3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</row>
    <row r="426" spans="1:29" ht="14" x14ac:dyDescent="0.15">
      <c r="A426" s="5"/>
      <c r="B426" s="3"/>
      <c r="C426" s="3"/>
      <c r="D426" s="3"/>
      <c r="E426" s="3"/>
      <c r="F426" s="3"/>
      <c r="G426" s="3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</row>
    <row r="427" spans="1:29" ht="14" x14ac:dyDescent="0.15">
      <c r="A427" s="5"/>
      <c r="B427" s="3"/>
      <c r="C427" s="3"/>
      <c r="D427" s="3"/>
      <c r="E427" s="3"/>
      <c r="F427" s="3"/>
      <c r="G427" s="3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</row>
    <row r="428" spans="1:29" ht="14" x14ac:dyDescent="0.15">
      <c r="A428" s="5"/>
      <c r="B428" s="3"/>
      <c r="C428" s="3"/>
      <c r="D428" s="3"/>
      <c r="E428" s="3"/>
      <c r="F428" s="3"/>
      <c r="G428" s="3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</row>
    <row r="429" spans="1:29" ht="14" x14ac:dyDescent="0.15">
      <c r="A429" s="5"/>
      <c r="B429" s="3"/>
      <c r="C429" s="3"/>
      <c r="D429" s="3"/>
      <c r="E429" s="3"/>
      <c r="F429" s="3"/>
      <c r="G429" s="3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</row>
    <row r="430" spans="1:29" ht="14" x14ac:dyDescent="0.15">
      <c r="A430" s="5"/>
      <c r="B430" s="3"/>
      <c r="C430" s="3"/>
      <c r="D430" s="3"/>
      <c r="E430" s="3"/>
      <c r="F430" s="3"/>
      <c r="G430" s="3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</row>
    <row r="431" spans="1:29" ht="14" x14ac:dyDescent="0.15">
      <c r="A431" s="5"/>
      <c r="B431" s="3"/>
      <c r="C431" s="3"/>
      <c r="D431" s="3"/>
      <c r="E431" s="3"/>
      <c r="F431" s="3"/>
      <c r="G431" s="3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</row>
    <row r="432" spans="1:29" ht="14" x14ac:dyDescent="0.15">
      <c r="A432" s="5"/>
      <c r="B432" s="3"/>
      <c r="C432" s="3"/>
      <c r="D432" s="3"/>
      <c r="E432" s="3"/>
      <c r="F432" s="3"/>
      <c r="G432" s="3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</row>
    <row r="433" spans="1:29" ht="14" x14ac:dyDescent="0.15">
      <c r="A433" s="5"/>
      <c r="B433" s="3"/>
      <c r="C433" s="3"/>
      <c r="D433" s="3"/>
      <c r="E433" s="3"/>
      <c r="F433" s="3"/>
      <c r="G433" s="3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</row>
    <row r="434" spans="1:29" ht="14" x14ac:dyDescent="0.15">
      <c r="A434" s="5"/>
      <c r="B434" s="3"/>
      <c r="C434" s="3"/>
      <c r="D434" s="3"/>
      <c r="E434" s="3"/>
      <c r="F434" s="3"/>
      <c r="G434" s="3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</row>
    <row r="435" spans="1:29" ht="14" x14ac:dyDescent="0.15">
      <c r="A435" s="5"/>
      <c r="B435" s="3"/>
      <c r="C435" s="3"/>
      <c r="D435" s="3"/>
      <c r="E435" s="3"/>
      <c r="F435" s="3"/>
      <c r="G435" s="3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</row>
    <row r="436" spans="1:29" ht="14" x14ac:dyDescent="0.15">
      <c r="A436" s="5"/>
      <c r="B436" s="3"/>
      <c r="C436" s="3"/>
      <c r="D436" s="3"/>
      <c r="E436" s="3"/>
      <c r="F436" s="3"/>
      <c r="G436" s="3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</row>
    <row r="437" spans="1:29" ht="14" x14ac:dyDescent="0.15">
      <c r="A437" s="5"/>
      <c r="B437" s="3"/>
      <c r="C437" s="3"/>
      <c r="D437" s="3"/>
      <c r="E437" s="3"/>
      <c r="F437" s="3"/>
      <c r="G437" s="3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</row>
    <row r="438" spans="1:29" ht="14" x14ac:dyDescent="0.15">
      <c r="A438" s="5"/>
      <c r="B438" s="3"/>
      <c r="C438" s="3"/>
      <c r="D438" s="3"/>
      <c r="E438" s="3"/>
      <c r="F438" s="3"/>
      <c r="G438" s="3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</row>
    <row r="439" spans="1:29" ht="14" x14ac:dyDescent="0.15">
      <c r="A439" s="5"/>
      <c r="B439" s="3"/>
      <c r="C439" s="3"/>
      <c r="D439" s="3"/>
      <c r="E439" s="3"/>
      <c r="F439" s="3"/>
      <c r="G439" s="3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</row>
    <row r="440" spans="1:29" ht="14" x14ac:dyDescent="0.15">
      <c r="A440" s="5"/>
      <c r="B440" s="3"/>
      <c r="C440" s="3"/>
      <c r="D440" s="3"/>
      <c r="E440" s="3"/>
      <c r="F440" s="3"/>
      <c r="G440" s="3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</row>
    <row r="441" spans="1:29" ht="14" x14ac:dyDescent="0.15">
      <c r="A441" s="5"/>
      <c r="B441" s="3"/>
      <c r="C441" s="3"/>
      <c r="D441" s="3"/>
      <c r="E441" s="3"/>
      <c r="F441" s="3"/>
      <c r="G441" s="3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</row>
    <row r="442" spans="1:29" ht="14" x14ac:dyDescent="0.15">
      <c r="A442" s="5"/>
      <c r="B442" s="3"/>
      <c r="C442" s="3"/>
      <c r="D442" s="3"/>
      <c r="E442" s="3"/>
      <c r="F442" s="3"/>
      <c r="G442" s="3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</row>
    <row r="443" spans="1:29" ht="14" x14ac:dyDescent="0.15">
      <c r="A443" s="5"/>
      <c r="B443" s="3"/>
      <c r="C443" s="3"/>
      <c r="D443" s="3"/>
      <c r="E443" s="3"/>
      <c r="F443" s="3"/>
      <c r="G443" s="3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</row>
    <row r="444" spans="1:29" ht="14" x14ac:dyDescent="0.15">
      <c r="A444" s="5"/>
      <c r="B444" s="3"/>
      <c r="C444" s="3"/>
      <c r="D444" s="3"/>
      <c r="E444" s="3"/>
      <c r="F444" s="3"/>
      <c r="G444" s="3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</row>
    <row r="445" spans="1:29" ht="14" x14ac:dyDescent="0.15">
      <c r="A445" s="5"/>
      <c r="B445" s="3"/>
      <c r="C445" s="3"/>
      <c r="D445" s="3"/>
      <c r="E445" s="3"/>
      <c r="F445" s="3"/>
      <c r="G445" s="3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</row>
    <row r="446" spans="1:29" ht="14" x14ac:dyDescent="0.15">
      <c r="A446" s="5"/>
      <c r="B446" s="3"/>
      <c r="C446" s="3"/>
      <c r="D446" s="3"/>
      <c r="E446" s="3"/>
      <c r="F446" s="3"/>
      <c r="G446" s="3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</row>
    <row r="447" spans="1:29" ht="14" x14ac:dyDescent="0.15">
      <c r="A447" s="5"/>
      <c r="B447" s="3"/>
      <c r="C447" s="3"/>
      <c r="D447" s="3"/>
      <c r="E447" s="3"/>
      <c r="F447" s="3"/>
      <c r="G447" s="3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</row>
    <row r="448" spans="1:29" ht="14" x14ac:dyDescent="0.15">
      <c r="A448" s="5"/>
      <c r="B448" s="3"/>
      <c r="C448" s="3"/>
      <c r="D448" s="3"/>
      <c r="E448" s="3"/>
      <c r="F448" s="3"/>
      <c r="G448" s="3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</row>
    <row r="449" spans="1:29" ht="14" x14ac:dyDescent="0.15">
      <c r="A449" s="5"/>
      <c r="B449" s="3"/>
      <c r="C449" s="3"/>
      <c r="D449" s="3"/>
      <c r="E449" s="3"/>
      <c r="F449" s="3"/>
      <c r="G449" s="3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</row>
    <row r="450" spans="1:29" ht="14" x14ac:dyDescent="0.15">
      <c r="A450" s="5"/>
      <c r="B450" s="3"/>
      <c r="C450" s="3"/>
      <c r="D450" s="3"/>
      <c r="E450" s="3"/>
      <c r="F450" s="3"/>
      <c r="G450" s="3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</row>
    <row r="451" spans="1:29" ht="14" x14ac:dyDescent="0.15">
      <c r="A451" s="5"/>
      <c r="B451" s="3"/>
      <c r="C451" s="3"/>
      <c r="D451" s="3"/>
      <c r="E451" s="3"/>
      <c r="F451" s="3"/>
      <c r="G451" s="3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</row>
    <row r="452" spans="1:29" ht="14" x14ac:dyDescent="0.15">
      <c r="A452" s="5"/>
      <c r="B452" s="3"/>
      <c r="C452" s="3"/>
      <c r="D452" s="3"/>
      <c r="E452" s="3"/>
      <c r="F452" s="3"/>
      <c r="G452" s="3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</row>
    <row r="453" spans="1:29" ht="14" x14ac:dyDescent="0.15">
      <c r="A453" s="5"/>
      <c r="B453" s="3"/>
      <c r="C453" s="3"/>
      <c r="D453" s="3"/>
      <c r="E453" s="3"/>
      <c r="F453" s="3"/>
      <c r="G453" s="3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</row>
    <row r="454" spans="1:29" ht="14" x14ac:dyDescent="0.15">
      <c r="A454" s="5"/>
      <c r="B454" s="3"/>
      <c r="C454" s="3"/>
      <c r="D454" s="3"/>
      <c r="E454" s="3"/>
      <c r="F454" s="3"/>
      <c r="G454" s="3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</row>
    <row r="455" spans="1:29" ht="14" x14ac:dyDescent="0.15">
      <c r="A455" s="5"/>
      <c r="B455" s="3"/>
      <c r="C455" s="3"/>
      <c r="D455" s="3"/>
      <c r="E455" s="3"/>
      <c r="F455" s="3"/>
      <c r="G455" s="3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</row>
    <row r="456" spans="1:29" ht="14" x14ac:dyDescent="0.15">
      <c r="A456" s="5"/>
      <c r="B456" s="3"/>
      <c r="C456" s="3"/>
      <c r="D456" s="3"/>
      <c r="E456" s="3"/>
      <c r="F456" s="3"/>
      <c r="G456" s="3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</row>
    <row r="457" spans="1:29" ht="14" x14ac:dyDescent="0.15">
      <c r="A457" s="5"/>
      <c r="B457" s="3"/>
      <c r="C457" s="3"/>
      <c r="D457" s="3"/>
      <c r="E457" s="3"/>
      <c r="F457" s="3"/>
      <c r="G457" s="3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</row>
    <row r="458" spans="1:29" ht="14" x14ac:dyDescent="0.15">
      <c r="A458" s="5"/>
      <c r="B458" s="3"/>
      <c r="C458" s="3"/>
      <c r="D458" s="3"/>
      <c r="E458" s="3"/>
      <c r="F458" s="3"/>
      <c r="G458" s="3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</row>
    <row r="459" spans="1:29" ht="14" x14ac:dyDescent="0.15">
      <c r="A459" s="5"/>
      <c r="B459" s="3"/>
      <c r="C459" s="3"/>
      <c r="D459" s="3"/>
      <c r="E459" s="3"/>
      <c r="F459" s="3"/>
      <c r="G459" s="3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</row>
    <row r="460" spans="1:29" ht="14" x14ac:dyDescent="0.15">
      <c r="A460" s="5"/>
      <c r="B460" s="3"/>
      <c r="C460" s="3"/>
      <c r="D460" s="3"/>
      <c r="E460" s="3"/>
      <c r="F460" s="3"/>
      <c r="G460" s="3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</row>
    <row r="461" spans="1:29" ht="14" x14ac:dyDescent="0.15">
      <c r="A461" s="5"/>
      <c r="B461" s="3"/>
      <c r="C461" s="3"/>
      <c r="D461" s="3"/>
      <c r="E461" s="3"/>
      <c r="F461" s="3"/>
      <c r="G461" s="3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</row>
    <row r="462" spans="1:29" ht="14" x14ac:dyDescent="0.15">
      <c r="A462" s="5"/>
      <c r="B462" s="3"/>
      <c r="C462" s="3"/>
      <c r="D462" s="3"/>
      <c r="E462" s="3"/>
      <c r="F462" s="3"/>
      <c r="G462" s="3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</row>
    <row r="463" spans="1:29" ht="14" x14ac:dyDescent="0.15">
      <c r="A463" s="5"/>
      <c r="B463" s="3"/>
      <c r="C463" s="3"/>
      <c r="D463" s="3"/>
      <c r="E463" s="3"/>
      <c r="F463" s="3"/>
      <c r="G463" s="3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</row>
    <row r="464" spans="1:29" ht="14" x14ac:dyDescent="0.15">
      <c r="A464" s="5"/>
      <c r="B464" s="3"/>
      <c r="C464" s="3"/>
      <c r="D464" s="3"/>
      <c r="E464" s="3"/>
      <c r="F464" s="3"/>
      <c r="G464" s="3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</row>
    <row r="465" spans="1:29" ht="14" x14ac:dyDescent="0.15">
      <c r="A465" s="5"/>
      <c r="B465" s="3"/>
      <c r="C465" s="3"/>
      <c r="D465" s="3"/>
      <c r="E465" s="3"/>
      <c r="F465" s="3"/>
      <c r="G465" s="3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</row>
    <row r="466" spans="1:29" ht="14" x14ac:dyDescent="0.15">
      <c r="A466" s="5"/>
      <c r="B466" s="3"/>
      <c r="C466" s="3"/>
      <c r="D466" s="3"/>
      <c r="E466" s="3"/>
      <c r="F466" s="3"/>
      <c r="G466" s="3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</row>
    <row r="467" spans="1:29" ht="14" x14ac:dyDescent="0.15">
      <c r="A467" s="5"/>
      <c r="B467" s="3"/>
      <c r="C467" s="3"/>
      <c r="D467" s="3"/>
      <c r="E467" s="3"/>
      <c r="F467" s="3"/>
      <c r="G467" s="3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</row>
    <row r="468" spans="1:29" ht="14" x14ac:dyDescent="0.15">
      <c r="A468" s="5"/>
      <c r="B468" s="3"/>
      <c r="C468" s="3"/>
      <c r="D468" s="3"/>
      <c r="E468" s="3"/>
      <c r="F468" s="3"/>
      <c r="G468" s="3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</row>
    <row r="469" spans="1:29" ht="14" x14ac:dyDescent="0.15">
      <c r="A469" s="5"/>
      <c r="B469" s="3"/>
      <c r="C469" s="3"/>
      <c r="D469" s="3"/>
      <c r="E469" s="3"/>
      <c r="F469" s="3"/>
      <c r="G469" s="3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</row>
    <row r="470" spans="1:29" ht="14" x14ac:dyDescent="0.15">
      <c r="A470" s="5"/>
      <c r="B470" s="3"/>
      <c r="C470" s="3"/>
      <c r="D470" s="3"/>
      <c r="E470" s="3"/>
      <c r="F470" s="3"/>
      <c r="G470" s="3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</row>
    <row r="471" spans="1:29" ht="14" x14ac:dyDescent="0.15">
      <c r="A471" s="5"/>
      <c r="B471" s="3"/>
      <c r="C471" s="3"/>
      <c r="D471" s="3"/>
      <c r="E471" s="3"/>
      <c r="F471" s="3"/>
      <c r="G471" s="3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</row>
    <row r="472" spans="1:29" ht="14" x14ac:dyDescent="0.15">
      <c r="A472" s="5"/>
      <c r="B472" s="3"/>
      <c r="C472" s="3"/>
      <c r="D472" s="3"/>
      <c r="E472" s="3"/>
      <c r="F472" s="3"/>
      <c r="G472" s="3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</row>
    <row r="473" spans="1:29" ht="14" x14ac:dyDescent="0.15">
      <c r="A473" s="5"/>
      <c r="B473" s="3"/>
      <c r="C473" s="3"/>
      <c r="D473" s="3"/>
      <c r="E473" s="3"/>
      <c r="F473" s="3"/>
      <c r="G473" s="3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</row>
    <row r="474" spans="1:29" ht="14" x14ac:dyDescent="0.15">
      <c r="A474" s="5"/>
      <c r="B474" s="3"/>
      <c r="C474" s="3"/>
      <c r="D474" s="3"/>
      <c r="E474" s="3"/>
      <c r="F474" s="3"/>
      <c r="G474" s="3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</row>
    <row r="475" spans="1:29" ht="14" x14ac:dyDescent="0.15">
      <c r="A475" s="5"/>
      <c r="B475" s="3"/>
      <c r="C475" s="3"/>
      <c r="D475" s="3"/>
      <c r="E475" s="3"/>
      <c r="F475" s="3"/>
      <c r="G475" s="3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</row>
    <row r="476" spans="1:29" ht="14" x14ac:dyDescent="0.15">
      <c r="A476" s="5"/>
      <c r="B476" s="3"/>
      <c r="C476" s="3"/>
      <c r="D476" s="3"/>
      <c r="E476" s="3"/>
      <c r="F476" s="3"/>
      <c r="G476" s="3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</row>
    <row r="477" spans="1:29" ht="14" x14ac:dyDescent="0.15">
      <c r="A477" s="5"/>
      <c r="B477" s="3"/>
      <c r="C477" s="3"/>
      <c r="D477" s="3"/>
      <c r="E477" s="3"/>
      <c r="F477" s="3"/>
      <c r="G477" s="3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</row>
    <row r="478" spans="1:29" ht="14" x14ac:dyDescent="0.15">
      <c r="A478" s="5"/>
      <c r="B478" s="3"/>
      <c r="C478" s="3"/>
      <c r="D478" s="3"/>
      <c r="E478" s="3"/>
      <c r="F478" s="3"/>
      <c r="G478" s="3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</row>
    <row r="479" spans="1:29" ht="14" x14ac:dyDescent="0.15">
      <c r="A479" s="5"/>
      <c r="B479" s="3"/>
      <c r="C479" s="3"/>
      <c r="D479" s="3"/>
      <c r="E479" s="3"/>
      <c r="F479" s="3"/>
      <c r="G479" s="3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</row>
    <row r="480" spans="1:29" ht="14" x14ac:dyDescent="0.15">
      <c r="A480" s="5"/>
      <c r="B480" s="3"/>
      <c r="C480" s="3"/>
      <c r="D480" s="3"/>
      <c r="E480" s="3"/>
      <c r="F480" s="3"/>
      <c r="G480" s="3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</row>
    <row r="481" spans="1:29" ht="14" x14ac:dyDescent="0.15">
      <c r="A481" s="5"/>
      <c r="B481" s="3"/>
      <c r="C481" s="3"/>
      <c r="D481" s="3"/>
      <c r="E481" s="3"/>
      <c r="F481" s="3"/>
      <c r="G481" s="3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</row>
    <row r="482" spans="1:29" ht="14" x14ac:dyDescent="0.15">
      <c r="A482" s="5"/>
      <c r="B482" s="3"/>
      <c r="C482" s="3"/>
      <c r="D482" s="3"/>
      <c r="E482" s="3"/>
      <c r="F482" s="3"/>
      <c r="G482" s="3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</row>
    <row r="483" spans="1:29" ht="14" x14ac:dyDescent="0.15">
      <c r="A483" s="5"/>
      <c r="B483" s="3"/>
      <c r="C483" s="3"/>
      <c r="D483" s="3"/>
      <c r="E483" s="3"/>
      <c r="F483" s="3"/>
      <c r="G483" s="3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</row>
    <row r="484" spans="1:29" ht="14" x14ac:dyDescent="0.15">
      <c r="A484" s="5"/>
      <c r="B484" s="3"/>
      <c r="C484" s="3"/>
      <c r="D484" s="3"/>
      <c r="E484" s="3"/>
      <c r="F484" s="3"/>
      <c r="G484" s="3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</row>
    <row r="485" spans="1:29" ht="14" x14ac:dyDescent="0.15">
      <c r="A485" s="5"/>
      <c r="B485" s="3"/>
      <c r="C485" s="3"/>
      <c r="D485" s="3"/>
      <c r="E485" s="3"/>
      <c r="F485" s="3"/>
      <c r="G485" s="3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</row>
    <row r="486" spans="1:29" ht="14" x14ac:dyDescent="0.15">
      <c r="A486" s="5"/>
      <c r="B486" s="3"/>
      <c r="C486" s="3"/>
      <c r="D486" s="3"/>
      <c r="E486" s="3"/>
      <c r="F486" s="3"/>
      <c r="G486" s="3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</row>
    <row r="487" spans="1:29" ht="14" x14ac:dyDescent="0.15">
      <c r="A487" s="5"/>
      <c r="B487" s="3"/>
      <c r="C487" s="3"/>
      <c r="D487" s="3"/>
      <c r="E487" s="3"/>
      <c r="F487" s="3"/>
      <c r="G487" s="3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</row>
    <row r="488" spans="1:29" ht="14" x14ac:dyDescent="0.15">
      <c r="A488" s="5"/>
      <c r="B488" s="3"/>
      <c r="C488" s="3"/>
      <c r="D488" s="3"/>
      <c r="E488" s="3"/>
      <c r="F488" s="3"/>
      <c r="G488" s="3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</row>
    <row r="489" spans="1:29" ht="14" x14ac:dyDescent="0.15">
      <c r="A489" s="5"/>
      <c r="B489" s="3"/>
      <c r="C489" s="3"/>
      <c r="D489" s="3"/>
      <c r="E489" s="3"/>
      <c r="F489" s="3"/>
      <c r="G489" s="3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</row>
    <row r="490" spans="1:29" ht="14" x14ac:dyDescent="0.15">
      <c r="A490" s="5"/>
      <c r="B490" s="3"/>
      <c r="C490" s="3"/>
      <c r="D490" s="3"/>
      <c r="E490" s="3"/>
      <c r="F490" s="3"/>
      <c r="G490" s="3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</row>
    <row r="491" spans="1:29" ht="14" x14ac:dyDescent="0.15">
      <c r="A491" s="5"/>
      <c r="B491" s="3"/>
      <c r="C491" s="3"/>
      <c r="D491" s="3"/>
      <c r="E491" s="3"/>
      <c r="F491" s="3"/>
      <c r="G491" s="3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</row>
    <row r="492" spans="1:29" ht="14" x14ac:dyDescent="0.15">
      <c r="A492" s="5"/>
      <c r="B492" s="3"/>
      <c r="C492" s="3"/>
      <c r="D492" s="3"/>
      <c r="E492" s="3"/>
      <c r="F492" s="3"/>
      <c r="G492" s="3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</row>
    <row r="493" spans="1:29" ht="14" x14ac:dyDescent="0.15">
      <c r="A493" s="5"/>
      <c r="B493" s="3"/>
      <c r="C493" s="3"/>
      <c r="D493" s="3"/>
      <c r="E493" s="3"/>
      <c r="F493" s="3"/>
      <c r="G493" s="3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</row>
    <row r="494" spans="1:29" ht="14" x14ac:dyDescent="0.15">
      <c r="A494" s="5"/>
      <c r="B494" s="3"/>
      <c r="C494" s="3"/>
      <c r="D494" s="3"/>
      <c r="E494" s="3"/>
      <c r="F494" s="3"/>
      <c r="G494" s="3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</row>
    <row r="495" spans="1:29" ht="14" x14ac:dyDescent="0.15">
      <c r="A495" s="5"/>
      <c r="B495" s="3"/>
      <c r="C495" s="3"/>
      <c r="D495" s="3"/>
      <c r="E495" s="3"/>
      <c r="F495" s="3"/>
      <c r="G495" s="3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</row>
    <row r="496" spans="1:29" ht="14" x14ac:dyDescent="0.15">
      <c r="A496" s="5"/>
      <c r="B496" s="3"/>
      <c r="C496" s="3"/>
      <c r="D496" s="3"/>
      <c r="E496" s="3"/>
      <c r="F496" s="3"/>
      <c r="G496" s="3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</row>
    <row r="497" spans="1:29" ht="14" x14ac:dyDescent="0.15">
      <c r="A497" s="5"/>
      <c r="B497" s="3"/>
      <c r="C497" s="3"/>
      <c r="D497" s="3"/>
      <c r="E497" s="3"/>
      <c r="F497" s="3"/>
      <c r="G497" s="3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</row>
    <row r="498" spans="1:29" ht="14" x14ac:dyDescent="0.15">
      <c r="A498" s="5"/>
      <c r="B498" s="3"/>
      <c r="C498" s="3"/>
      <c r="D498" s="3"/>
      <c r="E498" s="3"/>
      <c r="F498" s="3"/>
      <c r="G498" s="3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</row>
    <row r="499" spans="1:29" ht="14" x14ac:dyDescent="0.15">
      <c r="A499" s="5"/>
      <c r="B499" s="3"/>
      <c r="C499" s="3"/>
      <c r="D499" s="3"/>
      <c r="E499" s="3"/>
      <c r="F499" s="3"/>
      <c r="G499" s="3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</row>
    <row r="500" spans="1:29" ht="14" x14ac:dyDescent="0.15">
      <c r="A500" s="5"/>
      <c r="B500" s="3"/>
      <c r="C500" s="3"/>
      <c r="D500" s="3"/>
      <c r="E500" s="3"/>
      <c r="F500" s="3"/>
      <c r="G500" s="3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</row>
    <row r="501" spans="1:29" ht="14" x14ac:dyDescent="0.15">
      <c r="A501" s="5"/>
      <c r="B501" s="3"/>
      <c r="C501" s="3"/>
      <c r="D501" s="3"/>
      <c r="E501" s="3"/>
      <c r="F501" s="3"/>
      <c r="G501" s="3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</row>
    <row r="502" spans="1:29" ht="14" x14ac:dyDescent="0.15">
      <c r="A502" s="5"/>
      <c r="B502" s="3"/>
      <c r="C502" s="3"/>
      <c r="D502" s="3"/>
      <c r="E502" s="3"/>
      <c r="F502" s="3"/>
      <c r="G502" s="3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</row>
    <row r="503" spans="1:29" ht="14" x14ac:dyDescent="0.15">
      <c r="A503" s="5"/>
      <c r="B503" s="3"/>
      <c r="C503" s="3"/>
      <c r="D503" s="3"/>
      <c r="E503" s="3"/>
      <c r="F503" s="3"/>
      <c r="G503" s="3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</row>
    <row r="504" spans="1:29" ht="14" x14ac:dyDescent="0.15">
      <c r="A504" s="5"/>
      <c r="B504" s="3"/>
      <c r="C504" s="3"/>
      <c r="D504" s="3"/>
      <c r="E504" s="3"/>
      <c r="F504" s="3"/>
      <c r="G504" s="3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</row>
    <row r="505" spans="1:29" ht="14" x14ac:dyDescent="0.15">
      <c r="A505" s="5"/>
      <c r="B505" s="3"/>
      <c r="C505" s="3"/>
      <c r="D505" s="3"/>
      <c r="E505" s="3"/>
      <c r="F505" s="3"/>
      <c r="G505" s="3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</row>
    <row r="506" spans="1:29" ht="14" x14ac:dyDescent="0.15">
      <c r="A506" s="5"/>
      <c r="B506" s="3"/>
      <c r="C506" s="3"/>
      <c r="D506" s="3"/>
      <c r="E506" s="3"/>
      <c r="F506" s="3"/>
      <c r="G506" s="3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</row>
    <row r="507" spans="1:29" ht="14" x14ac:dyDescent="0.15">
      <c r="A507" s="5"/>
      <c r="B507" s="3"/>
      <c r="C507" s="3"/>
      <c r="D507" s="3"/>
      <c r="E507" s="3"/>
      <c r="F507" s="3"/>
      <c r="G507" s="3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</row>
    <row r="508" spans="1:29" ht="14" x14ac:dyDescent="0.15">
      <c r="A508" s="5"/>
      <c r="B508" s="3"/>
      <c r="C508" s="3"/>
      <c r="D508" s="3"/>
      <c r="E508" s="3"/>
      <c r="F508" s="3"/>
      <c r="G508" s="3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</row>
    <row r="509" spans="1:29" ht="14" x14ac:dyDescent="0.15">
      <c r="A509" s="5"/>
      <c r="B509" s="3"/>
      <c r="C509" s="3"/>
      <c r="D509" s="3"/>
      <c r="E509" s="3"/>
      <c r="F509" s="3"/>
      <c r="G509" s="3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</row>
    <row r="510" spans="1:29" ht="14" x14ac:dyDescent="0.15">
      <c r="A510" s="5"/>
      <c r="B510" s="3"/>
      <c r="C510" s="3"/>
      <c r="D510" s="3"/>
      <c r="E510" s="3"/>
      <c r="F510" s="3"/>
      <c r="G510" s="3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</row>
    <row r="511" spans="1:29" ht="14" x14ac:dyDescent="0.15">
      <c r="A511" s="5"/>
      <c r="B511" s="3"/>
      <c r="C511" s="3"/>
      <c r="D511" s="3"/>
      <c r="E511" s="3"/>
      <c r="F511" s="3"/>
      <c r="G511" s="3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</row>
    <row r="512" spans="1:29" ht="14" x14ac:dyDescent="0.15">
      <c r="A512" s="5"/>
      <c r="B512" s="3"/>
      <c r="C512" s="3"/>
      <c r="D512" s="3"/>
      <c r="E512" s="3"/>
      <c r="F512" s="3"/>
      <c r="G512" s="3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</row>
    <row r="513" spans="1:29" ht="14" x14ac:dyDescent="0.15">
      <c r="A513" s="5"/>
      <c r="B513" s="3"/>
      <c r="C513" s="3"/>
      <c r="D513" s="3"/>
      <c r="E513" s="3"/>
      <c r="F513" s="3"/>
      <c r="G513" s="3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</row>
    <row r="514" spans="1:29" ht="14" x14ac:dyDescent="0.15">
      <c r="A514" s="5"/>
      <c r="B514" s="3"/>
      <c r="C514" s="3"/>
      <c r="D514" s="3"/>
      <c r="E514" s="3"/>
      <c r="F514" s="3"/>
      <c r="G514" s="3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</row>
    <row r="515" spans="1:29" ht="14" x14ac:dyDescent="0.15">
      <c r="A515" s="5"/>
      <c r="B515" s="3"/>
      <c r="C515" s="3"/>
      <c r="D515" s="3"/>
      <c r="E515" s="3"/>
      <c r="F515" s="3"/>
      <c r="G515" s="3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</row>
    <row r="516" spans="1:29" ht="14" x14ac:dyDescent="0.15">
      <c r="A516" s="5"/>
      <c r="B516" s="3"/>
      <c r="C516" s="3"/>
      <c r="D516" s="3"/>
      <c r="E516" s="3"/>
      <c r="F516" s="3"/>
      <c r="G516" s="3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</row>
    <row r="517" spans="1:29" ht="14" x14ac:dyDescent="0.15">
      <c r="A517" s="5"/>
      <c r="B517" s="3"/>
      <c r="C517" s="3"/>
      <c r="D517" s="3"/>
      <c r="E517" s="3"/>
      <c r="F517" s="3"/>
      <c r="G517" s="3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</row>
    <row r="518" spans="1:29" ht="14" x14ac:dyDescent="0.15">
      <c r="A518" s="5"/>
      <c r="B518" s="3"/>
      <c r="C518" s="3"/>
      <c r="D518" s="3"/>
      <c r="E518" s="3"/>
      <c r="F518" s="3"/>
      <c r="G518" s="3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</row>
    <row r="519" spans="1:29" ht="14" x14ac:dyDescent="0.15">
      <c r="A519" s="5"/>
      <c r="B519" s="3"/>
      <c r="C519" s="3"/>
      <c r="D519" s="3"/>
      <c r="E519" s="3"/>
      <c r="F519" s="3"/>
      <c r="G519" s="3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</row>
    <row r="520" spans="1:29" ht="14" x14ac:dyDescent="0.15">
      <c r="A520" s="5"/>
      <c r="B520" s="3"/>
      <c r="C520" s="3"/>
      <c r="D520" s="3"/>
      <c r="E520" s="3"/>
      <c r="F520" s="3"/>
      <c r="G520" s="3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</row>
    <row r="521" spans="1:29" ht="14" x14ac:dyDescent="0.15">
      <c r="A521" s="5"/>
      <c r="B521" s="3"/>
      <c r="C521" s="3"/>
      <c r="D521" s="3"/>
      <c r="E521" s="3"/>
      <c r="F521" s="3"/>
      <c r="G521" s="3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</row>
    <row r="522" spans="1:29" ht="14" x14ac:dyDescent="0.15">
      <c r="A522" s="5"/>
      <c r="B522" s="3"/>
      <c r="C522" s="3"/>
      <c r="D522" s="3"/>
      <c r="E522" s="3"/>
      <c r="F522" s="3"/>
      <c r="G522" s="3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</row>
    <row r="523" spans="1:29" ht="14" x14ac:dyDescent="0.15">
      <c r="A523" s="5"/>
      <c r="B523" s="3"/>
      <c r="C523" s="3"/>
      <c r="D523" s="3"/>
      <c r="E523" s="3"/>
      <c r="F523" s="3"/>
      <c r="G523" s="3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</row>
    <row r="524" spans="1:29" ht="14" x14ac:dyDescent="0.15">
      <c r="A524" s="5"/>
      <c r="B524" s="3"/>
      <c r="C524" s="3"/>
      <c r="D524" s="3"/>
      <c r="E524" s="3"/>
      <c r="F524" s="3"/>
      <c r="G524" s="3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</row>
    <row r="525" spans="1:29" ht="14" x14ac:dyDescent="0.15">
      <c r="A525" s="5"/>
      <c r="B525" s="3"/>
      <c r="C525" s="3"/>
      <c r="D525" s="3"/>
      <c r="E525" s="3"/>
      <c r="F525" s="3"/>
      <c r="G525" s="3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</row>
    <row r="526" spans="1:29" ht="14" x14ac:dyDescent="0.15">
      <c r="A526" s="5"/>
      <c r="B526" s="3"/>
      <c r="C526" s="3"/>
      <c r="D526" s="3"/>
      <c r="E526" s="3"/>
      <c r="F526" s="3"/>
      <c r="G526" s="3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</row>
    <row r="527" spans="1:29" ht="14" x14ac:dyDescent="0.15">
      <c r="A527" s="5"/>
      <c r="B527" s="3"/>
      <c r="C527" s="3"/>
      <c r="D527" s="3"/>
      <c r="E527" s="3"/>
      <c r="F527" s="3"/>
      <c r="G527" s="3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</row>
    <row r="528" spans="1:29" ht="14" x14ac:dyDescent="0.15">
      <c r="A528" s="5"/>
      <c r="B528" s="3"/>
      <c r="C528" s="3"/>
      <c r="D528" s="3"/>
      <c r="E528" s="3"/>
      <c r="F528" s="3"/>
      <c r="G528" s="3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</row>
    <row r="529" spans="1:29" ht="14" x14ac:dyDescent="0.15">
      <c r="A529" s="5"/>
      <c r="B529" s="3"/>
      <c r="C529" s="3"/>
      <c r="D529" s="3"/>
      <c r="E529" s="3"/>
      <c r="F529" s="3"/>
      <c r="G529" s="3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</row>
    <row r="530" spans="1:29" ht="14" x14ac:dyDescent="0.15">
      <c r="A530" s="5"/>
      <c r="B530" s="3"/>
      <c r="C530" s="3"/>
      <c r="D530" s="3"/>
      <c r="E530" s="3"/>
      <c r="F530" s="3"/>
      <c r="G530" s="3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</row>
    <row r="531" spans="1:29" ht="14" x14ac:dyDescent="0.15">
      <c r="A531" s="5"/>
      <c r="B531" s="3"/>
      <c r="C531" s="3"/>
      <c r="D531" s="3"/>
      <c r="E531" s="3"/>
      <c r="F531" s="3"/>
      <c r="G531" s="3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</row>
    <row r="532" spans="1:29" ht="14" x14ac:dyDescent="0.15">
      <c r="A532" s="5"/>
      <c r="B532" s="3"/>
      <c r="C532" s="3"/>
      <c r="D532" s="3"/>
      <c r="E532" s="3"/>
      <c r="F532" s="3"/>
      <c r="G532" s="3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</row>
    <row r="533" spans="1:29" ht="14" x14ac:dyDescent="0.15">
      <c r="A533" s="5"/>
      <c r="B533" s="3"/>
      <c r="C533" s="3"/>
      <c r="D533" s="3"/>
      <c r="E533" s="3"/>
      <c r="F533" s="3"/>
      <c r="G533" s="3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</row>
    <row r="534" spans="1:29" ht="14" x14ac:dyDescent="0.15">
      <c r="A534" s="5"/>
      <c r="B534" s="3"/>
      <c r="C534" s="3"/>
      <c r="D534" s="3"/>
      <c r="E534" s="3"/>
      <c r="F534" s="3"/>
      <c r="G534" s="3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</row>
    <row r="535" spans="1:29" ht="14" x14ac:dyDescent="0.15">
      <c r="A535" s="5"/>
      <c r="B535" s="3"/>
      <c r="C535" s="3"/>
      <c r="D535" s="3"/>
      <c r="E535" s="3"/>
      <c r="F535" s="3"/>
      <c r="G535" s="3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</row>
    <row r="536" spans="1:29" ht="14" x14ac:dyDescent="0.15">
      <c r="A536" s="5"/>
      <c r="B536" s="3"/>
      <c r="C536" s="3"/>
      <c r="D536" s="3"/>
      <c r="E536" s="3"/>
      <c r="F536" s="3"/>
      <c r="G536" s="3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</row>
    <row r="537" spans="1:29" ht="14" x14ac:dyDescent="0.15">
      <c r="A537" s="5"/>
      <c r="B537" s="3"/>
      <c r="C537" s="3"/>
      <c r="D537" s="3"/>
      <c r="E537" s="3"/>
      <c r="F537" s="3"/>
      <c r="G537" s="3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</row>
    <row r="538" spans="1:29" ht="14" x14ac:dyDescent="0.15">
      <c r="A538" s="5"/>
      <c r="B538" s="3"/>
      <c r="C538" s="3"/>
      <c r="D538" s="3"/>
      <c r="E538" s="3"/>
      <c r="F538" s="3"/>
      <c r="G538" s="3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</row>
    <row r="539" spans="1:29" ht="14" x14ac:dyDescent="0.15">
      <c r="A539" s="5"/>
      <c r="B539" s="3"/>
      <c r="C539" s="3"/>
      <c r="D539" s="3"/>
      <c r="E539" s="3"/>
      <c r="F539" s="3"/>
      <c r="G539" s="3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</row>
    <row r="540" spans="1:29" ht="14" x14ac:dyDescent="0.15">
      <c r="A540" s="5"/>
      <c r="B540" s="3"/>
      <c r="C540" s="3"/>
      <c r="D540" s="3"/>
      <c r="E540" s="3"/>
      <c r="F540" s="3"/>
      <c r="G540" s="3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</row>
    <row r="541" spans="1:29" ht="14" x14ac:dyDescent="0.15">
      <c r="A541" s="5"/>
      <c r="B541" s="3"/>
      <c r="C541" s="3"/>
      <c r="D541" s="3"/>
      <c r="E541" s="3"/>
      <c r="F541" s="3"/>
      <c r="G541" s="3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</row>
    <row r="542" spans="1:29" ht="14" x14ac:dyDescent="0.15">
      <c r="A542" s="5"/>
      <c r="B542" s="3"/>
      <c r="C542" s="3"/>
      <c r="D542" s="3"/>
      <c r="E542" s="3"/>
      <c r="F542" s="3"/>
      <c r="G542" s="3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</row>
    <row r="543" spans="1:29" ht="14" x14ac:dyDescent="0.15">
      <c r="A543" s="5"/>
      <c r="B543" s="3"/>
      <c r="C543" s="3"/>
      <c r="D543" s="3"/>
      <c r="E543" s="3"/>
      <c r="F543" s="3"/>
      <c r="G543" s="3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</row>
    <row r="544" spans="1:29" ht="14" x14ac:dyDescent="0.15">
      <c r="A544" s="5"/>
      <c r="B544" s="3"/>
      <c r="C544" s="3"/>
      <c r="D544" s="3"/>
      <c r="E544" s="3"/>
      <c r="F544" s="3"/>
      <c r="G544" s="3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</row>
    <row r="545" spans="1:29" ht="14" x14ac:dyDescent="0.15">
      <c r="A545" s="5"/>
      <c r="B545" s="3"/>
      <c r="C545" s="3"/>
      <c r="D545" s="3"/>
      <c r="E545" s="3"/>
      <c r="F545" s="3"/>
      <c r="G545" s="3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</row>
    <row r="546" spans="1:29" ht="14" x14ac:dyDescent="0.15">
      <c r="A546" s="5"/>
      <c r="B546" s="3"/>
      <c r="C546" s="3"/>
      <c r="D546" s="3"/>
      <c r="E546" s="3"/>
      <c r="F546" s="3"/>
      <c r="G546" s="3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</row>
    <row r="547" spans="1:29" ht="14" x14ac:dyDescent="0.15">
      <c r="A547" s="5"/>
      <c r="B547" s="3"/>
      <c r="C547" s="3"/>
      <c r="D547" s="3"/>
      <c r="E547" s="3"/>
      <c r="F547" s="3"/>
      <c r="G547" s="3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</row>
    <row r="548" spans="1:29" ht="14" x14ac:dyDescent="0.15">
      <c r="A548" s="5"/>
      <c r="B548" s="3"/>
      <c r="C548" s="3"/>
      <c r="D548" s="3"/>
      <c r="E548" s="3"/>
      <c r="F548" s="3"/>
      <c r="G548" s="3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</row>
    <row r="549" spans="1:29" ht="14" x14ac:dyDescent="0.15">
      <c r="A549" s="5"/>
      <c r="B549" s="3"/>
      <c r="C549" s="3"/>
      <c r="D549" s="3"/>
      <c r="E549" s="3"/>
      <c r="F549" s="3"/>
      <c r="G549" s="3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</row>
    <row r="550" spans="1:29" ht="14" x14ac:dyDescent="0.15">
      <c r="A550" s="5"/>
      <c r="B550" s="3"/>
      <c r="C550" s="3"/>
      <c r="D550" s="3"/>
      <c r="E550" s="3"/>
      <c r="F550" s="3"/>
      <c r="G550" s="3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</row>
    <row r="551" spans="1:29" ht="14" x14ac:dyDescent="0.15">
      <c r="A551" s="5"/>
      <c r="B551" s="3"/>
      <c r="C551" s="3"/>
      <c r="D551" s="3"/>
      <c r="E551" s="3"/>
      <c r="F551" s="3"/>
      <c r="G551" s="3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</row>
    <row r="552" spans="1:29" ht="14" x14ac:dyDescent="0.15">
      <c r="A552" s="5"/>
      <c r="B552" s="3"/>
      <c r="C552" s="3"/>
      <c r="D552" s="3"/>
      <c r="E552" s="3"/>
      <c r="F552" s="3"/>
      <c r="G552" s="3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</row>
    <row r="553" spans="1:29" ht="14" x14ac:dyDescent="0.15">
      <c r="A553" s="5"/>
      <c r="B553" s="3"/>
      <c r="C553" s="3"/>
      <c r="D553" s="3"/>
      <c r="E553" s="3"/>
      <c r="F553" s="3"/>
      <c r="G553" s="3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</row>
    <row r="554" spans="1:29" ht="14" x14ac:dyDescent="0.15">
      <c r="A554" s="5"/>
      <c r="B554" s="3"/>
      <c r="C554" s="3"/>
      <c r="D554" s="3"/>
      <c r="E554" s="3"/>
      <c r="F554" s="3"/>
      <c r="G554" s="3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</row>
    <row r="555" spans="1:29" ht="14" x14ac:dyDescent="0.15">
      <c r="A555" s="5"/>
      <c r="B555" s="3"/>
      <c r="C555" s="3"/>
      <c r="D555" s="3"/>
      <c r="E555" s="3"/>
      <c r="F555" s="3"/>
      <c r="G555" s="3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</row>
    <row r="556" spans="1:29" ht="14" x14ac:dyDescent="0.15">
      <c r="A556" s="5"/>
      <c r="B556" s="3"/>
      <c r="C556" s="3"/>
      <c r="D556" s="3"/>
      <c r="E556" s="3"/>
      <c r="F556" s="3"/>
      <c r="G556" s="3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</row>
    <row r="557" spans="1:29" ht="14" x14ac:dyDescent="0.15">
      <c r="A557" s="5"/>
      <c r="B557" s="3"/>
      <c r="C557" s="3"/>
      <c r="D557" s="3"/>
      <c r="E557" s="3"/>
      <c r="F557" s="3"/>
      <c r="G557" s="3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</row>
    <row r="558" spans="1:29" ht="14" x14ac:dyDescent="0.15">
      <c r="A558" s="5"/>
      <c r="B558" s="3"/>
      <c r="C558" s="3"/>
      <c r="D558" s="3"/>
      <c r="E558" s="3"/>
      <c r="F558" s="3"/>
      <c r="G558" s="3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</row>
    <row r="559" spans="1:29" ht="14" x14ac:dyDescent="0.15">
      <c r="A559" s="5"/>
      <c r="B559" s="3"/>
      <c r="C559" s="3"/>
      <c r="D559" s="3"/>
      <c r="E559" s="3"/>
      <c r="F559" s="3"/>
      <c r="G559" s="3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</row>
    <row r="560" spans="1:29" ht="14" x14ac:dyDescent="0.15">
      <c r="A560" s="5"/>
      <c r="B560" s="3"/>
      <c r="C560" s="3"/>
      <c r="D560" s="3"/>
      <c r="E560" s="3"/>
      <c r="F560" s="3"/>
      <c r="G560" s="3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</row>
    <row r="561" spans="1:29" ht="14" x14ac:dyDescent="0.15">
      <c r="A561" s="5"/>
      <c r="B561" s="3"/>
      <c r="C561" s="3"/>
      <c r="D561" s="3"/>
      <c r="E561" s="3"/>
      <c r="F561" s="3"/>
      <c r="G561" s="3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</row>
    <row r="562" spans="1:29" ht="14" x14ac:dyDescent="0.15">
      <c r="A562" s="5"/>
      <c r="B562" s="3"/>
      <c r="C562" s="3"/>
      <c r="D562" s="3"/>
      <c r="E562" s="3"/>
      <c r="F562" s="3"/>
      <c r="G562" s="3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</row>
    <row r="563" spans="1:29" ht="14" x14ac:dyDescent="0.15">
      <c r="A563" s="5"/>
      <c r="B563" s="3"/>
      <c r="C563" s="3"/>
      <c r="D563" s="3"/>
      <c r="E563" s="3"/>
      <c r="F563" s="3"/>
      <c r="G563" s="3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</row>
    <row r="564" spans="1:29" ht="14" x14ac:dyDescent="0.15">
      <c r="A564" s="5"/>
      <c r="B564" s="3"/>
      <c r="C564" s="3"/>
      <c r="D564" s="3"/>
      <c r="E564" s="3"/>
      <c r="F564" s="3"/>
      <c r="G564" s="3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</row>
    <row r="565" spans="1:29" ht="14" x14ac:dyDescent="0.15">
      <c r="A565" s="5"/>
      <c r="B565" s="3"/>
      <c r="C565" s="3"/>
      <c r="D565" s="3"/>
      <c r="E565" s="3"/>
      <c r="F565" s="3"/>
      <c r="G565" s="3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</row>
    <row r="566" spans="1:29" ht="14" x14ac:dyDescent="0.15">
      <c r="A566" s="5"/>
      <c r="B566" s="3"/>
      <c r="C566" s="3"/>
      <c r="D566" s="3"/>
      <c r="E566" s="3"/>
      <c r="F566" s="3"/>
      <c r="G566" s="3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</row>
    <row r="567" spans="1:29" ht="14" x14ac:dyDescent="0.15">
      <c r="A567" s="5"/>
      <c r="B567" s="3"/>
      <c r="C567" s="3"/>
      <c r="D567" s="3"/>
      <c r="E567" s="3"/>
      <c r="F567" s="3"/>
      <c r="G567" s="3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</row>
    <row r="568" spans="1:29" ht="14" x14ac:dyDescent="0.15">
      <c r="A568" s="5"/>
      <c r="B568" s="3"/>
      <c r="C568" s="3"/>
      <c r="D568" s="3"/>
      <c r="E568" s="3"/>
      <c r="F568" s="3"/>
      <c r="G568" s="3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</row>
    <row r="569" spans="1:29" ht="14" x14ac:dyDescent="0.15">
      <c r="A569" s="5"/>
      <c r="B569" s="3"/>
      <c r="C569" s="3"/>
      <c r="D569" s="3"/>
      <c r="E569" s="3"/>
      <c r="F569" s="3"/>
      <c r="G569" s="3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</row>
    <row r="570" spans="1:29" ht="14" x14ac:dyDescent="0.15">
      <c r="A570" s="5"/>
      <c r="B570" s="3"/>
      <c r="C570" s="3"/>
      <c r="D570" s="3"/>
      <c r="E570" s="3"/>
      <c r="F570" s="3"/>
      <c r="G570" s="3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</row>
    <row r="571" spans="1:29" ht="14" x14ac:dyDescent="0.15">
      <c r="A571" s="5"/>
      <c r="B571" s="3"/>
      <c r="C571" s="3"/>
      <c r="D571" s="3"/>
      <c r="E571" s="3"/>
      <c r="F571" s="3"/>
      <c r="G571" s="3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</row>
    <row r="572" spans="1:29" ht="14" x14ac:dyDescent="0.15">
      <c r="A572" s="5"/>
      <c r="B572" s="3"/>
      <c r="C572" s="3"/>
      <c r="D572" s="3"/>
      <c r="E572" s="3"/>
      <c r="F572" s="3"/>
      <c r="G572" s="3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</row>
    <row r="573" spans="1:29" ht="14" x14ac:dyDescent="0.15">
      <c r="A573" s="5"/>
      <c r="B573" s="3"/>
      <c r="C573" s="3"/>
      <c r="D573" s="3"/>
      <c r="E573" s="3"/>
      <c r="F573" s="3"/>
      <c r="G573" s="3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</row>
    <row r="574" spans="1:29" ht="14" x14ac:dyDescent="0.15">
      <c r="A574" s="5"/>
      <c r="B574" s="3"/>
      <c r="C574" s="3"/>
      <c r="D574" s="3"/>
      <c r="E574" s="3"/>
      <c r="F574" s="3"/>
      <c r="G574" s="3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</row>
    <row r="575" spans="1:29" ht="14" x14ac:dyDescent="0.15">
      <c r="A575" s="5"/>
      <c r="B575" s="3"/>
      <c r="C575" s="3"/>
      <c r="D575" s="3"/>
      <c r="E575" s="3"/>
      <c r="F575" s="3"/>
      <c r="G575" s="3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</row>
    <row r="576" spans="1:29" ht="14" x14ac:dyDescent="0.15">
      <c r="A576" s="5"/>
      <c r="B576" s="3"/>
      <c r="C576" s="3"/>
      <c r="D576" s="3"/>
      <c r="E576" s="3"/>
      <c r="F576" s="3"/>
      <c r="G576" s="3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</row>
    <row r="577" spans="1:29" ht="14" x14ac:dyDescent="0.15">
      <c r="A577" s="5"/>
      <c r="B577" s="3"/>
      <c r="C577" s="3"/>
      <c r="D577" s="3"/>
      <c r="E577" s="3"/>
      <c r="F577" s="3"/>
      <c r="G577" s="3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</row>
    <row r="578" spans="1:29" ht="14" x14ac:dyDescent="0.15">
      <c r="A578" s="5"/>
      <c r="B578" s="3"/>
      <c r="C578" s="3"/>
      <c r="D578" s="3"/>
      <c r="E578" s="3"/>
      <c r="F578" s="3"/>
      <c r="G578" s="3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</row>
    <row r="579" spans="1:29" ht="14" x14ac:dyDescent="0.15">
      <c r="A579" s="5"/>
      <c r="B579" s="3"/>
      <c r="C579" s="3"/>
      <c r="D579" s="3"/>
      <c r="E579" s="3"/>
      <c r="F579" s="3"/>
      <c r="G579" s="3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</row>
    <row r="580" spans="1:29" ht="14" x14ac:dyDescent="0.15">
      <c r="A580" s="5"/>
      <c r="B580" s="3"/>
      <c r="C580" s="3"/>
      <c r="D580" s="3"/>
      <c r="E580" s="3"/>
      <c r="F580" s="3"/>
      <c r="G580" s="3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</row>
    <row r="581" spans="1:29" ht="14" x14ac:dyDescent="0.15">
      <c r="A581" s="5"/>
      <c r="B581" s="3"/>
      <c r="C581" s="3"/>
      <c r="D581" s="3"/>
      <c r="E581" s="3"/>
      <c r="F581" s="3"/>
      <c r="G581" s="3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</row>
    <row r="582" spans="1:29" ht="14" x14ac:dyDescent="0.15">
      <c r="A582" s="5"/>
      <c r="B582" s="3"/>
      <c r="C582" s="3"/>
      <c r="D582" s="3"/>
      <c r="E582" s="3"/>
      <c r="F582" s="3"/>
      <c r="G582" s="3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</row>
    <row r="583" spans="1:29" ht="14" x14ac:dyDescent="0.15">
      <c r="A583" s="5"/>
      <c r="B583" s="3"/>
      <c r="C583" s="3"/>
      <c r="D583" s="3"/>
      <c r="E583" s="3"/>
      <c r="F583" s="3"/>
      <c r="G583" s="3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</row>
    <row r="584" spans="1:29" ht="14" x14ac:dyDescent="0.15">
      <c r="A584" s="5"/>
      <c r="B584" s="3"/>
      <c r="C584" s="3"/>
      <c r="D584" s="3"/>
      <c r="E584" s="3"/>
      <c r="F584" s="3"/>
      <c r="G584" s="3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</row>
    <row r="585" spans="1:29" ht="14" x14ac:dyDescent="0.15">
      <c r="A585" s="5"/>
      <c r="B585" s="3"/>
      <c r="C585" s="3"/>
      <c r="D585" s="3"/>
      <c r="E585" s="3"/>
      <c r="F585" s="3"/>
      <c r="G585" s="3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</row>
    <row r="586" spans="1:29" ht="14" x14ac:dyDescent="0.15">
      <c r="A586" s="5"/>
      <c r="B586" s="3"/>
      <c r="C586" s="3"/>
      <c r="D586" s="3"/>
      <c r="E586" s="3"/>
      <c r="F586" s="3"/>
      <c r="G586" s="3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</row>
    <row r="587" spans="1:29" ht="14" x14ac:dyDescent="0.15">
      <c r="A587" s="5"/>
      <c r="B587" s="3"/>
      <c r="C587" s="3"/>
      <c r="D587" s="3"/>
      <c r="E587" s="3"/>
      <c r="F587" s="3"/>
      <c r="G587" s="3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</row>
    <row r="588" spans="1:29" ht="14" x14ac:dyDescent="0.15">
      <c r="A588" s="5"/>
      <c r="B588" s="3"/>
      <c r="C588" s="3"/>
      <c r="D588" s="3"/>
      <c r="E588" s="3"/>
      <c r="F588" s="3"/>
      <c r="G588" s="3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</row>
    <row r="589" spans="1:29" ht="14" x14ac:dyDescent="0.15">
      <c r="A589" s="5"/>
      <c r="B589" s="3"/>
      <c r="C589" s="3"/>
      <c r="D589" s="3"/>
      <c r="E589" s="3"/>
      <c r="F589" s="3"/>
      <c r="G589" s="3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</row>
    <row r="590" spans="1:29" ht="14" x14ac:dyDescent="0.15">
      <c r="A590" s="5"/>
      <c r="B590" s="3"/>
      <c r="C590" s="3"/>
      <c r="D590" s="3"/>
      <c r="E590" s="3"/>
      <c r="F590" s="3"/>
      <c r="G590" s="3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</row>
    <row r="591" spans="1:29" ht="14" x14ac:dyDescent="0.15">
      <c r="A591" s="5"/>
      <c r="B591" s="3"/>
      <c r="C591" s="3"/>
      <c r="D591" s="3"/>
      <c r="E591" s="3"/>
      <c r="F591" s="3"/>
      <c r="G591" s="3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</row>
    <row r="592" spans="1:29" ht="14" x14ac:dyDescent="0.15">
      <c r="A592" s="5"/>
      <c r="B592" s="3"/>
      <c r="C592" s="3"/>
      <c r="D592" s="3"/>
      <c r="E592" s="3"/>
      <c r="F592" s="3"/>
      <c r="G592" s="3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</row>
    <row r="593" spans="1:29" ht="14" x14ac:dyDescent="0.15">
      <c r="A593" s="5"/>
      <c r="B593" s="3"/>
      <c r="C593" s="3"/>
      <c r="D593" s="3"/>
      <c r="E593" s="3"/>
      <c r="F593" s="3"/>
      <c r="G593" s="3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</row>
    <row r="594" spans="1:29" ht="14" x14ac:dyDescent="0.15">
      <c r="A594" s="5"/>
      <c r="B594" s="3"/>
      <c r="C594" s="3"/>
      <c r="D594" s="3"/>
      <c r="E594" s="3"/>
      <c r="F594" s="3"/>
      <c r="G594" s="3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</row>
    <row r="595" spans="1:29" ht="14" x14ac:dyDescent="0.15">
      <c r="A595" s="5"/>
      <c r="B595" s="3"/>
      <c r="C595" s="3"/>
      <c r="D595" s="3"/>
      <c r="E595" s="3"/>
      <c r="F595" s="3"/>
      <c r="G595" s="3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</row>
    <row r="596" spans="1:29" ht="14" x14ac:dyDescent="0.15">
      <c r="A596" s="5"/>
      <c r="B596" s="3"/>
      <c r="C596" s="3"/>
      <c r="D596" s="3"/>
      <c r="E596" s="3"/>
      <c r="F596" s="3"/>
      <c r="G596" s="3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</row>
    <row r="597" spans="1:29" ht="14" x14ac:dyDescent="0.15">
      <c r="A597" s="5"/>
      <c r="B597" s="3"/>
      <c r="C597" s="3"/>
      <c r="D597" s="3"/>
      <c r="E597" s="3"/>
      <c r="F597" s="3"/>
      <c r="G597" s="3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</row>
    <row r="598" spans="1:29" ht="14" x14ac:dyDescent="0.15">
      <c r="A598" s="5"/>
      <c r="B598" s="3"/>
      <c r="C598" s="3"/>
      <c r="D598" s="3"/>
      <c r="E598" s="3"/>
      <c r="F598" s="3"/>
      <c r="G598" s="3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</row>
    <row r="599" spans="1:29" ht="14" x14ac:dyDescent="0.15">
      <c r="A599" s="5"/>
      <c r="B599" s="3"/>
      <c r="C599" s="3"/>
      <c r="D599" s="3"/>
      <c r="E599" s="3"/>
      <c r="F599" s="3"/>
      <c r="G599" s="3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</row>
    <row r="600" spans="1:29" ht="14" x14ac:dyDescent="0.15">
      <c r="A600" s="5"/>
      <c r="B600" s="3"/>
      <c r="C600" s="3"/>
      <c r="D600" s="3"/>
      <c r="E600" s="3"/>
      <c r="F600" s="3"/>
      <c r="G600" s="3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</row>
    <row r="601" spans="1:29" ht="14" x14ac:dyDescent="0.15">
      <c r="A601" s="5"/>
      <c r="B601" s="3"/>
      <c r="C601" s="3"/>
      <c r="D601" s="3"/>
      <c r="E601" s="3"/>
      <c r="F601" s="3"/>
      <c r="G601" s="3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</row>
    <row r="602" spans="1:29" ht="14" x14ac:dyDescent="0.15">
      <c r="A602" s="5"/>
      <c r="B602" s="3"/>
      <c r="C602" s="3"/>
      <c r="D602" s="3"/>
      <c r="E602" s="3"/>
      <c r="F602" s="3"/>
      <c r="G602" s="3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</row>
    <row r="603" spans="1:29" ht="14" x14ac:dyDescent="0.15">
      <c r="A603" s="5"/>
      <c r="B603" s="3"/>
      <c r="C603" s="3"/>
      <c r="D603" s="3"/>
      <c r="E603" s="3"/>
      <c r="F603" s="3"/>
      <c r="G603" s="3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</row>
    <row r="604" spans="1:29" ht="14" x14ac:dyDescent="0.15">
      <c r="A604" s="5"/>
      <c r="B604" s="3"/>
      <c r="C604" s="3"/>
      <c r="D604" s="3"/>
      <c r="E604" s="3"/>
      <c r="F604" s="3"/>
      <c r="G604" s="3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</row>
    <row r="605" spans="1:29" ht="14" x14ac:dyDescent="0.15">
      <c r="A605" s="5"/>
      <c r="B605" s="3"/>
      <c r="C605" s="3"/>
      <c r="D605" s="3"/>
      <c r="E605" s="3"/>
      <c r="F605" s="3"/>
      <c r="G605" s="3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</row>
    <row r="606" spans="1:29" ht="14" x14ac:dyDescent="0.15">
      <c r="A606" s="5"/>
      <c r="B606" s="3"/>
      <c r="C606" s="3"/>
      <c r="D606" s="3"/>
      <c r="E606" s="3"/>
      <c r="F606" s="3"/>
      <c r="G606" s="3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</row>
    <row r="607" spans="1:29" ht="14" x14ac:dyDescent="0.15">
      <c r="A607" s="5"/>
      <c r="B607" s="3"/>
      <c r="C607" s="3"/>
      <c r="D607" s="3"/>
      <c r="E607" s="3"/>
      <c r="F607" s="3"/>
      <c r="G607" s="3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</row>
    <row r="608" spans="1:29" ht="14" x14ac:dyDescent="0.15">
      <c r="A608" s="5"/>
      <c r="B608" s="3"/>
      <c r="C608" s="3"/>
      <c r="D608" s="3"/>
      <c r="E608" s="3"/>
      <c r="F608" s="3"/>
      <c r="G608" s="3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</row>
    <row r="609" spans="1:29" ht="14" x14ac:dyDescent="0.15">
      <c r="A609" s="5"/>
      <c r="B609" s="3"/>
      <c r="C609" s="3"/>
      <c r="D609" s="3"/>
      <c r="E609" s="3"/>
      <c r="F609" s="3"/>
      <c r="G609" s="3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</row>
    <row r="610" spans="1:29" ht="14" x14ac:dyDescent="0.15">
      <c r="A610" s="5"/>
      <c r="B610" s="3"/>
      <c r="C610" s="3"/>
      <c r="D610" s="3"/>
      <c r="E610" s="3"/>
      <c r="F610" s="3"/>
      <c r="G610" s="3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</row>
    <row r="611" spans="1:29" ht="14" x14ac:dyDescent="0.15">
      <c r="A611" s="5"/>
      <c r="B611" s="3"/>
      <c r="C611" s="3"/>
      <c r="D611" s="3"/>
      <c r="E611" s="3"/>
      <c r="F611" s="3"/>
      <c r="G611" s="3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</row>
    <row r="612" spans="1:29" ht="14" x14ac:dyDescent="0.15">
      <c r="A612" s="5"/>
      <c r="B612" s="3"/>
      <c r="C612" s="3"/>
      <c r="D612" s="3"/>
      <c r="E612" s="3"/>
      <c r="F612" s="3"/>
      <c r="G612" s="3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</row>
    <row r="613" spans="1:29" ht="14" x14ac:dyDescent="0.15">
      <c r="A613" s="5"/>
      <c r="B613" s="3"/>
      <c r="C613" s="3"/>
      <c r="D613" s="3"/>
      <c r="E613" s="3"/>
      <c r="F613" s="3"/>
      <c r="G613" s="3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</row>
    <row r="614" spans="1:29" ht="14" x14ac:dyDescent="0.15">
      <c r="A614" s="5"/>
      <c r="B614" s="3"/>
      <c r="C614" s="3"/>
      <c r="D614" s="3"/>
      <c r="E614" s="3"/>
      <c r="F614" s="3"/>
      <c r="G614" s="3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</row>
    <row r="615" spans="1:29" ht="14" x14ac:dyDescent="0.15">
      <c r="A615" s="5"/>
      <c r="B615" s="3"/>
      <c r="C615" s="3"/>
      <c r="D615" s="3"/>
      <c r="E615" s="3"/>
      <c r="F615" s="3"/>
      <c r="G615" s="3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</row>
    <row r="616" spans="1:29" ht="14" x14ac:dyDescent="0.15">
      <c r="A616" s="5"/>
      <c r="B616" s="3"/>
      <c r="C616" s="3"/>
      <c r="D616" s="3"/>
      <c r="E616" s="3"/>
      <c r="F616" s="3"/>
      <c r="G616" s="3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</row>
    <row r="617" spans="1:29" ht="14" x14ac:dyDescent="0.15">
      <c r="A617" s="5"/>
      <c r="B617" s="3"/>
      <c r="C617" s="3"/>
      <c r="D617" s="3"/>
      <c r="E617" s="3"/>
      <c r="F617" s="3"/>
      <c r="G617" s="3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</row>
    <row r="618" spans="1:29" ht="14" x14ac:dyDescent="0.15">
      <c r="A618" s="5"/>
      <c r="B618" s="3"/>
      <c r="C618" s="3"/>
      <c r="D618" s="3"/>
      <c r="E618" s="3"/>
      <c r="F618" s="3"/>
      <c r="G618" s="3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</row>
    <row r="619" spans="1:29" ht="14" x14ac:dyDescent="0.15">
      <c r="A619" s="5"/>
      <c r="B619" s="3"/>
      <c r="C619" s="3"/>
      <c r="D619" s="3"/>
      <c r="E619" s="3"/>
      <c r="F619" s="3"/>
      <c r="G619" s="3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</row>
    <row r="620" spans="1:29" ht="14" x14ac:dyDescent="0.15">
      <c r="A620" s="5"/>
      <c r="B620" s="3"/>
      <c r="C620" s="3"/>
      <c r="D620" s="3"/>
      <c r="E620" s="3"/>
      <c r="F620" s="3"/>
      <c r="G620" s="3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</row>
    <row r="621" spans="1:29" ht="14" x14ac:dyDescent="0.15">
      <c r="A621" s="5"/>
      <c r="B621" s="3"/>
      <c r="C621" s="3"/>
      <c r="D621" s="3"/>
      <c r="E621" s="3"/>
      <c r="F621" s="3"/>
      <c r="G621" s="3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</row>
    <row r="622" spans="1:29" ht="14" x14ac:dyDescent="0.15">
      <c r="A622" s="5"/>
      <c r="B622" s="3"/>
      <c r="C622" s="3"/>
      <c r="D622" s="3"/>
      <c r="E622" s="3"/>
      <c r="F622" s="3"/>
      <c r="G622" s="3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</row>
    <row r="623" spans="1:29" ht="14" x14ac:dyDescent="0.15">
      <c r="A623" s="5"/>
      <c r="B623" s="3"/>
      <c r="C623" s="3"/>
      <c r="D623" s="3"/>
      <c r="E623" s="3"/>
      <c r="F623" s="3"/>
      <c r="G623" s="3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</row>
    <row r="624" spans="1:29" ht="14" x14ac:dyDescent="0.15">
      <c r="A624" s="5"/>
      <c r="B624" s="3"/>
      <c r="C624" s="3"/>
      <c r="D624" s="3"/>
      <c r="E624" s="3"/>
      <c r="F624" s="3"/>
      <c r="G624" s="3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</row>
    <row r="625" spans="1:29" ht="14" x14ac:dyDescent="0.15">
      <c r="A625" s="5"/>
      <c r="B625" s="3"/>
      <c r="C625" s="3"/>
      <c r="D625" s="3"/>
      <c r="E625" s="3"/>
      <c r="F625" s="3"/>
      <c r="G625" s="3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</row>
    <row r="626" spans="1:29" ht="14" x14ac:dyDescent="0.15">
      <c r="A626" s="5"/>
      <c r="B626" s="3"/>
      <c r="C626" s="3"/>
      <c r="D626" s="3"/>
      <c r="E626" s="3"/>
      <c r="F626" s="3"/>
      <c r="G626" s="3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</row>
    <row r="627" spans="1:29" ht="14" x14ac:dyDescent="0.15">
      <c r="A627" s="5"/>
      <c r="B627" s="3"/>
      <c r="C627" s="3"/>
      <c r="D627" s="3"/>
      <c r="E627" s="3"/>
      <c r="F627" s="3"/>
      <c r="G627" s="3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</row>
    <row r="628" spans="1:29" ht="14" x14ac:dyDescent="0.15">
      <c r="A628" s="5"/>
      <c r="B628" s="3"/>
      <c r="C628" s="3"/>
      <c r="D628" s="3"/>
      <c r="E628" s="3"/>
      <c r="F628" s="3"/>
      <c r="G628" s="3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</row>
    <row r="629" spans="1:29" ht="14" x14ac:dyDescent="0.15">
      <c r="A629" s="5"/>
      <c r="B629" s="3"/>
      <c r="C629" s="3"/>
      <c r="D629" s="3"/>
      <c r="E629" s="3"/>
      <c r="F629" s="3"/>
      <c r="G629" s="3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</row>
    <row r="630" spans="1:29" ht="14" x14ac:dyDescent="0.15">
      <c r="A630" s="5"/>
      <c r="B630" s="3"/>
      <c r="C630" s="3"/>
      <c r="D630" s="3"/>
      <c r="E630" s="3"/>
      <c r="F630" s="3"/>
      <c r="G630" s="3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</row>
    <row r="631" spans="1:29" ht="14" x14ac:dyDescent="0.15">
      <c r="A631" s="5"/>
      <c r="B631" s="3"/>
      <c r="C631" s="3"/>
      <c r="D631" s="3"/>
      <c r="E631" s="3"/>
      <c r="F631" s="3"/>
      <c r="G631" s="3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</row>
    <row r="632" spans="1:29" ht="14" x14ac:dyDescent="0.15">
      <c r="A632" s="5"/>
      <c r="B632" s="3"/>
      <c r="C632" s="3"/>
      <c r="D632" s="3"/>
      <c r="E632" s="3"/>
      <c r="F632" s="3"/>
      <c r="G632" s="3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</row>
    <row r="633" spans="1:29" ht="14" x14ac:dyDescent="0.15">
      <c r="A633" s="5"/>
      <c r="B633" s="3"/>
      <c r="C633" s="3"/>
      <c r="D633" s="3"/>
      <c r="E633" s="3"/>
      <c r="F633" s="3"/>
      <c r="G633" s="3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</row>
    <row r="634" spans="1:29" ht="14" x14ac:dyDescent="0.15">
      <c r="A634" s="5"/>
      <c r="B634" s="3"/>
      <c r="C634" s="3"/>
      <c r="D634" s="3"/>
      <c r="E634" s="3"/>
      <c r="F634" s="3"/>
      <c r="G634" s="3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</row>
    <row r="635" spans="1:29" ht="14" x14ac:dyDescent="0.15">
      <c r="A635" s="5"/>
      <c r="B635" s="3"/>
      <c r="C635" s="3"/>
      <c r="D635" s="3"/>
      <c r="E635" s="3"/>
      <c r="F635" s="3"/>
      <c r="G635" s="3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</row>
    <row r="636" spans="1:29" ht="14" x14ac:dyDescent="0.15">
      <c r="A636" s="5"/>
      <c r="B636" s="3"/>
      <c r="C636" s="3"/>
      <c r="D636" s="3"/>
      <c r="E636" s="3"/>
      <c r="F636" s="3"/>
      <c r="G636" s="3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</row>
    <row r="637" spans="1:29" ht="14" x14ac:dyDescent="0.15">
      <c r="A637" s="5"/>
      <c r="B637" s="3"/>
      <c r="C637" s="3"/>
      <c r="D637" s="3"/>
      <c r="E637" s="3"/>
      <c r="F637" s="3"/>
      <c r="G637" s="3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</row>
    <row r="638" spans="1:29" ht="14" x14ac:dyDescent="0.15">
      <c r="A638" s="5"/>
      <c r="B638" s="3"/>
      <c r="C638" s="3"/>
      <c r="D638" s="3"/>
      <c r="E638" s="3"/>
      <c r="F638" s="3"/>
      <c r="G638" s="3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</row>
    <row r="639" spans="1:29" ht="14" x14ac:dyDescent="0.15">
      <c r="A639" s="5"/>
      <c r="B639" s="3"/>
      <c r="C639" s="3"/>
      <c r="D639" s="3"/>
      <c r="E639" s="3"/>
      <c r="F639" s="3"/>
      <c r="G639" s="3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</row>
    <row r="640" spans="1:29" ht="14" x14ac:dyDescent="0.15">
      <c r="A640" s="5"/>
      <c r="B640" s="3"/>
      <c r="C640" s="3"/>
      <c r="D640" s="3"/>
      <c r="E640" s="3"/>
      <c r="F640" s="3"/>
      <c r="G640" s="3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</row>
    <row r="641" spans="1:29" ht="14" x14ac:dyDescent="0.15">
      <c r="A641" s="5"/>
      <c r="B641" s="3"/>
      <c r="C641" s="3"/>
      <c r="D641" s="3"/>
      <c r="E641" s="3"/>
      <c r="F641" s="3"/>
      <c r="G641" s="3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</row>
    <row r="642" spans="1:29" ht="14" x14ac:dyDescent="0.15">
      <c r="A642" s="5"/>
      <c r="B642" s="3"/>
      <c r="C642" s="3"/>
      <c r="D642" s="3"/>
      <c r="E642" s="3"/>
      <c r="F642" s="3"/>
      <c r="G642" s="3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</row>
    <row r="643" spans="1:29" ht="14" x14ac:dyDescent="0.15">
      <c r="A643" s="5"/>
      <c r="B643" s="3"/>
      <c r="C643" s="3"/>
      <c r="D643" s="3"/>
      <c r="E643" s="3"/>
      <c r="F643" s="3"/>
      <c r="G643" s="3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</row>
    <row r="644" spans="1:29" ht="14" x14ac:dyDescent="0.15">
      <c r="A644" s="5"/>
      <c r="B644" s="3"/>
      <c r="C644" s="3"/>
      <c r="D644" s="3"/>
      <c r="E644" s="3"/>
      <c r="F644" s="3"/>
      <c r="G644" s="3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</row>
    <row r="645" spans="1:29" ht="14" x14ac:dyDescent="0.15">
      <c r="A645" s="5"/>
      <c r="B645" s="3"/>
      <c r="C645" s="3"/>
      <c r="D645" s="3"/>
      <c r="E645" s="3"/>
      <c r="F645" s="3"/>
      <c r="G645" s="3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</row>
    <row r="646" spans="1:29" ht="14" x14ac:dyDescent="0.15">
      <c r="A646" s="5"/>
      <c r="B646" s="3"/>
      <c r="C646" s="3"/>
      <c r="D646" s="3"/>
      <c r="E646" s="3"/>
      <c r="F646" s="3"/>
      <c r="G646" s="3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</row>
    <row r="647" spans="1:29" ht="14" x14ac:dyDescent="0.15">
      <c r="A647" s="5"/>
      <c r="B647" s="3"/>
      <c r="C647" s="3"/>
      <c r="D647" s="3"/>
      <c r="E647" s="3"/>
      <c r="F647" s="3"/>
      <c r="G647" s="3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</row>
    <row r="648" spans="1:29" ht="14" x14ac:dyDescent="0.15">
      <c r="A648" s="5"/>
      <c r="B648" s="3"/>
      <c r="C648" s="3"/>
      <c r="D648" s="3"/>
      <c r="E648" s="3"/>
      <c r="F648" s="3"/>
      <c r="G648" s="3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</row>
    <row r="649" spans="1:29" ht="14" x14ac:dyDescent="0.15">
      <c r="A649" s="5"/>
      <c r="B649" s="3"/>
      <c r="C649" s="3"/>
      <c r="D649" s="3"/>
      <c r="E649" s="3"/>
      <c r="F649" s="3"/>
      <c r="G649" s="3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</row>
    <row r="650" spans="1:29" ht="14" x14ac:dyDescent="0.15">
      <c r="A650" s="5"/>
      <c r="B650" s="3"/>
      <c r="C650" s="3"/>
      <c r="D650" s="3"/>
      <c r="E650" s="3"/>
      <c r="F650" s="3"/>
      <c r="G650" s="3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</row>
    <row r="651" spans="1:29" ht="14" x14ac:dyDescent="0.15">
      <c r="A651" s="5"/>
      <c r="B651" s="3"/>
      <c r="C651" s="3"/>
      <c r="D651" s="3"/>
      <c r="E651" s="3"/>
      <c r="F651" s="3"/>
      <c r="G651" s="3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</row>
    <row r="652" spans="1:29" ht="14" x14ac:dyDescent="0.15">
      <c r="A652" s="5"/>
      <c r="B652" s="3"/>
      <c r="C652" s="3"/>
      <c r="D652" s="3"/>
      <c r="E652" s="3"/>
      <c r="F652" s="3"/>
      <c r="G652" s="3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</row>
    <row r="653" spans="1:29" ht="14" x14ac:dyDescent="0.15">
      <c r="A653" s="5"/>
      <c r="B653" s="3"/>
      <c r="C653" s="3"/>
      <c r="D653" s="3"/>
      <c r="E653" s="3"/>
      <c r="F653" s="3"/>
      <c r="G653" s="3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</row>
    <row r="654" spans="1:29" ht="14" x14ac:dyDescent="0.15">
      <c r="A654" s="5"/>
      <c r="B654" s="3"/>
      <c r="C654" s="3"/>
      <c r="D654" s="3"/>
      <c r="E654" s="3"/>
      <c r="F654" s="3"/>
      <c r="G654" s="3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</row>
    <row r="655" spans="1:29" ht="14" x14ac:dyDescent="0.15">
      <c r="A655" s="5"/>
      <c r="B655" s="3"/>
      <c r="C655" s="3"/>
      <c r="D655" s="3"/>
      <c r="E655" s="3"/>
      <c r="F655" s="3"/>
      <c r="G655" s="3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</row>
    <row r="656" spans="1:29" ht="14" x14ac:dyDescent="0.15">
      <c r="A656" s="5"/>
      <c r="B656" s="3"/>
      <c r="C656" s="3"/>
      <c r="D656" s="3"/>
      <c r="E656" s="3"/>
      <c r="F656" s="3"/>
      <c r="G656" s="3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</row>
    <row r="657" spans="1:29" ht="14" x14ac:dyDescent="0.15">
      <c r="A657" s="5"/>
      <c r="B657" s="3"/>
      <c r="C657" s="3"/>
      <c r="D657" s="3"/>
      <c r="E657" s="3"/>
      <c r="F657" s="3"/>
      <c r="G657" s="3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</row>
    <row r="658" spans="1:29" ht="14" x14ac:dyDescent="0.15">
      <c r="A658" s="5"/>
      <c r="B658" s="3"/>
      <c r="C658" s="3"/>
      <c r="D658" s="3"/>
      <c r="E658" s="3"/>
      <c r="F658" s="3"/>
      <c r="G658" s="3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</row>
    <row r="659" spans="1:29" ht="14" x14ac:dyDescent="0.15">
      <c r="A659" s="5"/>
      <c r="B659" s="3"/>
      <c r="C659" s="3"/>
      <c r="D659" s="3"/>
      <c r="E659" s="3"/>
      <c r="F659" s="3"/>
      <c r="G659" s="3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</row>
    <row r="660" spans="1:29" ht="14" x14ac:dyDescent="0.15">
      <c r="A660" s="5"/>
      <c r="B660" s="3"/>
      <c r="C660" s="3"/>
      <c r="D660" s="3"/>
      <c r="E660" s="3"/>
      <c r="F660" s="3"/>
      <c r="G660" s="3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</row>
    <row r="661" spans="1:29" ht="14" x14ac:dyDescent="0.15">
      <c r="A661" s="5"/>
      <c r="B661" s="3"/>
      <c r="C661" s="3"/>
      <c r="D661" s="3"/>
      <c r="E661" s="3"/>
      <c r="F661" s="3"/>
      <c r="G661" s="3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</row>
    <row r="662" spans="1:29" ht="14" x14ac:dyDescent="0.15">
      <c r="A662" s="5"/>
      <c r="B662" s="3"/>
      <c r="C662" s="3"/>
      <c r="D662" s="3"/>
      <c r="E662" s="3"/>
      <c r="F662" s="3"/>
      <c r="G662" s="3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</row>
    <row r="663" spans="1:29" ht="14" x14ac:dyDescent="0.15">
      <c r="A663" s="5"/>
      <c r="B663" s="3"/>
      <c r="C663" s="3"/>
      <c r="D663" s="3"/>
      <c r="E663" s="3"/>
      <c r="F663" s="3"/>
      <c r="G663" s="3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</row>
    <row r="664" spans="1:29" ht="14" x14ac:dyDescent="0.15">
      <c r="A664" s="5"/>
      <c r="B664" s="3"/>
      <c r="C664" s="3"/>
      <c r="D664" s="3"/>
      <c r="E664" s="3"/>
      <c r="F664" s="3"/>
      <c r="G664" s="3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</row>
    <row r="665" spans="1:29" ht="14" x14ac:dyDescent="0.15">
      <c r="A665" s="5"/>
      <c r="B665" s="3"/>
      <c r="C665" s="3"/>
      <c r="D665" s="3"/>
      <c r="E665" s="3"/>
      <c r="F665" s="3"/>
      <c r="G665" s="3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</row>
    <row r="666" spans="1:29" ht="14" x14ac:dyDescent="0.15">
      <c r="A666" s="5"/>
      <c r="B666" s="3"/>
      <c r="C666" s="3"/>
      <c r="D666" s="3"/>
      <c r="E666" s="3"/>
      <c r="F666" s="3"/>
      <c r="G666" s="3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</row>
    <row r="667" spans="1:29" ht="14" x14ac:dyDescent="0.15">
      <c r="A667" s="5"/>
      <c r="B667" s="3"/>
      <c r="C667" s="3"/>
      <c r="D667" s="3"/>
      <c r="E667" s="3"/>
      <c r="F667" s="3"/>
      <c r="G667" s="3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</row>
    <row r="668" spans="1:29" ht="14" x14ac:dyDescent="0.15">
      <c r="A668" s="5"/>
      <c r="B668" s="3"/>
      <c r="C668" s="3"/>
      <c r="D668" s="3"/>
      <c r="E668" s="3"/>
      <c r="F668" s="3"/>
      <c r="G668" s="3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</row>
    <row r="669" spans="1:29" ht="14" x14ac:dyDescent="0.15">
      <c r="A669" s="5"/>
      <c r="B669" s="3"/>
      <c r="C669" s="3"/>
      <c r="D669" s="3"/>
      <c r="E669" s="3"/>
      <c r="F669" s="3"/>
      <c r="G669" s="3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</row>
    <row r="670" spans="1:29" ht="14" x14ac:dyDescent="0.15">
      <c r="A670" s="5"/>
      <c r="B670" s="3"/>
      <c r="C670" s="3"/>
      <c r="D670" s="3"/>
      <c r="E670" s="3"/>
      <c r="F670" s="3"/>
      <c r="G670" s="3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</row>
    <row r="671" spans="1:29" ht="14" x14ac:dyDescent="0.15">
      <c r="A671" s="5"/>
      <c r="B671" s="3"/>
      <c r="C671" s="3"/>
      <c r="D671" s="3"/>
      <c r="E671" s="3"/>
      <c r="F671" s="3"/>
      <c r="G671" s="3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</row>
    <row r="672" spans="1:29" ht="14" x14ac:dyDescent="0.15">
      <c r="A672" s="5"/>
      <c r="B672" s="3"/>
      <c r="C672" s="3"/>
      <c r="D672" s="3"/>
      <c r="E672" s="3"/>
      <c r="F672" s="3"/>
      <c r="G672" s="3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</row>
    <row r="673" spans="1:29" ht="14" x14ac:dyDescent="0.15">
      <c r="A673" s="5"/>
      <c r="B673" s="3"/>
      <c r="C673" s="3"/>
      <c r="D673" s="3"/>
      <c r="E673" s="3"/>
      <c r="F673" s="3"/>
      <c r="G673" s="3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</row>
    <row r="674" spans="1:29" ht="14" x14ac:dyDescent="0.15">
      <c r="A674" s="5"/>
      <c r="B674" s="3"/>
      <c r="C674" s="3"/>
      <c r="D674" s="3"/>
      <c r="E674" s="3"/>
      <c r="F674" s="3"/>
      <c r="G674" s="3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</row>
    <row r="675" spans="1:29" ht="14" x14ac:dyDescent="0.15">
      <c r="A675" s="5"/>
      <c r="B675" s="3"/>
      <c r="C675" s="3"/>
      <c r="D675" s="3"/>
      <c r="E675" s="3"/>
      <c r="F675" s="3"/>
      <c r="G675" s="3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</row>
    <row r="676" spans="1:29" ht="14" x14ac:dyDescent="0.15">
      <c r="A676" s="5"/>
      <c r="B676" s="3"/>
      <c r="C676" s="3"/>
      <c r="D676" s="3"/>
      <c r="E676" s="3"/>
      <c r="F676" s="3"/>
      <c r="G676" s="3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</row>
    <row r="677" spans="1:29" ht="14" x14ac:dyDescent="0.15">
      <c r="A677" s="5"/>
      <c r="B677" s="3"/>
      <c r="C677" s="3"/>
      <c r="D677" s="3"/>
      <c r="E677" s="3"/>
      <c r="F677" s="3"/>
      <c r="G677" s="3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</row>
    <row r="678" spans="1:29" ht="14" x14ac:dyDescent="0.15">
      <c r="A678" s="5"/>
      <c r="B678" s="3"/>
      <c r="C678" s="3"/>
      <c r="D678" s="3"/>
      <c r="E678" s="3"/>
      <c r="F678" s="3"/>
      <c r="G678" s="3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</row>
    <row r="679" spans="1:29" ht="14" x14ac:dyDescent="0.15">
      <c r="A679" s="5"/>
      <c r="B679" s="3"/>
      <c r="C679" s="3"/>
      <c r="D679" s="3"/>
      <c r="E679" s="3"/>
      <c r="F679" s="3"/>
      <c r="G679" s="3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</row>
    <row r="680" spans="1:29" ht="14" x14ac:dyDescent="0.15">
      <c r="A680" s="5"/>
      <c r="B680" s="3"/>
      <c r="C680" s="3"/>
      <c r="D680" s="3"/>
      <c r="E680" s="3"/>
      <c r="F680" s="3"/>
      <c r="G680" s="3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</row>
    <row r="681" spans="1:29" ht="14" x14ac:dyDescent="0.15">
      <c r="A681" s="5"/>
      <c r="B681" s="3"/>
      <c r="C681" s="3"/>
      <c r="D681" s="3"/>
      <c r="E681" s="3"/>
      <c r="F681" s="3"/>
      <c r="G681" s="3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</row>
    <row r="682" spans="1:29" ht="14" x14ac:dyDescent="0.15">
      <c r="A682" s="5"/>
      <c r="B682" s="3"/>
      <c r="C682" s="3"/>
      <c r="D682" s="3"/>
      <c r="E682" s="3"/>
      <c r="F682" s="3"/>
      <c r="G682" s="3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</row>
    <row r="683" spans="1:29" ht="14" x14ac:dyDescent="0.15">
      <c r="A683" s="5"/>
      <c r="B683" s="3"/>
      <c r="C683" s="3"/>
      <c r="D683" s="3"/>
      <c r="E683" s="3"/>
      <c r="F683" s="3"/>
      <c r="G683" s="3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</row>
    <row r="684" spans="1:29" ht="14" x14ac:dyDescent="0.15">
      <c r="A684" s="5"/>
      <c r="B684" s="3"/>
      <c r="C684" s="3"/>
      <c r="D684" s="3"/>
      <c r="E684" s="3"/>
      <c r="F684" s="3"/>
      <c r="G684" s="3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</row>
    <row r="685" spans="1:29" ht="14" x14ac:dyDescent="0.15">
      <c r="A685" s="5"/>
      <c r="B685" s="3"/>
      <c r="C685" s="3"/>
      <c r="D685" s="3"/>
      <c r="E685" s="3"/>
      <c r="F685" s="3"/>
      <c r="G685" s="3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</row>
    <row r="686" spans="1:29" ht="14" x14ac:dyDescent="0.15">
      <c r="A686" s="5"/>
      <c r="B686" s="3"/>
      <c r="C686" s="3"/>
      <c r="D686" s="3"/>
      <c r="E686" s="3"/>
      <c r="F686" s="3"/>
      <c r="G686" s="3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</row>
    <row r="687" spans="1:29" ht="14" x14ac:dyDescent="0.15">
      <c r="A687" s="5"/>
      <c r="B687" s="3"/>
      <c r="C687" s="3"/>
      <c r="D687" s="3"/>
      <c r="E687" s="3"/>
      <c r="F687" s="3"/>
      <c r="G687" s="3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</row>
    <row r="688" spans="1:29" ht="14" x14ac:dyDescent="0.15">
      <c r="A688" s="5"/>
      <c r="B688" s="3"/>
      <c r="C688" s="3"/>
      <c r="D688" s="3"/>
      <c r="E688" s="3"/>
      <c r="F688" s="3"/>
      <c r="G688" s="3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</row>
    <row r="689" spans="1:29" ht="14" x14ac:dyDescent="0.15">
      <c r="A689" s="5"/>
      <c r="B689" s="3"/>
      <c r="C689" s="3"/>
      <c r="D689" s="3"/>
      <c r="E689" s="3"/>
      <c r="F689" s="3"/>
      <c r="G689" s="3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</row>
    <row r="690" spans="1:29" ht="14" x14ac:dyDescent="0.15">
      <c r="A690" s="5"/>
      <c r="B690" s="3"/>
      <c r="C690" s="3"/>
      <c r="D690" s="3"/>
      <c r="E690" s="3"/>
      <c r="F690" s="3"/>
      <c r="G690" s="3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</row>
    <row r="691" spans="1:29" ht="14" x14ac:dyDescent="0.15">
      <c r="A691" s="5"/>
      <c r="B691" s="3"/>
      <c r="C691" s="3"/>
      <c r="D691" s="3"/>
      <c r="E691" s="3"/>
      <c r="F691" s="3"/>
      <c r="G691" s="3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</row>
    <row r="692" spans="1:29" ht="14" x14ac:dyDescent="0.15">
      <c r="A692" s="5"/>
      <c r="B692" s="3"/>
      <c r="C692" s="3"/>
      <c r="D692" s="3"/>
      <c r="E692" s="3"/>
      <c r="F692" s="3"/>
      <c r="G692" s="3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</row>
    <row r="693" spans="1:29" ht="14" x14ac:dyDescent="0.15">
      <c r="A693" s="5"/>
      <c r="B693" s="3"/>
      <c r="C693" s="3"/>
      <c r="D693" s="3"/>
      <c r="E693" s="3"/>
      <c r="F693" s="3"/>
      <c r="G693" s="3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</row>
    <row r="694" spans="1:29" ht="14" x14ac:dyDescent="0.15">
      <c r="A694" s="5"/>
      <c r="B694" s="3"/>
      <c r="C694" s="3"/>
      <c r="D694" s="3"/>
      <c r="E694" s="3"/>
      <c r="F694" s="3"/>
      <c r="G694" s="3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</row>
    <row r="695" spans="1:29" ht="14" x14ac:dyDescent="0.15">
      <c r="A695" s="5"/>
      <c r="B695" s="3"/>
      <c r="C695" s="3"/>
      <c r="D695" s="3"/>
      <c r="E695" s="3"/>
      <c r="F695" s="3"/>
      <c r="G695" s="3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</row>
    <row r="696" spans="1:29" ht="14" x14ac:dyDescent="0.15">
      <c r="A696" s="5"/>
      <c r="B696" s="3"/>
      <c r="C696" s="3"/>
      <c r="D696" s="3"/>
      <c r="E696" s="3"/>
      <c r="F696" s="3"/>
      <c r="G696" s="3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</row>
    <row r="697" spans="1:29" ht="14" x14ac:dyDescent="0.15">
      <c r="A697" s="5"/>
      <c r="B697" s="3"/>
      <c r="C697" s="3"/>
      <c r="D697" s="3"/>
      <c r="E697" s="3"/>
      <c r="F697" s="3"/>
      <c r="G697" s="3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</row>
    <row r="698" spans="1:29" ht="14" x14ac:dyDescent="0.15">
      <c r="A698" s="5"/>
      <c r="B698" s="3"/>
      <c r="C698" s="3"/>
      <c r="D698" s="3"/>
      <c r="E698" s="3"/>
      <c r="F698" s="3"/>
      <c r="G698" s="3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</row>
    <row r="699" spans="1:29" ht="14" x14ac:dyDescent="0.15">
      <c r="A699" s="5"/>
      <c r="B699" s="3"/>
      <c r="C699" s="3"/>
      <c r="D699" s="3"/>
      <c r="E699" s="3"/>
      <c r="F699" s="3"/>
      <c r="G699" s="3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</row>
    <row r="700" spans="1:29" ht="14" x14ac:dyDescent="0.15">
      <c r="A700" s="5"/>
      <c r="B700" s="3"/>
      <c r="C700" s="3"/>
      <c r="D700" s="3"/>
      <c r="E700" s="3"/>
      <c r="F700" s="3"/>
      <c r="G700" s="3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</row>
    <row r="701" spans="1:29" ht="14" x14ac:dyDescent="0.15">
      <c r="A701" s="5"/>
      <c r="B701" s="3"/>
      <c r="C701" s="3"/>
      <c r="D701" s="3"/>
      <c r="E701" s="3"/>
      <c r="F701" s="3"/>
      <c r="G701" s="3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</row>
    <row r="702" spans="1:29" ht="14" x14ac:dyDescent="0.15">
      <c r="A702" s="5"/>
      <c r="B702" s="3"/>
      <c r="C702" s="3"/>
      <c r="D702" s="3"/>
      <c r="E702" s="3"/>
      <c r="F702" s="3"/>
      <c r="G702" s="3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</row>
    <row r="703" spans="1:29" ht="14" x14ac:dyDescent="0.15">
      <c r="A703" s="5"/>
      <c r="B703" s="3"/>
      <c r="C703" s="3"/>
      <c r="D703" s="3"/>
      <c r="E703" s="3"/>
      <c r="F703" s="3"/>
      <c r="G703" s="3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</row>
    <row r="704" spans="1:29" ht="14" x14ac:dyDescent="0.15">
      <c r="A704" s="5"/>
      <c r="B704" s="3"/>
      <c r="C704" s="3"/>
      <c r="D704" s="3"/>
      <c r="E704" s="3"/>
      <c r="F704" s="3"/>
      <c r="G704" s="3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</row>
    <row r="705" spans="1:29" ht="14" x14ac:dyDescent="0.15">
      <c r="A705" s="5"/>
      <c r="B705" s="3"/>
      <c r="C705" s="3"/>
      <c r="D705" s="3"/>
      <c r="E705" s="3"/>
      <c r="F705" s="3"/>
      <c r="G705" s="3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</row>
    <row r="706" spans="1:29" ht="14" x14ac:dyDescent="0.15">
      <c r="A706" s="5"/>
      <c r="B706" s="3"/>
      <c r="C706" s="3"/>
      <c r="D706" s="3"/>
      <c r="E706" s="3"/>
      <c r="F706" s="3"/>
      <c r="G706" s="3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</row>
    <row r="707" spans="1:29" ht="14" x14ac:dyDescent="0.15">
      <c r="A707" s="5"/>
      <c r="B707" s="3"/>
      <c r="C707" s="3"/>
      <c r="D707" s="3"/>
      <c r="E707" s="3"/>
      <c r="F707" s="3"/>
      <c r="G707" s="3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</row>
    <row r="708" spans="1:29" ht="14" x14ac:dyDescent="0.15">
      <c r="A708" s="5"/>
      <c r="B708" s="3"/>
      <c r="C708" s="3"/>
      <c r="D708" s="3"/>
      <c r="E708" s="3"/>
      <c r="F708" s="3"/>
      <c r="G708" s="3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</row>
    <row r="709" spans="1:29" ht="14" x14ac:dyDescent="0.15">
      <c r="A709" s="5"/>
      <c r="B709" s="3"/>
      <c r="C709" s="3"/>
      <c r="D709" s="3"/>
      <c r="E709" s="3"/>
      <c r="F709" s="3"/>
      <c r="G709" s="3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</row>
    <row r="710" spans="1:29" ht="14" x14ac:dyDescent="0.15">
      <c r="A710" s="5"/>
      <c r="B710" s="3"/>
      <c r="C710" s="3"/>
      <c r="D710" s="3"/>
      <c r="E710" s="3"/>
      <c r="F710" s="3"/>
      <c r="G710" s="3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</row>
    <row r="711" spans="1:29" ht="14" x14ac:dyDescent="0.15">
      <c r="A711" s="5"/>
      <c r="B711" s="3"/>
      <c r="C711" s="3"/>
      <c r="D711" s="3"/>
      <c r="E711" s="3"/>
      <c r="F711" s="3"/>
      <c r="G711" s="3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</row>
    <row r="712" spans="1:29" ht="14" x14ac:dyDescent="0.15">
      <c r="A712" s="5"/>
      <c r="B712" s="3"/>
      <c r="C712" s="3"/>
      <c r="D712" s="3"/>
      <c r="E712" s="3"/>
      <c r="F712" s="3"/>
      <c r="G712" s="3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</row>
    <row r="713" spans="1:29" ht="14" x14ac:dyDescent="0.15">
      <c r="A713" s="5"/>
      <c r="B713" s="3"/>
      <c r="C713" s="3"/>
      <c r="D713" s="3"/>
      <c r="E713" s="3"/>
      <c r="F713" s="3"/>
      <c r="G713" s="3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</row>
    <row r="714" spans="1:29" ht="14" x14ac:dyDescent="0.15">
      <c r="A714" s="5"/>
      <c r="B714" s="3"/>
      <c r="C714" s="3"/>
      <c r="D714" s="3"/>
      <c r="E714" s="3"/>
      <c r="F714" s="3"/>
      <c r="G714" s="3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</row>
    <row r="715" spans="1:29" ht="14" x14ac:dyDescent="0.15">
      <c r="A715" s="5"/>
      <c r="B715" s="3"/>
      <c r="C715" s="3"/>
      <c r="D715" s="3"/>
      <c r="E715" s="3"/>
      <c r="F715" s="3"/>
      <c r="G715" s="3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</row>
    <row r="716" spans="1:29" ht="14" x14ac:dyDescent="0.15">
      <c r="A716" s="5"/>
      <c r="B716" s="3"/>
      <c r="C716" s="3"/>
      <c r="D716" s="3"/>
      <c r="E716" s="3"/>
      <c r="F716" s="3"/>
      <c r="G716" s="3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</row>
    <row r="717" spans="1:29" ht="14" x14ac:dyDescent="0.15">
      <c r="A717" s="5"/>
      <c r="B717" s="3"/>
      <c r="C717" s="3"/>
      <c r="D717" s="3"/>
      <c r="E717" s="3"/>
      <c r="F717" s="3"/>
      <c r="G717" s="3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</row>
    <row r="718" spans="1:29" ht="14" x14ac:dyDescent="0.15">
      <c r="A718" s="5"/>
      <c r="B718" s="3"/>
      <c r="C718" s="3"/>
      <c r="D718" s="3"/>
      <c r="E718" s="3"/>
      <c r="F718" s="3"/>
      <c r="G718" s="3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</row>
    <row r="719" spans="1:29" ht="14" x14ac:dyDescent="0.15">
      <c r="A719" s="5"/>
      <c r="B719" s="3"/>
      <c r="C719" s="3"/>
      <c r="D719" s="3"/>
      <c r="E719" s="3"/>
      <c r="F719" s="3"/>
      <c r="G719" s="3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</row>
    <row r="720" spans="1:29" ht="14" x14ac:dyDescent="0.15">
      <c r="A720" s="5"/>
      <c r="B720" s="3"/>
      <c r="C720" s="3"/>
      <c r="D720" s="3"/>
      <c r="E720" s="3"/>
      <c r="F720" s="3"/>
      <c r="G720" s="3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</row>
    <row r="721" spans="1:29" ht="14" x14ac:dyDescent="0.15">
      <c r="A721" s="5"/>
      <c r="B721" s="3"/>
      <c r="C721" s="3"/>
      <c r="D721" s="3"/>
      <c r="E721" s="3"/>
      <c r="F721" s="3"/>
      <c r="G721" s="3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</row>
    <row r="722" spans="1:29" ht="14" x14ac:dyDescent="0.15">
      <c r="A722" s="5"/>
      <c r="B722" s="3"/>
      <c r="C722" s="3"/>
      <c r="D722" s="3"/>
      <c r="E722" s="3"/>
      <c r="F722" s="3"/>
      <c r="G722" s="3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</row>
    <row r="723" spans="1:29" ht="14" x14ac:dyDescent="0.15">
      <c r="A723" s="5"/>
      <c r="B723" s="3"/>
      <c r="C723" s="3"/>
      <c r="D723" s="3"/>
      <c r="E723" s="3"/>
      <c r="F723" s="3"/>
      <c r="G723" s="3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</row>
    <row r="724" spans="1:29" ht="14" x14ac:dyDescent="0.15">
      <c r="A724" s="5"/>
      <c r="B724" s="3"/>
      <c r="C724" s="3"/>
      <c r="D724" s="3"/>
      <c r="E724" s="3"/>
      <c r="F724" s="3"/>
      <c r="G724" s="3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</row>
    <row r="725" spans="1:29" ht="14" x14ac:dyDescent="0.15">
      <c r="A725" s="5"/>
      <c r="B725" s="3"/>
      <c r="C725" s="3"/>
      <c r="D725" s="3"/>
      <c r="E725" s="3"/>
      <c r="F725" s="3"/>
      <c r="G725" s="3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</row>
    <row r="726" spans="1:29" ht="14" x14ac:dyDescent="0.15">
      <c r="A726" s="5"/>
      <c r="B726" s="3"/>
      <c r="C726" s="3"/>
      <c r="D726" s="3"/>
      <c r="E726" s="3"/>
      <c r="F726" s="3"/>
      <c r="G726" s="3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</row>
    <row r="727" spans="1:29" ht="14" x14ac:dyDescent="0.15">
      <c r="A727" s="5"/>
      <c r="B727" s="3"/>
      <c r="C727" s="3"/>
      <c r="D727" s="3"/>
      <c r="E727" s="3"/>
      <c r="F727" s="3"/>
      <c r="G727" s="3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</row>
    <row r="728" spans="1:29" ht="14" x14ac:dyDescent="0.15">
      <c r="A728" s="5"/>
      <c r="B728" s="3"/>
      <c r="C728" s="3"/>
      <c r="D728" s="3"/>
      <c r="E728" s="3"/>
      <c r="F728" s="3"/>
      <c r="G728" s="3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</row>
    <row r="729" spans="1:29" ht="14" x14ac:dyDescent="0.15">
      <c r="A729" s="5"/>
      <c r="B729" s="3"/>
      <c r="C729" s="3"/>
      <c r="D729" s="3"/>
      <c r="E729" s="3"/>
      <c r="F729" s="3"/>
      <c r="G729" s="3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</row>
    <row r="730" spans="1:29" ht="14" x14ac:dyDescent="0.15">
      <c r="A730" s="5"/>
      <c r="B730" s="3"/>
      <c r="C730" s="3"/>
      <c r="D730" s="3"/>
      <c r="E730" s="3"/>
      <c r="F730" s="3"/>
      <c r="G730" s="3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</row>
    <row r="731" spans="1:29" ht="14" x14ac:dyDescent="0.15">
      <c r="A731" s="5"/>
      <c r="B731" s="3"/>
      <c r="C731" s="3"/>
      <c r="D731" s="3"/>
      <c r="E731" s="3"/>
      <c r="F731" s="3"/>
      <c r="G731" s="3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</row>
    <row r="732" spans="1:29" ht="14" x14ac:dyDescent="0.15">
      <c r="A732" s="5"/>
      <c r="B732" s="3"/>
      <c r="C732" s="3"/>
      <c r="D732" s="3"/>
      <c r="E732" s="3"/>
      <c r="F732" s="3"/>
      <c r="G732" s="3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</row>
    <row r="733" spans="1:29" ht="14" x14ac:dyDescent="0.15">
      <c r="A733" s="5"/>
      <c r="B733" s="3"/>
      <c r="C733" s="3"/>
      <c r="D733" s="3"/>
      <c r="E733" s="3"/>
      <c r="F733" s="3"/>
      <c r="G733" s="3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</row>
    <row r="734" spans="1:29" ht="14" x14ac:dyDescent="0.15">
      <c r="A734" s="5"/>
      <c r="B734" s="3"/>
      <c r="C734" s="3"/>
      <c r="D734" s="3"/>
      <c r="E734" s="3"/>
      <c r="F734" s="3"/>
      <c r="G734" s="3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</row>
    <row r="735" spans="1:29" ht="14" x14ac:dyDescent="0.15">
      <c r="A735" s="5"/>
      <c r="B735" s="3"/>
      <c r="C735" s="3"/>
      <c r="D735" s="3"/>
      <c r="E735" s="3"/>
      <c r="F735" s="3"/>
      <c r="G735" s="3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</row>
    <row r="736" spans="1:29" ht="14" x14ac:dyDescent="0.15">
      <c r="A736" s="5"/>
      <c r="B736" s="3"/>
      <c r="C736" s="3"/>
      <c r="D736" s="3"/>
      <c r="E736" s="3"/>
      <c r="F736" s="3"/>
      <c r="G736" s="3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</row>
    <row r="737" spans="1:29" ht="14" x14ac:dyDescent="0.15">
      <c r="A737" s="5"/>
      <c r="B737" s="3"/>
      <c r="C737" s="3"/>
      <c r="D737" s="3"/>
      <c r="E737" s="3"/>
      <c r="F737" s="3"/>
      <c r="G737" s="3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</row>
    <row r="738" spans="1:29" ht="14" x14ac:dyDescent="0.15">
      <c r="A738" s="5"/>
      <c r="B738" s="3"/>
      <c r="C738" s="3"/>
      <c r="D738" s="3"/>
      <c r="E738" s="3"/>
      <c r="F738" s="3"/>
      <c r="G738" s="3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</row>
    <row r="739" spans="1:29" ht="14" x14ac:dyDescent="0.15">
      <c r="A739" s="5"/>
      <c r="B739" s="3"/>
      <c r="C739" s="3"/>
      <c r="D739" s="3"/>
      <c r="E739" s="3"/>
      <c r="F739" s="3"/>
      <c r="G739" s="3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</row>
    <row r="740" spans="1:29" ht="14" x14ac:dyDescent="0.15">
      <c r="A740" s="5"/>
      <c r="B740" s="3"/>
      <c r="C740" s="3"/>
      <c r="D740" s="3"/>
      <c r="E740" s="3"/>
      <c r="F740" s="3"/>
      <c r="G740" s="3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</row>
    <row r="741" spans="1:29" ht="14" x14ac:dyDescent="0.15">
      <c r="A741" s="5"/>
      <c r="B741" s="3"/>
      <c r="C741" s="3"/>
      <c r="D741" s="3"/>
      <c r="E741" s="3"/>
      <c r="F741" s="3"/>
      <c r="G741" s="3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</row>
    <row r="742" spans="1:29" ht="14" x14ac:dyDescent="0.15">
      <c r="A742" s="5"/>
      <c r="B742" s="3"/>
      <c r="C742" s="3"/>
      <c r="D742" s="3"/>
      <c r="E742" s="3"/>
      <c r="F742" s="3"/>
      <c r="G742" s="3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</row>
    <row r="743" spans="1:29" ht="14" x14ac:dyDescent="0.15">
      <c r="A743" s="5"/>
      <c r="B743" s="3"/>
      <c r="C743" s="3"/>
      <c r="D743" s="3"/>
      <c r="E743" s="3"/>
      <c r="F743" s="3"/>
      <c r="G743" s="3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</row>
    <row r="744" spans="1:29" ht="14" x14ac:dyDescent="0.15">
      <c r="A744" s="5"/>
      <c r="B744" s="3"/>
      <c r="C744" s="3"/>
      <c r="D744" s="3"/>
      <c r="E744" s="3"/>
      <c r="F744" s="3"/>
      <c r="G744" s="3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</row>
    <row r="745" spans="1:29" ht="14" x14ac:dyDescent="0.15">
      <c r="A745" s="5"/>
      <c r="B745" s="3"/>
      <c r="C745" s="3"/>
      <c r="D745" s="3"/>
      <c r="E745" s="3"/>
      <c r="F745" s="3"/>
      <c r="G745" s="3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</row>
    <row r="746" spans="1:29" ht="14" x14ac:dyDescent="0.15">
      <c r="A746" s="5"/>
      <c r="B746" s="3"/>
      <c r="C746" s="3"/>
      <c r="D746" s="3"/>
      <c r="E746" s="3"/>
      <c r="F746" s="3"/>
      <c r="G746" s="3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</row>
    <row r="747" spans="1:29" ht="14" x14ac:dyDescent="0.15">
      <c r="A747" s="5"/>
      <c r="B747" s="3"/>
      <c r="C747" s="3"/>
      <c r="D747" s="3"/>
      <c r="E747" s="3"/>
      <c r="F747" s="3"/>
      <c r="G747" s="3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</row>
    <row r="748" spans="1:29" ht="14" x14ac:dyDescent="0.15">
      <c r="A748" s="5"/>
      <c r="B748" s="3"/>
      <c r="C748" s="3"/>
      <c r="D748" s="3"/>
      <c r="E748" s="3"/>
      <c r="F748" s="3"/>
      <c r="G748" s="3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</row>
    <row r="749" spans="1:29" ht="14" x14ac:dyDescent="0.15">
      <c r="A749" s="5"/>
      <c r="B749" s="3"/>
      <c r="C749" s="3"/>
      <c r="D749" s="3"/>
      <c r="E749" s="3"/>
      <c r="F749" s="3"/>
      <c r="G749" s="3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</row>
    <row r="750" spans="1:29" ht="14" x14ac:dyDescent="0.15">
      <c r="A750" s="5"/>
      <c r="B750" s="3"/>
      <c r="C750" s="3"/>
      <c r="D750" s="3"/>
      <c r="E750" s="3"/>
      <c r="F750" s="3"/>
      <c r="G750" s="3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</row>
    <row r="751" spans="1:29" ht="14" x14ac:dyDescent="0.15">
      <c r="A751" s="5"/>
      <c r="B751" s="3"/>
      <c r="C751" s="3"/>
      <c r="D751" s="3"/>
      <c r="E751" s="3"/>
      <c r="F751" s="3"/>
      <c r="G751" s="3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</row>
    <row r="752" spans="1:29" ht="14" x14ac:dyDescent="0.15">
      <c r="A752" s="5"/>
      <c r="B752" s="3"/>
      <c r="C752" s="3"/>
      <c r="D752" s="3"/>
      <c r="E752" s="3"/>
      <c r="F752" s="3"/>
      <c r="G752" s="3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</row>
    <row r="753" spans="1:29" ht="14" x14ac:dyDescent="0.15">
      <c r="A753" s="5"/>
      <c r="B753" s="3"/>
      <c r="C753" s="3"/>
      <c r="D753" s="3"/>
      <c r="E753" s="3"/>
      <c r="F753" s="3"/>
      <c r="G753" s="3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</row>
    <row r="754" spans="1:29" ht="14" x14ac:dyDescent="0.15">
      <c r="A754" s="5"/>
      <c r="B754" s="3"/>
      <c r="C754" s="3"/>
      <c r="D754" s="3"/>
      <c r="E754" s="3"/>
      <c r="F754" s="3"/>
      <c r="G754" s="3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</row>
    <row r="755" spans="1:29" ht="14" x14ac:dyDescent="0.15">
      <c r="A755" s="5"/>
      <c r="B755" s="3"/>
      <c r="C755" s="3"/>
      <c r="D755" s="3"/>
      <c r="E755" s="3"/>
      <c r="F755" s="3"/>
      <c r="G755" s="3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</row>
    <row r="756" spans="1:29" ht="14" x14ac:dyDescent="0.15">
      <c r="A756" s="5"/>
      <c r="B756" s="3"/>
      <c r="C756" s="3"/>
      <c r="D756" s="3"/>
      <c r="E756" s="3"/>
      <c r="F756" s="3"/>
      <c r="G756" s="3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</row>
    <row r="757" spans="1:29" ht="14" x14ac:dyDescent="0.15">
      <c r="A757" s="5"/>
      <c r="B757" s="3"/>
      <c r="C757" s="3"/>
      <c r="D757" s="3"/>
      <c r="E757" s="3"/>
      <c r="F757" s="3"/>
      <c r="G757" s="3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</row>
    <row r="758" spans="1:29" ht="14" x14ac:dyDescent="0.15">
      <c r="A758" s="5"/>
      <c r="B758" s="3"/>
      <c r="C758" s="3"/>
      <c r="D758" s="3"/>
      <c r="E758" s="3"/>
      <c r="F758" s="3"/>
      <c r="G758" s="3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</row>
    <row r="759" spans="1:29" ht="14" x14ac:dyDescent="0.15">
      <c r="A759" s="5"/>
      <c r="B759" s="3"/>
      <c r="C759" s="3"/>
      <c r="D759" s="3"/>
      <c r="E759" s="3"/>
      <c r="F759" s="3"/>
      <c r="G759" s="3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</row>
    <row r="760" spans="1:29" ht="14" x14ac:dyDescent="0.15">
      <c r="A760" s="5"/>
      <c r="B760" s="3"/>
      <c r="C760" s="3"/>
      <c r="D760" s="3"/>
      <c r="E760" s="3"/>
      <c r="F760" s="3"/>
      <c r="G760" s="3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</row>
    <row r="761" spans="1:29" ht="14" x14ac:dyDescent="0.15">
      <c r="A761" s="5"/>
      <c r="B761" s="3"/>
      <c r="C761" s="3"/>
      <c r="D761" s="3"/>
      <c r="E761" s="3"/>
      <c r="F761" s="3"/>
      <c r="G761" s="3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</row>
    <row r="762" spans="1:29" ht="14" x14ac:dyDescent="0.15">
      <c r="A762" s="5"/>
      <c r="B762" s="3"/>
      <c r="C762" s="3"/>
      <c r="D762" s="3"/>
      <c r="E762" s="3"/>
      <c r="F762" s="3"/>
      <c r="G762" s="3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</row>
    <row r="763" spans="1:29" ht="14" x14ac:dyDescent="0.15">
      <c r="A763" s="5"/>
      <c r="B763" s="3"/>
      <c r="C763" s="3"/>
      <c r="D763" s="3"/>
      <c r="E763" s="3"/>
      <c r="F763" s="3"/>
      <c r="G763" s="3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</row>
    <row r="764" spans="1:29" ht="14" x14ac:dyDescent="0.15">
      <c r="A764" s="5"/>
      <c r="B764" s="3"/>
      <c r="C764" s="3"/>
      <c r="D764" s="3"/>
      <c r="E764" s="3"/>
      <c r="F764" s="3"/>
      <c r="G764" s="3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</row>
    <row r="765" spans="1:29" ht="14" x14ac:dyDescent="0.15">
      <c r="A765" s="5"/>
      <c r="B765" s="3"/>
      <c r="C765" s="3"/>
      <c r="D765" s="3"/>
      <c r="E765" s="3"/>
      <c r="F765" s="3"/>
      <c r="G765" s="3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</row>
    <row r="766" spans="1:29" ht="14" x14ac:dyDescent="0.15">
      <c r="A766" s="5"/>
      <c r="B766" s="3"/>
      <c r="C766" s="3"/>
      <c r="D766" s="3"/>
      <c r="E766" s="3"/>
      <c r="F766" s="3"/>
      <c r="G766" s="3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</row>
    <row r="767" spans="1:29" ht="14" x14ac:dyDescent="0.15">
      <c r="A767" s="5"/>
      <c r="B767" s="3"/>
      <c r="C767" s="3"/>
      <c r="D767" s="3"/>
      <c r="E767" s="3"/>
      <c r="F767" s="3"/>
      <c r="G767" s="3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</row>
    <row r="768" spans="1:29" ht="14" x14ac:dyDescent="0.15">
      <c r="A768" s="5"/>
      <c r="B768" s="3"/>
      <c r="C768" s="3"/>
      <c r="D768" s="3"/>
      <c r="E768" s="3"/>
      <c r="F768" s="3"/>
      <c r="G768" s="3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</row>
    <row r="769" spans="1:29" ht="14" x14ac:dyDescent="0.15">
      <c r="A769" s="5"/>
      <c r="B769" s="3"/>
      <c r="C769" s="3"/>
      <c r="D769" s="3"/>
      <c r="E769" s="3"/>
      <c r="F769" s="3"/>
      <c r="G769" s="3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</row>
    <row r="770" spans="1:29" ht="14" x14ac:dyDescent="0.15">
      <c r="A770" s="5"/>
      <c r="B770" s="3"/>
      <c r="C770" s="3"/>
      <c r="D770" s="3"/>
      <c r="E770" s="3"/>
      <c r="F770" s="3"/>
      <c r="G770" s="3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</row>
    <row r="771" spans="1:29" ht="14" x14ac:dyDescent="0.15">
      <c r="A771" s="5"/>
      <c r="B771" s="3"/>
      <c r="C771" s="3"/>
      <c r="D771" s="3"/>
      <c r="E771" s="3"/>
      <c r="F771" s="3"/>
      <c r="G771" s="3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</row>
    <row r="772" spans="1:29" ht="14" x14ac:dyDescent="0.15">
      <c r="A772" s="5"/>
      <c r="B772" s="3"/>
      <c r="C772" s="3"/>
      <c r="D772" s="3"/>
      <c r="E772" s="3"/>
      <c r="F772" s="3"/>
      <c r="G772" s="3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</row>
    <row r="773" spans="1:29" ht="14" x14ac:dyDescent="0.15">
      <c r="A773" s="5"/>
      <c r="B773" s="3"/>
      <c r="C773" s="3"/>
      <c r="D773" s="3"/>
      <c r="E773" s="3"/>
      <c r="F773" s="3"/>
      <c r="G773" s="3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</row>
    <row r="774" spans="1:29" ht="14" x14ac:dyDescent="0.15">
      <c r="A774" s="5"/>
      <c r="B774" s="3"/>
      <c r="C774" s="3"/>
      <c r="D774" s="3"/>
      <c r="E774" s="3"/>
      <c r="F774" s="3"/>
      <c r="G774" s="3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</row>
    <row r="775" spans="1:29" ht="14" x14ac:dyDescent="0.15">
      <c r="A775" s="5"/>
      <c r="B775" s="3"/>
      <c r="C775" s="3"/>
      <c r="D775" s="3"/>
      <c r="E775" s="3"/>
      <c r="F775" s="3"/>
      <c r="G775" s="3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</row>
    <row r="776" spans="1:29" ht="14" x14ac:dyDescent="0.15">
      <c r="A776" s="5"/>
      <c r="B776" s="3"/>
      <c r="C776" s="3"/>
      <c r="D776" s="3"/>
      <c r="E776" s="3"/>
      <c r="F776" s="3"/>
      <c r="G776" s="3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</row>
    <row r="777" spans="1:29" ht="14" x14ac:dyDescent="0.15">
      <c r="A777" s="5"/>
      <c r="B777" s="3"/>
      <c r="C777" s="3"/>
      <c r="D777" s="3"/>
      <c r="E777" s="3"/>
      <c r="F777" s="3"/>
      <c r="G777" s="3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</row>
    <row r="778" spans="1:29" ht="14" x14ac:dyDescent="0.15">
      <c r="A778" s="5"/>
      <c r="B778" s="3"/>
      <c r="C778" s="3"/>
      <c r="D778" s="3"/>
      <c r="E778" s="3"/>
      <c r="F778" s="3"/>
      <c r="G778" s="3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</row>
    <row r="779" spans="1:29" ht="14" x14ac:dyDescent="0.15">
      <c r="A779" s="5"/>
      <c r="B779" s="3"/>
      <c r="C779" s="3"/>
      <c r="D779" s="3"/>
      <c r="E779" s="3"/>
      <c r="F779" s="3"/>
      <c r="G779" s="3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</row>
    <row r="780" spans="1:29" ht="14" x14ac:dyDescent="0.15">
      <c r="A780" s="5"/>
      <c r="B780" s="3"/>
      <c r="C780" s="3"/>
      <c r="D780" s="3"/>
      <c r="E780" s="3"/>
      <c r="F780" s="3"/>
      <c r="G780" s="3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</row>
    <row r="781" spans="1:29" ht="14" x14ac:dyDescent="0.15">
      <c r="A781" s="5"/>
      <c r="B781" s="3"/>
      <c r="C781" s="3"/>
      <c r="D781" s="3"/>
      <c r="E781" s="3"/>
      <c r="F781" s="3"/>
      <c r="G781" s="3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</row>
    <row r="782" spans="1:29" ht="14" x14ac:dyDescent="0.15">
      <c r="A782" s="5"/>
      <c r="B782" s="3"/>
      <c r="C782" s="3"/>
      <c r="D782" s="3"/>
      <c r="E782" s="3"/>
      <c r="F782" s="3"/>
      <c r="G782" s="3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</row>
    <row r="783" spans="1:29" ht="14" x14ac:dyDescent="0.15">
      <c r="A783" s="5"/>
      <c r="B783" s="3"/>
      <c r="C783" s="3"/>
      <c r="D783" s="3"/>
      <c r="E783" s="3"/>
      <c r="F783" s="3"/>
      <c r="G783" s="3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</row>
    <row r="784" spans="1:29" ht="14" x14ac:dyDescent="0.15">
      <c r="A784" s="5"/>
      <c r="B784" s="3"/>
      <c r="C784" s="3"/>
      <c r="D784" s="3"/>
      <c r="E784" s="3"/>
      <c r="F784" s="3"/>
      <c r="G784" s="3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</row>
    <row r="785" spans="1:29" ht="14" x14ac:dyDescent="0.15">
      <c r="A785" s="5"/>
      <c r="B785" s="3"/>
      <c r="C785" s="3"/>
      <c r="D785" s="3"/>
      <c r="E785" s="3"/>
      <c r="F785" s="3"/>
      <c r="G785" s="3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</row>
    <row r="786" spans="1:29" ht="14" x14ac:dyDescent="0.15">
      <c r="A786" s="5"/>
      <c r="B786" s="3"/>
      <c r="C786" s="3"/>
      <c r="D786" s="3"/>
      <c r="E786" s="3"/>
      <c r="F786" s="3"/>
      <c r="G786" s="3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</row>
    <row r="787" spans="1:29" ht="14" x14ac:dyDescent="0.15">
      <c r="A787" s="5"/>
      <c r="B787" s="3"/>
      <c r="C787" s="3"/>
      <c r="D787" s="3"/>
      <c r="E787" s="3"/>
      <c r="F787" s="3"/>
      <c r="G787" s="3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</row>
    <row r="788" spans="1:29" ht="14" x14ac:dyDescent="0.15">
      <c r="A788" s="5"/>
      <c r="B788" s="3"/>
      <c r="C788" s="3"/>
      <c r="D788" s="3"/>
      <c r="E788" s="3"/>
      <c r="F788" s="3"/>
      <c r="G788" s="3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</row>
    <row r="789" spans="1:29" ht="14" x14ac:dyDescent="0.15">
      <c r="A789" s="5"/>
      <c r="B789" s="3"/>
      <c r="C789" s="3"/>
      <c r="D789" s="3"/>
      <c r="E789" s="3"/>
      <c r="F789" s="3"/>
      <c r="G789" s="3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</row>
    <row r="790" spans="1:29" ht="14" x14ac:dyDescent="0.15">
      <c r="A790" s="5"/>
      <c r="B790" s="3"/>
      <c r="C790" s="3"/>
      <c r="D790" s="3"/>
      <c r="E790" s="3"/>
      <c r="F790" s="3"/>
      <c r="G790" s="3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</row>
    <row r="791" spans="1:29" ht="14" x14ac:dyDescent="0.15">
      <c r="A791" s="5"/>
      <c r="B791" s="3"/>
      <c r="C791" s="3"/>
      <c r="D791" s="3"/>
      <c r="E791" s="3"/>
      <c r="F791" s="3"/>
      <c r="G791" s="3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</row>
    <row r="792" spans="1:29" ht="14" x14ac:dyDescent="0.15">
      <c r="A792" s="5"/>
      <c r="B792" s="3"/>
      <c r="C792" s="3"/>
      <c r="D792" s="3"/>
      <c r="E792" s="3"/>
      <c r="F792" s="3"/>
      <c r="G792" s="3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</row>
    <row r="793" spans="1:29" ht="14" x14ac:dyDescent="0.15">
      <c r="A793" s="5"/>
      <c r="B793" s="3"/>
      <c r="C793" s="3"/>
      <c r="D793" s="3"/>
      <c r="E793" s="3"/>
      <c r="F793" s="3"/>
      <c r="G793" s="3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</row>
    <row r="794" spans="1:29" ht="14" x14ac:dyDescent="0.15">
      <c r="A794" s="5"/>
      <c r="B794" s="3"/>
      <c r="C794" s="3"/>
      <c r="D794" s="3"/>
      <c r="E794" s="3"/>
      <c r="F794" s="3"/>
      <c r="G794" s="3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</row>
    <row r="795" spans="1:29" ht="14" x14ac:dyDescent="0.15">
      <c r="A795" s="5"/>
      <c r="B795" s="3"/>
      <c r="C795" s="3"/>
      <c r="D795" s="3"/>
      <c r="E795" s="3"/>
      <c r="F795" s="3"/>
      <c r="G795" s="3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</row>
    <row r="796" spans="1:29" ht="14" x14ac:dyDescent="0.15">
      <c r="A796" s="5"/>
      <c r="B796" s="3"/>
      <c r="C796" s="3"/>
      <c r="D796" s="3"/>
      <c r="E796" s="3"/>
      <c r="F796" s="3"/>
      <c r="G796" s="3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</row>
    <row r="797" spans="1:29" ht="14" x14ac:dyDescent="0.15">
      <c r="A797" s="5"/>
      <c r="B797" s="3"/>
      <c r="C797" s="3"/>
      <c r="D797" s="3"/>
      <c r="E797" s="3"/>
      <c r="F797" s="3"/>
      <c r="G797" s="3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</row>
    <row r="798" spans="1:29" ht="14" x14ac:dyDescent="0.15">
      <c r="A798" s="5"/>
      <c r="B798" s="3"/>
      <c r="C798" s="3"/>
      <c r="D798" s="3"/>
      <c r="E798" s="3"/>
      <c r="F798" s="3"/>
      <c r="G798" s="3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</row>
    <row r="799" spans="1:29" ht="14" x14ac:dyDescent="0.15">
      <c r="A799" s="5"/>
      <c r="B799" s="3"/>
      <c r="C799" s="3"/>
      <c r="D799" s="3"/>
      <c r="E799" s="3"/>
      <c r="F799" s="3"/>
      <c r="G799" s="3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</row>
    <row r="800" spans="1:29" ht="14" x14ac:dyDescent="0.15">
      <c r="A800" s="5"/>
      <c r="B800" s="3"/>
      <c r="C800" s="3"/>
      <c r="D800" s="3"/>
      <c r="E800" s="3"/>
      <c r="F800" s="3"/>
      <c r="G800" s="3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</row>
    <row r="801" spans="1:29" ht="14" x14ac:dyDescent="0.15">
      <c r="A801" s="5"/>
      <c r="B801" s="3"/>
      <c r="C801" s="3"/>
      <c r="D801" s="3"/>
      <c r="E801" s="3"/>
      <c r="F801" s="3"/>
      <c r="G801" s="3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</row>
    <row r="802" spans="1:29" ht="14" x14ac:dyDescent="0.15">
      <c r="A802" s="5"/>
      <c r="B802" s="3"/>
      <c r="C802" s="3"/>
      <c r="D802" s="3"/>
      <c r="E802" s="3"/>
      <c r="F802" s="3"/>
      <c r="G802" s="3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</row>
    <row r="803" spans="1:29" ht="14" x14ac:dyDescent="0.15">
      <c r="A803" s="5"/>
      <c r="B803" s="3"/>
      <c r="C803" s="3"/>
      <c r="D803" s="3"/>
      <c r="E803" s="3"/>
      <c r="F803" s="3"/>
      <c r="G803" s="3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</row>
    <row r="804" spans="1:29" ht="14" x14ac:dyDescent="0.15">
      <c r="A804" s="5"/>
      <c r="B804" s="3"/>
      <c r="C804" s="3"/>
      <c r="D804" s="3"/>
      <c r="E804" s="3"/>
      <c r="F804" s="3"/>
      <c r="G804" s="3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</row>
    <row r="805" spans="1:29" ht="14" x14ac:dyDescent="0.15">
      <c r="A805" s="5"/>
      <c r="B805" s="3"/>
      <c r="C805" s="3"/>
      <c r="D805" s="3"/>
      <c r="E805" s="3"/>
      <c r="F805" s="3"/>
      <c r="G805" s="3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</row>
    <row r="806" spans="1:29" ht="14" x14ac:dyDescent="0.15">
      <c r="A806" s="5"/>
      <c r="B806" s="3"/>
      <c r="C806" s="3"/>
      <c r="D806" s="3"/>
      <c r="E806" s="3"/>
      <c r="F806" s="3"/>
      <c r="G806" s="3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</row>
    <row r="807" spans="1:29" ht="14" x14ac:dyDescent="0.15">
      <c r="A807" s="5"/>
      <c r="B807" s="3"/>
      <c r="C807" s="3"/>
      <c r="D807" s="3"/>
      <c r="E807" s="3"/>
      <c r="F807" s="3"/>
      <c r="G807" s="3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</row>
    <row r="808" spans="1:29" ht="14" x14ac:dyDescent="0.15">
      <c r="A808" s="5"/>
      <c r="B808" s="3"/>
      <c r="C808" s="3"/>
      <c r="D808" s="3"/>
      <c r="E808" s="3"/>
      <c r="F808" s="3"/>
      <c r="G808" s="3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</row>
    <row r="809" spans="1:29" ht="14" x14ac:dyDescent="0.15">
      <c r="A809" s="5"/>
      <c r="B809" s="3"/>
      <c r="C809" s="3"/>
      <c r="D809" s="3"/>
      <c r="E809" s="3"/>
      <c r="F809" s="3"/>
      <c r="G809" s="3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</row>
    <row r="810" spans="1:29" ht="14" x14ac:dyDescent="0.15">
      <c r="A810" s="5"/>
      <c r="B810" s="3"/>
      <c r="C810" s="3"/>
      <c r="D810" s="3"/>
      <c r="E810" s="3"/>
      <c r="F810" s="3"/>
      <c r="G810" s="3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</row>
    <row r="811" spans="1:29" ht="14" x14ac:dyDescent="0.15">
      <c r="A811" s="5"/>
      <c r="B811" s="3"/>
      <c r="C811" s="3"/>
      <c r="D811" s="3"/>
      <c r="E811" s="3"/>
      <c r="F811" s="3"/>
      <c r="G811" s="3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</row>
    <row r="812" spans="1:29" ht="14" x14ac:dyDescent="0.15">
      <c r="A812" s="5"/>
      <c r="B812" s="3"/>
      <c r="C812" s="3"/>
      <c r="D812" s="3"/>
      <c r="E812" s="3"/>
      <c r="F812" s="3"/>
      <c r="G812" s="3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</row>
    <row r="813" spans="1:29" ht="14" x14ac:dyDescent="0.15">
      <c r="A813" s="5"/>
      <c r="B813" s="3"/>
      <c r="C813" s="3"/>
      <c r="D813" s="3"/>
      <c r="E813" s="3"/>
      <c r="F813" s="3"/>
      <c r="G813" s="3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</row>
    <row r="814" spans="1:29" ht="14" x14ac:dyDescent="0.15">
      <c r="A814" s="5"/>
      <c r="B814" s="3"/>
      <c r="C814" s="3"/>
      <c r="D814" s="3"/>
      <c r="E814" s="3"/>
      <c r="F814" s="3"/>
      <c r="G814" s="3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</row>
    <row r="815" spans="1:29" ht="14" x14ac:dyDescent="0.15">
      <c r="A815" s="5"/>
      <c r="B815" s="3"/>
      <c r="C815" s="3"/>
      <c r="D815" s="3"/>
      <c r="E815" s="3"/>
      <c r="F815" s="3"/>
      <c r="G815" s="3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</row>
    <row r="816" spans="1:29" ht="14" x14ac:dyDescent="0.15">
      <c r="A816" s="5"/>
      <c r="B816" s="3"/>
      <c r="C816" s="3"/>
      <c r="D816" s="3"/>
      <c r="E816" s="3"/>
      <c r="F816" s="3"/>
      <c r="G816" s="3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</row>
    <row r="817" spans="1:29" ht="14" x14ac:dyDescent="0.15">
      <c r="A817" s="5"/>
      <c r="B817" s="3"/>
      <c r="C817" s="3"/>
      <c r="D817" s="3"/>
      <c r="E817" s="3"/>
      <c r="F817" s="3"/>
      <c r="G817" s="3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</row>
    <row r="818" spans="1:29" ht="14" x14ac:dyDescent="0.15">
      <c r="A818" s="5"/>
      <c r="B818" s="3"/>
      <c r="C818" s="3"/>
      <c r="D818" s="3"/>
      <c r="E818" s="3"/>
      <c r="F818" s="3"/>
      <c r="G818" s="3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</row>
    <row r="819" spans="1:29" ht="14" x14ac:dyDescent="0.15">
      <c r="A819" s="5"/>
      <c r="B819" s="3"/>
      <c r="C819" s="3"/>
      <c r="D819" s="3"/>
      <c r="E819" s="3"/>
      <c r="F819" s="3"/>
      <c r="G819" s="3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</row>
    <row r="820" spans="1:29" ht="14" x14ac:dyDescent="0.15">
      <c r="A820" s="5"/>
      <c r="B820" s="3"/>
      <c r="C820" s="3"/>
      <c r="D820" s="3"/>
      <c r="E820" s="3"/>
      <c r="F820" s="3"/>
      <c r="G820" s="3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</row>
    <row r="821" spans="1:29" ht="14" x14ac:dyDescent="0.15">
      <c r="A821" s="5"/>
      <c r="B821" s="3"/>
      <c r="C821" s="3"/>
      <c r="D821" s="3"/>
      <c r="E821" s="3"/>
      <c r="F821" s="3"/>
      <c r="G821" s="3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</row>
    <row r="822" spans="1:29" ht="14" x14ac:dyDescent="0.15">
      <c r="A822" s="5"/>
      <c r="B822" s="3"/>
      <c r="C822" s="3"/>
      <c r="D822" s="3"/>
      <c r="E822" s="3"/>
      <c r="F822" s="3"/>
      <c r="G822" s="3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</row>
    <row r="823" spans="1:29" ht="14" x14ac:dyDescent="0.15">
      <c r="A823" s="5"/>
      <c r="B823" s="3"/>
      <c r="C823" s="3"/>
      <c r="D823" s="3"/>
      <c r="E823" s="3"/>
      <c r="F823" s="3"/>
      <c r="G823" s="3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</row>
    <row r="824" spans="1:29" ht="14" x14ac:dyDescent="0.15">
      <c r="A824" s="5"/>
      <c r="B824" s="3"/>
      <c r="C824" s="3"/>
      <c r="D824" s="3"/>
      <c r="E824" s="3"/>
      <c r="F824" s="3"/>
      <c r="G824" s="3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</row>
    <row r="825" spans="1:29" ht="14" x14ac:dyDescent="0.15">
      <c r="A825" s="5"/>
      <c r="B825" s="3"/>
      <c r="C825" s="3"/>
      <c r="D825" s="3"/>
      <c r="E825" s="3"/>
      <c r="F825" s="3"/>
      <c r="G825" s="3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</row>
    <row r="826" spans="1:29" ht="14" x14ac:dyDescent="0.15">
      <c r="A826" s="5"/>
      <c r="B826" s="3"/>
      <c r="C826" s="3"/>
      <c r="D826" s="3"/>
      <c r="E826" s="3"/>
      <c r="F826" s="3"/>
      <c r="G826" s="3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</row>
    <row r="827" spans="1:29" ht="14" x14ac:dyDescent="0.15">
      <c r="A827" s="5"/>
      <c r="B827" s="3"/>
      <c r="C827" s="3"/>
      <c r="D827" s="3"/>
      <c r="E827" s="3"/>
      <c r="F827" s="3"/>
      <c r="G827" s="3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</row>
    <row r="828" spans="1:29" ht="14" x14ac:dyDescent="0.15">
      <c r="A828" s="5"/>
      <c r="B828" s="3"/>
      <c r="C828" s="3"/>
      <c r="D828" s="3"/>
      <c r="E828" s="3"/>
      <c r="F828" s="3"/>
      <c r="G828" s="3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</row>
    <row r="829" spans="1:29" ht="14" x14ac:dyDescent="0.15">
      <c r="A829" s="5"/>
      <c r="B829" s="3"/>
      <c r="C829" s="3"/>
      <c r="D829" s="3"/>
      <c r="E829" s="3"/>
      <c r="F829" s="3"/>
      <c r="G829" s="3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</row>
    <row r="830" spans="1:29" ht="14" x14ac:dyDescent="0.15">
      <c r="A830" s="5"/>
      <c r="B830" s="3"/>
      <c r="C830" s="3"/>
      <c r="D830" s="3"/>
      <c r="E830" s="3"/>
      <c r="F830" s="3"/>
      <c r="G830" s="3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</row>
    <row r="831" spans="1:29" ht="14" x14ac:dyDescent="0.15">
      <c r="A831" s="5"/>
      <c r="B831" s="3"/>
      <c r="C831" s="3"/>
      <c r="D831" s="3"/>
      <c r="E831" s="3"/>
      <c r="F831" s="3"/>
      <c r="G831" s="3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</row>
    <row r="832" spans="1:29" ht="14" x14ac:dyDescent="0.15">
      <c r="A832" s="5"/>
      <c r="B832" s="3"/>
      <c r="C832" s="3"/>
      <c r="D832" s="3"/>
      <c r="E832" s="3"/>
      <c r="F832" s="3"/>
      <c r="G832" s="3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</row>
    <row r="833" spans="1:29" ht="14" x14ac:dyDescent="0.15">
      <c r="A833" s="5"/>
      <c r="B833" s="3"/>
      <c r="C833" s="3"/>
      <c r="D833" s="3"/>
      <c r="E833" s="3"/>
      <c r="F833" s="3"/>
      <c r="G833" s="3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</row>
    <row r="834" spans="1:29" ht="14" x14ac:dyDescent="0.15">
      <c r="A834" s="5"/>
      <c r="B834" s="3"/>
      <c r="C834" s="3"/>
      <c r="D834" s="3"/>
      <c r="E834" s="3"/>
      <c r="F834" s="3"/>
      <c r="G834" s="3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</row>
    <row r="835" spans="1:29" ht="14" x14ac:dyDescent="0.15">
      <c r="A835" s="5"/>
      <c r="B835" s="3"/>
      <c r="C835" s="3"/>
      <c r="D835" s="3"/>
      <c r="E835" s="3"/>
      <c r="F835" s="3"/>
      <c r="G835" s="3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</row>
    <row r="836" spans="1:29" ht="14" x14ac:dyDescent="0.15">
      <c r="A836" s="5"/>
      <c r="B836" s="3"/>
      <c r="C836" s="3"/>
      <c r="D836" s="3"/>
      <c r="E836" s="3"/>
      <c r="F836" s="3"/>
      <c r="G836" s="3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</row>
    <row r="837" spans="1:29" ht="14" x14ac:dyDescent="0.15">
      <c r="A837" s="5"/>
      <c r="B837" s="3"/>
      <c r="C837" s="3"/>
      <c r="D837" s="3"/>
      <c r="E837" s="3"/>
      <c r="F837" s="3"/>
      <c r="G837" s="3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</row>
    <row r="838" spans="1:29" ht="14" x14ac:dyDescent="0.15">
      <c r="A838" s="5"/>
      <c r="B838" s="3"/>
      <c r="C838" s="3"/>
      <c r="D838" s="3"/>
      <c r="E838" s="3"/>
      <c r="F838" s="3"/>
      <c r="G838" s="3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</row>
    <row r="839" spans="1:29" ht="14" x14ac:dyDescent="0.15">
      <c r="A839" s="5"/>
      <c r="B839" s="3"/>
      <c r="C839" s="3"/>
      <c r="D839" s="3"/>
      <c r="E839" s="3"/>
      <c r="F839" s="3"/>
      <c r="G839" s="3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</row>
    <row r="840" spans="1:29" ht="14" x14ac:dyDescent="0.15">
      <c r="A840" s="5"/>
      <c r="B840" s="3"/>
      <c r="C840" s="3"/>
      <c r="D840" s="3"/>
      <c r="E840" s="3"/>
      <c r="F840" s="3"/>
      <c r="G840" s="3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</row>
    <row r="841" spans="1:29" ht="14" x14ac:dyDescent="0.15">
      <c r="A841" s="5"/>
      <c r="B841" s="3"/>
      <c r="C841" s="3"/>
      <c r="D841" s="3"/>
      <c r="E841" s="3"/>
      <c r="F841" s="3"/>
      <c r="G841" s="3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</row>
    <row r="842" spans="1:29" ht="14" x14ac:dyDescent="0.15">
      <c r="A842" s="5"/>
      <c r="B842" s="3"/>
      <c r="C842" s="3"/>
      <c r="D842" s="3"/>
      <c r="E842" s="3"/>
      <c r="F842" s="3"/>
      <c r="G842" s="3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</row>
    <row r="843" spans="1:29" ht="14" x14ac:dyDescent="0.15">
      <c r="A843" s="5"/>
      <c r="B843" s="3"/>
      <c r="C843" s="3"/>
      <c r="D843" s="3"/>
      <c r="E843" s="3"/>
      <c r="F843" s="3"/>
      <c r="G843" s="3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</row>
    <row r="844" spans="1:29" ht="14" x14ac:dyDescent="0.15">
      <c r="A844" s="5"/>
      <c r="B844" s="3"/>
      <c r="C844" s="3"/>
      <c r="D844" s="3"/>
      <c r="E844" s="3"/>
      <c r="F844" s="3"/>
      <c r="G844" s="3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</row>
    <row r="845" spans="1:29" ht="14" x14ac:dyDescent="0.15">
      <c r="A845" s="5"/>
      <c r="B845" s="3"/>
      <c r="C845" s="3"/>
      <c r="D845" s="3"/>
      <c r="E845" s="3"/>
      <c r="F845" s="3"/>
      <c r="G845" s="3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</row>
    <row r="846" spans="1:29" ht="14" x14ac:dyDescent="0.15">
      <c r="A846" s="5"/>
      <c r="B846" s="3"/>
      <c r="C846" s="3"/>
      <c r="D846" s="3"/>
      <c r="E846" s="3"/>
      <c r="F846" s="3"/>
      <c r="G846" s="3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</row>
    <row r="847" spans="1:29" ht="14" x14ac:dyDescent="0.15">
      <c r="A847" s="5"/>
      <c r="B847" s="3"/>
      <c r="C847" s="3"/>
      <c r="D847" s="3"/>
      <c r="E847" s="3"/>
      <c r="F847" s="3"/>
      <c r="G847" s="3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</row>
    <row r="848" spans="1:29" ht="14" x14ac:dyDescent="0.15">
      <c r="A848" s="5"/>
      <c r="B848" s="3"/>
      <c r="C848" s="3"/>
      <c r="D848" s="3"/>
      <c r="E848" s="3"/>
      <c r="F848" s="3"/>
      <c r="G848" s="3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</row>
    <row r="849" spans="1:29" ht="14" x14ac:dyDescent="0.15">
      <c r="A849" s="5"/>
      <c r="B849" s="3"/>
      <c r="C849" s="3"/>
      <c r="D849" s="3"/>
      <c r="E849" s="3"/>
      <c r="F849" s="3"/>
      <c r="G849" s="3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</row>
    <row r="850" spans="1:29" ht="14" x14ac:dyDescent="0.15">
      <c r="A850" s="5"/>
      <c r="B850" s="3"/>
      <c r="C850" s="3"/>
      <c r="D850" s="3"/>
      <c r="E850" s="3"/>
      <c r="F850" s="3"/>
      <c r="G850" s="3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</row>
    <row r="851" spans="1:29" ht="14" x14ac:dyDescent="0.15">
      <c r="A851" s="5"/>
      <c r="B851" s="3"/>
      <c r="C851" s="3"/>
      <c r="D851" s="3"/>
      <c r="E851" s="3"/>
      <c r="F851" s="3"/>
      <c r="G851" s="3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</row>
    <row r="852" spans="1:29" ht="14" x14ac:dyDescent="0.15">
      <c r="A852" s="5"/>
      <c r="B852" s="3"/>
      <c r="C852" s="3"/>
      <c r="D852" s="3"/>
      <c r="E852" s="3"/>
      <c r="F852" s="3"/>
      <c r="G852" s="3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</row>
    <row r="853" spans="1:29" ht="14" x14ac:dyDescent="0.15">
      <c r="A853" s="5"/>
      <c r="B853" s="3"/>
      <c r="C853" s="3"/>
      <c r="D853" s="3"/>
      <c r="E853" s="3"/>
      <c r="F853" s="3"/>
      <c r="G853" s="3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</row>
    <row r="854" spans="1:29" ht="14" x14ac:dyDescent="0.15">
      <c r="A854" s="5"/>
      <c r="B854" s="3"/>
      <c r="C854" s="3"/>
      <c r="D854" s="3"/>
      <c r="E854" s="3"/>
      <c r="F854" s="3"/>
      <c r="G854" s="3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</row>
    <row r="855" spans="1:29" ht="14" x14ac:dyDescent="0.15">
      <c r="A855" s="5"/>
      <c r="B855" s="3"/>
      <c r="C855" s="3"/>
      <c r="D855" s="3"/>
      <c r="E855" s="3"/>
      <c r="F855" s="3"/>
      <c r="G855" s="3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</row>
    <row r="856" spans="1:29" ht="14" x14ac:dyDescent="0.15">
      <c r="A856" s="5"/>
      <c r="B856" s="3"/>
      <c r="C856" s="3"/>
      <c r="D856" s="3"/>
      <c r="E856" s="3"/>
      <c r="F856" s="3"/>
      <c r="G856" s="3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</row>
    <row r="857" spans="1:29" ht="14" x14ac:dyDescent="0.15">
      <c r="A857" s="5"/>
      <c r="B857" s="3"/>
      <c r="C857" s="3"/>
      <c r="D857" s="3"/>
      <c r="E857" s="3"/>
      <c r="F857" s="3"/>
      <c r="G857" s="3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</row>
    <row r="858" spans="1:29" ht="14" x14ac:dyDescent="0.15">
      <c r="A858" s="5"/>
      <c r="B858" s="3"/>
      <c r="C858" s="3"/>
      <c r="D858" s="3"/>
      <c r="E858" s="3"/>
      <c r="F858" s="3"/>
      <c r="G858" s="3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</row>
    <row r="859" spans="1:29" ht="14" x14ac:dyDescent="0.15">
      <c r="A859" s="5"/>
      <c r="B859" s="3"/>
      <c r="C859" s="3"/>
      <c r="D859" s="3"/>
      <c r="E859" s="3"/>
      <c r="F859" s="3"/>
      <c r="G859" s="3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</row>
    <row r="860" spans="1:29" ht="14" x14ac:dyDescent="0.15">
      <c r="A860" s="5"/>
      <c r="B860" s="3"/>
      <c r="C860" s="3"/>
      <c r="D860" s="3"/>
      <c r="E860" s="3"/>
      <c r="F860" s="3"/>
      <c r="G860" s="3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</row>
    <row r="861" spans="1:29" ht="14" x14ac:dyDescent="0.15">
      <c r="A861" s="5"/>
      <c r="B861" s="3"/>
      <c r="C861" s="3"/>
      <c r="D861" s="3"/>
      <c r="E861" s="3"/>
      <c r="F861" s="3"/>
      <c r="G861" s="3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</row>
    <row r="862" spans="1:29" ht="14" x14ac:dyDescent="0.15">
      <c r="A862" s="5"/>
      <c r="B862" s="3"/>
      <c r="C862" s="3"/>
      <c r="D862" s="3"/>
      <c r="E862" s="3"/>
      <c r="F862" s="3"/>
      <c r="G862" s="3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</row>
    <row r="863" spans="1:29" ht="14" x14ac:dyDescent="0.15">
      <c r="A863" s="5"/>
      <c r="B863" s="3"/>
      <c r="C863" s="3"/>
      <c r="D863" s="3"/>
      <c r="E863" s="3"/>
      <c r="F863" s="3"/>
      <c r="G863" s="3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</row>
    <row r="864" spans="1:29" ht="14" x14ac:dyDescent="0.15">
      <c r="A864" s="5"/>
      <c r="B864" s="3"/>
      <c r="C864" s="3"/>
      <c r="D864" s="3"/>
      <c r="E864" s="3"/>
      <c r="F864" s="3"/>
      <c r="G864" s="3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</row>
    <row r="865" spans="1:29" ht="14" x14ac:dyDescent="0.15">
      <c r="A865" s="5"/>
      <c r="B865" s="3"/>
      <c r="C865" s="3"/>
      <c r="D865" s="3"/>
      <c r="E865" s="3"/>
      <c r="F865" s="3"/>
      <c r="G865" s="3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</row>
    <row r="866" spans="1:29" ht="14" x14ac:dyDescent="0.15">
      <c r="A866" s="5"/>
      <c r="B866" s="3"/>
      <c r="C866" s="3"/>
      <c r="D866" s="3"/>
      <c r="E866" s="3"/>
      <c r="F866" s="3"/>
      <c r="G866" s="3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</row>
    <row r="867" spans="1:29" ht="14" x14ac:dyDescent="0.15">
      <c r="A867" s="5"/>
      <c r="B867" s="3"/>
      <c r="C867" s="3"/>
      <c r="D867" s="3"/>
      <c r="E867" s="3"/>
      <c r="F867" s="3"/>
      <c r="G867" s="3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</row>
    <row r="868" spans="1:29" ht="14" x14ac:dyDescent="0.15">
      <c r="A868" s="5"/>
      <c r="B868" s="3"/>
      <c r="C868" s="3"/>
      <c r="D868" s="3"/>
      <c r="E868" s="3"/>
      <c r="F868" s="3"/>
      <c r="G868" s="3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</row>
    <row r="869" spans="1:29" ht="14" x14ac:dyDescent="0.15">
      <c r="A869" s="5"/>
      <c r="B869" s="3"/>
      <c r="C869" s="3"/>
      <c r="D869" s="3"/>
      <c r="E869" s="3"/>
      <c r="F869" s="3"/>
      <c r="G869" s="3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</row>
    <row r="870" spans="1:29" ht="14" x14ac:dyDescent="0.15">
      <c r="A870" s="5"/>
      <c r="B870" s="3"/>
      <c r="C870" s="3"/>
      <c r="D870" s="3"/>
      <c r="E870" s="3"/>
      <c r="F870" s="3"/>
      <c r="G870" s="3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</row>
    <row r="871" spans="1:29" ht="14" x14ac:dyDescent="0.15">
      <c r="A871" s="5"/>
      <c r="B871" s="3"/>
      <c r="C871" s="3"/>
      <c r="D871" s="3"/>
      <c r="E871" s="3"/>
      <c r="F871" s="3"/>
      <c r="G871" s="3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</row>
    <row r="872" spans="1:29" ht="14" x14ac:dyDescent="0.15">
      <c r="A872" s="5"/>
      <c r="B872" s="3"/>
      <c r="C872" s="3"/>
      <c r="D872" s="3"/>
      <c r="E872" s="3"/>
      <c r="F872" s="3"/>
      <c r="G872" s="3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</row>
    <row r="873" spans="1:29" ht="14" x14ac:dyDescent="0.15">
      <c r="A873" s="5"/>
      <c r="B873" s="3"/>
      <c r="C873" s="3"/>
      <c r="D873" s="3"/>
      <c r="E873" s="3"/>
      <c r="F873" s="3"/>
      <c r="G873" s="3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</row>
    <row r="874" spans="1:29" ht="14" x14ac:dyDescent="0.15">
      <c r="A874" s="5"/>
      <c r="B874" s="3"/>
      <c r="C874" s="3"/>
      <c r="D874" s="3"/>
      <c r="E874" s="3"/>
      <c r="F874" s="3"/>
      <c r="G874" s="3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</row>
    <row r="875" spans="1:29" ht="14" x14ac:dyDescent="0.15">
      <c r="A875" s="5"/>
      <c r="B875" s="3"/>
      <c r="C875" s="3"/>
      <c r="D875" s="3"/>
      <c r="E875" s="3"/>
      <c r="F875" s="3"/>
      <c r="G875" s="3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</row>
    <row r="876" spans="1:29" ht="14" x14ac:dyDescent="0.15">
      <c r="A876" s="5"/>
      <c r="B876" s="3"/>
      <c r="C876" s="3"/>
      <c r="D876" s="3"/>
      <c r="E876" s="3"/>
      <c r="F876" s="3"/>
      <c r="G876" s="3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</row>
    <row r="877" spans="1:29" ht="14" x14ac:dyDescent="0.15">
      <c r="A877" s="5"/>
      <c r="B877" s="3"/>
      <c r="C877" s="3"/>
      <c r="D877" s="3"/>
      <c r="E877" s="3"/>
      <c r="F877" s="3"/>
      <c r="G877" s="3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</row>
    <row r="878" spans="1:29" ht="14" x14ac:dyDescent="0.15">
      <c r="A878" s="5"/>
      <c r="B878" s="3"/>
      <c r="C878" s="3"/>
      <c r="D878" s="3"/>
      <c r="E878" s="3"/>
      <c r="F878" s="3"/>
      <c r="G878" s="3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</row>
    <row r="879" spans="1:29" ht="14" x14ac:dyDescent="0.15">
      <c r="A879" s="5"/>
      <c r="B879" s="3"/>
      <c r="C879" s="3"/>
      <c r="D879" s="3"/>
      <c r="E879" s="3"/>
      <c r="F879" s="3"/>
      <c r="G879" s="3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</row>
    <row r="880" spans="1:29" ht="14" x14ac:dyDescent="0.15">
      <c r="A880" s="5"/>
      <c r="B880" s="3"/>
      <c r="C880" s="3"/>
      <c r="D880" s="3"/>
      <c r="E880" s="3"/>
      <c r="F880" s="3"/>
      <c r="G880" s="3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</row>
    <row r="881" spans="1:29" ht="14" x14ac:dyDescent="0.15">
      <c r="A881" s="5"/>
      <c r="B881" s="3"/>
      <c r="C881" s="3"/>
      <c r="D881" s="3"/>
      <c r="E881" s="3"/>
      <c r="F881" s="3"/>
      <c r="G881" s="3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</row>
    <row r="882" spans="1:29" ht="14" x14ac:dyDescent="0.15">
      <c r="A882" s="5"/>
      <c r="B882" s="3"/>
      <c r="C882" s="3"/>
      <c r="D882" s="3"/>
      <c r="E882" s="3"/>
      <c r="F882" s="3"/>
      <c r="G882" s="3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</row>
    <row r="883" spans="1:29" ht="14" x14ac:dyDescent="0.15">
      <c r="A883" s="5"/>
      <c r="B883" s="3"/>
      <c r="C883" s="3"/>
      <c r="D883" s="3"/>
      <c r="E883" s="3"/>
      <c r="F883" s="3"/>
      <c r="G883" s="3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</row>
    <row r="884" spans="1:29" ht="14" x14ac:dyDescent="0.15">
      <c r="A884" s="5"/>
      <c r="B884" s="3"/>
      <c r="C884" s="3"/>
      <c r="D884" s="3"/>
      <c r="E884" s="3"/>
      <c r="F884" s="3"/>
      <c r="G884" s="3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</row>
    <row r="885" spans="1:29" ht="14" x14ac:dyDescent="0.15">
      <c r="A885" s="5"/>
      <c r="B885" s="3"/>
      <c r="C885" s="3"/>
      <c r="D885" s="3"/>
      <c r="E885" s="3"/>
      <c r="F885" s="3"/>
      <c r="G885" s="3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</row>
    <row r="886" spans="1:29" ht="14" x14ac:dyDescent="0.15">
      <c r="A886" s="5"/>
      <c r="B886" s="3"/>
      <c r="C886" s="3"/>
      <c r="D886" s="3"/>
      <c r="E886" s="3"/>
      <c r="F886" s="3"/>
      <c r="G886" s="3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</row>
    <row r="887" spans="1:29" ht="14" x14ac:dyDescent="0.15">
      <c r="A887" s="5"/>
      <c r="B887" s="3"/>
      <c r="C887" s="3"/>
      <c r="D887" s="3"/>
      <c r="E887" s="3"/>
      <c r="F887" s="3"/>
      <c r="G887" s="3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</row>
    <row r="888" spans="1:29" ht="14" x14ac:dyDescent="0.15">
      <c r="A888" s="5"/>
      <c r="B888" s="3"/>
      <c r="C888" s="3"/>
      <c r="D888" s="3"/>
      <c r="E888" s="3"/>
      <c r="F888" s="3"/>
      <c r="G888" s="3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</row>
    <row r="889" spans="1:29" ht="14" x14ac:dyDescent="0.15">
      <c r="A889" s="5"/>
      <c r="B889" s="3"/>
      <c r="C889" s="3"/>
      <c r="D889" s="3"/>
      <c r="E889" s="3"/>
      <c r="F889" s="3"/>
      <c r="G889" s="3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</row>
    <row r="890" spans="1:29" ht="14" x14ac:dyDescent="0.15">
      <c r="A890" s="5"/>
      <c r="B890" s="3"/>
      <c r="C890" s="3"/>
      <c r="D890" s="3"/>
      <c r="E890" s="3"/>
      <c r="F890" s="3"/>
      <c r="G890" s="3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</row>
    <row r="891" spans="1:29" ht="14" x14ac:dyDescent="0.15">
      <c r="A891" s="5"/>
      <c r="B891" s="3"/>
      <c r="C891" s="3"/>
      <c r="D891" s="3"/>
      <c r="E891" s="3"/>
      <c r="F891" s="3"/>
      <c r="G891" s="3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</row>
    <row r="892" spans="1:29" ht="14" x14ac:dyDescent="0.15">
      <c r="A892" s="5"/>
      <c r="B892" s="3"/>
      <c r="C892" s="3"/>
      <c r="D892" s="3"/>
      <c r="E892" s="3"/>
      <c r="F892" s="3"/>
      <c r="G892" s="3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</row>
    <row r="893" spans="1:29" ht="14" x14ac:dyDescent="0.15">
      <c r="A893" s="5"/>
      <c r="B893" s="3"/>
      <c r="C893" s="3"/>
      <c r="D893" s="3"/>
      <c r="E893" s="3"/>
      <c r="F893" s="3"/>
      <c r="G893" s="3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</row>
    <row r="894" spans="1:29" ht="14" x14ac:dyDescent="0.15">
      <c r="A894" s="5"/>
      <c r="B894" s="3"/>
      <c r="C894" s="3"/>
      <c r="D894" s="3"/>
      <c r="E894" s="3"/>
      <c r="F894" s="3"/>
      <c r="G894" s="3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</row>
    <row r="895" spans="1:29" ht="14" x14ac:dyDescent="0.15">
      <c r="A895" s="5"/>
      <c r="B895" s="3"/>
      <c r="C895" s="3"/>
      <c r="D895" s="3"/>
      <c r="E895" s="3"/>
      <c r="F895" s="3"/>
      <c r="G895" s="3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</row>
    <row r="896" spans="1:29" ht="14" x14ac:dyDescent="0.15">
      <c r="A896" s="5"/>
      <c r="B896" s="3"/>
      <c r="C896" s="3"/>
      <c r="D896" s="3"/>
      <c r="E896" s="3"/>
      <c r="F896" s="3"/>
      <c r="G896" s="3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</row>
    <row r="897" spans="1:29" ht="14" x14ac:dyDescent="0.15">
      <c r="A897" s="5"/>
      <c r="B897" s="3"/>
      <c r="C897" s="3"/>
      <c r="D897" s="3"/>
      <c r="E897" s="3"/>
      <c r="F897" s="3"/>
      <c r="G897" s="3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</row>
    <row r="898" spans="1:29" ht="14" x14ac:dyDescent="0.15">
      <c r="A898" s="5"/>
      <c r="B898" s="3"/>
      <c r="C898" s="3"/>
      <c r="D898" s="3"/>
      <c r="E898" s="3"/>
      <c r="F898" s="3"/>
      <c r="G898" s="3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</row>
    <row r="899" spans="1:29" ht="14" x14ac:dyDescent="0.15">
      <c r="A899" s="5"/>
      <c r="B899" s="3"/>
      <c r="C899" s="3"/>
      <c r="D899" s="3"/>
      <c r="E899" s="3"/>
      <c r="F899" s="3"/>
      <c r="G899" s="3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</row>
    <row r="900" spans="1:29" ht="14" x14ac:dyDescent="0.15">
      <c r="A900" s="5"/>
      <c r="B900" s="3"/>
      <c r="C900" s="3"/>
      <c r="D900" s="3"/>
      <c r="E900" s="3"/>
      <c r="F900" s="3"/>
      <c r="G900" s="3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</row>
    <row r="901" spans="1:29" ht="14" x14ac:dyDescent="0.15">
      <c r="A901" s="5"/>
      <c r="B901" s="3"/>
      <c r="C901" s="3"/>
      <c r="D901" s="3"/>
      <c r="E901" s="3"/>
      <c r="F901" s="3"/>
      <c r="G901" s="3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</row>
    <row r="902" spans="1:29" ht="14" x14ac:dyDescent="0.15">
      <c r="A902" s="5"/>
      <c r="B902" s="3"/>
      <c r="C902" s="3"/>
      <c r="D902" s="3"/>
      <c r="E902" s="3"/>
      <c r="F902" s="3"/>
      <c r="G902" s="3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</row>
    <row r="903" spans="1:29" ht="14" x14ac:dyDescent="0.15">
      <c r="A903" s="5"/>
      <c r="B903" s="3"/>
      <c r="C903" s="3"/>
      <c r="D903" s="3"/>
      <c r="E903" s="3"/>
      <c r="F903" s="3"/>
      <c r="G903" s="3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</row>
    <row r="904" spans="1:29" ht="14" x14ac:dyDescent="0.15">
      <c r="A904" s="5"/>
      <c r="B904" s="3"/>
      <c r="C904" s="3"/>
      <c r="D904" s="3"/>
      <c r="E904" s="3"/>
      <c r="F904" s="3"/>
      <c r="G904" s="3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</row>
    <row r="905" spans="1:29" ht="14" x14ac:dyDescent="0.15">
      <c r="A905" s="5"/>
      <c r="B905" s="3"/>
      <c r="C905" s="3"/>
      <c r="D905" s="3"/>
      <c r="E905" s="3"/>
      <c r="F905" s="3"/>
      <c r="G905" s="3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</row>
    <row r="906" spans="1:29" ht="14" x14ac:dyDescent="0.15">
      <c r="A906" s="5"/>
      <c r="B906" s="3"/>
      <c r="C906" s="3"/>
      <c r="D906" s="3"/>
      <c r="E906" s="3"/>
      <c r="F906" s="3"/>
      <c r="G906" s="3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</row>
    <row r="907" spans="1:29" ht="14" x14ac:dyDescent="0.15">
      <c r="A907" s="5"/>
      <c r="B907" s="3"/>
      <c r="C907" s="3"/>
      <c r="D907" s="3"/>
      <c r="E907" s="3"/>
      <c r="F907" s="3"/>
      <c r="G907" s="3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</row>
    <row r="908" spans="1:29" ht="14" x14ac:dyDescent="0.15">
      <c r="A908" s="5"/>
      <c r="B908" s="3"/>
      <c r="C908" s="3"/>
      <c r="D908" s="3"/>
      <c r="E908" s="3"/>
      <c r="F908" s="3"/>
      <c r="G908" s="3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</row>
    <row r="909" spans="1:29" ht="14" x14ac:dyDescent="0.15">
      <c r="A909" s="5"/>
      <c r="B909" s="3"/>
      <c r="C909" s="3"/>
      <c r="D909" s="3"/>
      <c r="E909" s="3"/>
      <c r="F909" s="3"/>
      <c r="G909" s="3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</row>
    <row r="910" spans="1:29" ht="14" x14ac:dyDescent="0.15">
      <c r="A910" s="5"/>
      <c r="B910" s="3"/>
      <c r="C910" s="3"/>
      <c r="D910" s="3"/>
      <c r="E910" s="3"/>
      <c r="F910" s="3"/>
      <c r="G910" s="3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</row>
    <row r="911" spans="1:29" ht="14" x14ac:dyDescent="0.15">
      <c r="A911" s="5"/>
      <c r="B911" s="3"/>
      <c r="C911" s="3"/>
      <c r="D911" s="3"/>
      <c r="E911" s="3"/>
      <c r="F911" s="3"/>
      <c r="G911" s="3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</row>
    <row r="912" spans="1:29" ht="14" x14ac:dyDescent="0.15">
      <c r="A912" s="5"/>
      <c r="B912" s="3"/>
      <c r="C912" s="3"/>
      <c r="D912" s="3"/>
      <c r="E912" s="3"/>
      <c r="F912" s="3"/>
      <c r="G912" s="3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</row>
    <row r="913" spans="1:29" ht="14" x14ac:dyDescent="0.15">
      <c r="A913" s="5"/>
      <c r="B913" s="3"/>
      <c r="C913" s="3"/>
      <c r="D913" s="3"/>
      <c r="E913" s="3"/>
      <c r="F913" s="3"/>
      <c r="G913" s="3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</row>
    <row r="914" spans="1:29" ht="14" x14ac:dyDescent="0.15">
      <c r="A914" s="5"/>
      <c r="B914" s="3"/>
      <c r="C914" s="3"/>
      <c r="D914" s="3"/>
      <c r="E914" s="3"/>
      <c r="F914" s="3"/>
      <c r="G914" s="3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</row>
    <row r="915" spans="1:29" ht="14" x14ac:dyDescent="0.15">
      <c r="A915" s="5"/>
      <c r="B915" s="3"/>
      <c r="C915" s="3"/>
      <c r="D915" s="3"/>
      <c r="E915" s="3"/>
      <c r="F915" s="3"/>
      <c r="G915" s="3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</row>
    <row r="916" spans="1:29" ht="14" x14ac:dyDescent="0.15">
      <c r="A916" s="5"/>
      <c r="B916" s="3"/>
      <c r="C916" s="3"/>
      <c r="D916" s="3"/>
      <c r="E916" s="3"/>
      <c r="F916" s="3"/>
      <c r="G916" s="3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</row>
    <row r="917" spans="1:29" ht="14" x14ac:dyDescent="0.15">
      <c r="A917" s="5"/>
      <c r="B917" s="3"/>
      <c r="C917" s="3"/>
      <c r="D917" s="3"/>
      <c r="E917" s="3"/>
      <c r="F917" s="3"/>
      <c r="G917" s="3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</row>
    <row r="918" spans="1:29" ht="14" x14ac:dyDescent="0.15">
      <c r="A918" s="5"/>
      <c r="B918" s="3"/>
      <c r="C918" s="3"/>
      <c r="D918" s="3"/>
      <c r="E918" s="3"/>
      <c r="F918" s="3"/>
      <c r="G918" s="3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</row>
    <row r="919" spans="1:29" ht="14" x14ac:dyDescent="0.15">
      <c r="A919" s="5"/>
      <c r="B919" s="3"/>
      <c r="C919" s="3"/>
      <c r="D919" s="3"/>
      <c r="E919" s="3"/>
      <c r="F919" s="3"/>
      <c r="G919" s="3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</row>
    <row r="920" spans="1:29" ht="14" x14ac:dyDescent="0.15">
      <c r="A920" s="5"/>
      <c r="B920" s="3"/>
      <c r="C920" s="3"/>
      <c r="D920" s="3"/>
      <c r="E920" s="3"/>
      <c r="F920" s="3"/>
      <c r="G920" s="3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</row>
    <row r="921" spans="1:29" ht="14" x14ac:dyDescent="0.15">
      <c r="A921" s="5"/>
      <c r="B921" s="3"/>
      <c r="C921" s="3"/>
      <c r="D921" s="3"/>
      <c r="E921" s="3"/>
      <c r="F921" s="3"/>
      <c r="G921" s="3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</row>
    <row r="922" spans="1:29" ht="14" x14ac:dyDescent="0.15">
      <c r="A922" s="5"/>
      <c r="B922" s="3"/>
      <c r="C922" s="3"/>
      <c r="D922" s="3"/>
      <c r="E922" s="3"/>
      <c r="F922" s="3"/>
      <c r="G922" s="3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</row>
    <row r="923" spans="1:29" ht="14" x14ac:dyDescent="0.15">
      <c r="A923" s="5"/>
      <c r="B923" s="3"/>
      <c r="C923" s="3"/>
      <c r="D923" s="3"/>
      <c r="E923" s="3"/>
      <c r="F923" s="3"/>
      <c r="G923" s="3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</row>
    <row r="924" spans="1:29" ht="14" x14ac:dyDescent="0.15">
      <c r="A924" s="5"/>
      <c r="B924" s="3"/>
      <c r="C924" s="3"/>
      <c r="D924" s="3"/>
      <c r="E924" s="3"/>
      <c r="F924" s="3"/>
      <c r="G924" s="3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</row>
    <row r="925" spans="1:29" ht="14" x14ac:dyDescent="0.15">
      <c r="A925" s="5"/>
      <c r="B925" s="3"/>
      <c r="C925" s="3"/>
      <c r="D925" s="3"/>
      <c r="E925" s="3"/>
      <c r="F925" s="3"/>
      <c r="G925" s="3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</row>
    <row r="926" spans="1:29" ht="14" x14ac:dyDescent="0.15">
      <c r="A926" s="5"/>
      <c r="B926" s="3"/>
      <c r="C926" s="3"/>
      <c r="D926" s="3"/>
      <c r="E926" s="3"/>
      <c r="F926" s="3"/>
      <c r="G926" s="3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</row>
    <row r="927" spans="1:29" ht="14" x14ac:dyDescent="0.15">
      <c r="A927" s="5"/>
      <c r="B927" s="3"/>
      <c r="C927" s="3"/>
      <c r="D927" s="3"/>
      <c r="E927" s="3"/>
      <c r="F927" s="3"/>
      <c r="G927" s="3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</row>
    <row r="928" spans="1:29" ht="14" x14ac:dyDescent="0.15">
      <c r="A928" s="5"/>
      <c r="B928" s="3"/>
      <c r="C928" s="3"/>
      <c r="D928" s="3"/>
      <c r="E928" s="3"/>
      <c r="F928" s="3"/>
      <c r="G928" s="3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</row>
    <row r="929" spans="1:29" ht="14" x14ac:dyDescent="0.15">
      <c r="A929" s="5"/>
      <c r="B929" s="3"/>
      <c r="C929" s="3"/>
      <c r="D929" s="3"/>
      <c r="E929" s="3"/>
      <c r="F929" s="3"/>
      <c r="G929" s="3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</row>
    <row r="930" spans="1:29" ht="14" x14ac:dyDescent="0.15">
      <c r="A930" s="5"/>
      <c r="B930" s="3"/>
      <c r="C930" s="3"/>
      <c r="D930" s="3"/>
      <c r="E930" s="3"/>
      <c r="F930" s="3"/>
      <c r="G930" s="3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</row>
    <row r="931" spans="1:29" ht="14" x14ac:dyDescent="0.15">
      <c r="A931" s="5"/>
      <c r="B931" s="3"/>
      <c r="C931" s="3"/>
      <c r="D931" s="3"/>
      <c r="E931" s="3"/>
      <c r="F931" s="3"/>
      <c r="G931" s="3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</row>
    <row r="932" spans="1:29" ht="14" x14ac:dyDescent="0.15">
      <c r="A932" s="5"/>
      <c r="B932" s="3"/>
      <c r="C932" s="3"/>
      <c r="D932" s="3"/>
      <c r="E932" s="3"/>
      <c r="F932" s="3"/>
      <c r="G932" s="3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</row>
    <row r="933" spans="1:29" ht="14" x14ac:dyDescent="0.15">
      <c r="A933" s="5"/>
      <c r="B933" s="3"/>
      <c r="C933" s="3"/>
      <c r="D933" s="3"/>
      <c r="E933" s="3"/>
      <c r="F933" s="3"/>
      <c r="G933" s="3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</row>
    <row r="934" spans="1:29" ht="14" x14ac:dyDescent="0.15">
      <c r="A934" s="5"/>
      <c r="B934" s="3"/>
      <c r="C934" s="3"/>
      <c r="D934" s="3"/>
      <c r="E934" s="3"/>
      <c r="F934" s="3"/>
      <c r="G934" s="3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</row>
    <row r="935" spans="1:29" ht="14" x14ac:dyDescent="0.15">
      <c r="A935" s="5"/>
      <c r="B935" s="3"/>
      <c r="C935" s="3"/>
      <c r="D935" s="3"/>
      <c r="E935" s="3"/>
      <c r="F935" s="3"/>
      <c r="G935" s="3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</row>
    <row r="936" spans="1:29" ht="14" x14ac:dyDescent="0.15">
      <c r="A936" s="5"/>
      <c r="B936" s="3"/>
      <c r="C936" s="3"/>
      <c r="D936" s="3"/>
      <c r="E936" s="3"/>
      <c r="F936" s="3"/>
      <c r="G936" s="3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</row>
    <row r="937" spans="1:29" ht="14" x14ac:dyDescent="0.15">
      <c r="A937" s="5"/>
      <c r="B937" s="3"/>
      <c r="C937" s="3"/>
      <c r="D937" s="3"/>
      <c r="E937" s="3"/>
      <c r="F937" s="3"/>
      <c r="G937" s="3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</row>
    <row r="938" spans="1:29" ht="14" x14ac:dyDescent="0.15">
      <c r="A938" s="5"/>
      <c r="B938" s="3"/>
      <c r="C938" s="3"/>
      <c r="D938" s="3"/>
      <c r="E938" s="3"/>
      <c r="F938" s="3"/>
      <c r="G938" s="3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</row>
    <row r="939" spans="1:29" ht="14" x14ac:dyDescent="0.15">
      <c r="A939" s="5"/>
      <c r="B939" s="3"/>
      <c r="C939" s="3"/>
      <c r="D939" s="3"/>
      <c r="E939" s="3"/>
      <c r="F939" s="3"/>
      <c r="G939" s="3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</row>
    <row r="940" spans="1:29" ht="14" x14ac:dyDescent="0.15">
      <c r="A940" s="5"/>
      <c r="B940" s="3"/>
      <c r="C940" s="3"/>
      <c r="D940" s="3"/>
      <c r="E940" s="3"/>
      <c r="F940" s="3"/>
      <c r="G940" s="3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</row>
    <row r="941" spans="1:29" ht="14" x14ac:dyDescent="0.15">
      <c r="A941" s="5"/>
      <c r="B941" s="3"/>
      <c r="C941" s="3"/>
      <c r="D941" s="3"/>
      <c r="E941" s="3"/>
      <c r="F941" s="3"/>
      <c r="G941" s="3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</row>
    <row r="942" spans="1:29" ht="14" x14ac:dyDescent="0.15">
      <c r="A942" s="5"/>
      <c r="B942" s="3"/>
      <c r="C942" s="3"/>
      <c r="D942" s="3"/>
      <c r="E942" s="3"/>
      <c r="F942" s="3"/>
      <c r="G942" s="3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</row>
    <row r="943" spans="1:29" ht="14" x14ac:dyDescent="0.15">
      <c r="A943" s="5"/>
      <c r="B943" s="3"/>
      <c r="C943" s="3"/>
      <c r="D943" s="3"/>
      <c r="E943" s="3"/>
      <c r="F943" s="3"/>
      <c r="G943" s="3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</row>
    <row r="944" spans="1:29" ht="14" x14ac:dyDescent="0.15">
      <c r="A944" s="5"/>
      <c r="B944" s="3"/>
      <c r="C944" s="3"/>
      <c r="D944" s="3"/>
      <c r="E944" s="3"/>
      <c r="F944" s="3"/>
      <c r="G944" s="3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</row>
    <row r="945" spans="1:29" ht="14" x14ac:dyDescent="0.15">
      <c r="A945" s="5"/>
      <c r="B945" s="3"/>
      <c r="C945" s="3"/>
      <c r="D945" s="3"/>
      <c r="E945" s="3"/>
      <c r="F945" s="3"/>
      <c r="G945" s="3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</row>
    <row r="946" spans="1:29" ht="14" x14ac:dyDescent="0.15">
      <c r="A946" s="5"/>
      <c r="B946" s="3"/>
      <c r="C946" s="3"/>
      <c r="D946" s="3"/>
      <c r="E946" s="3"/>
      <c r="F946" s="3"/>
      <c r="G946" s="3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</row>
    <row r="947" spans="1:29" ht="14" x14ac:dyDescent="0.15">
      <c r="A947" s="5"/>
      <c r="B947" s="3"/>
      <c r="C947" s="3"/>
      <c r="D947" s="3"/>
      <c r="E947" s="3"/>
      <c r="F947" s="3"/>
      <c r="G947" s="3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</row>
    <row r="948" spans="1:29" ht="14" x14ac:dyDescent="0.15">
      <c r="A948" s="5"/>
      <c r="B948" s="3"/>
      <c r="C948" s="3"/>
      <c r="D948" s="3"/>
      <c r="E948" s="3"/>
      <c r="F948" s="3"/>
      <c r="G948" s="3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</row>
    <row r="949" spans="1:29" ht="14" x14ac:dyDescent="0.15">
      <c r="A949" s="5"/>
      <c r="B949" s="3"/>
      <c r="C949" s="3"/>
      <c r="D949" s="3"/>
      <c r="E949" s="3"/>
      <c r="F949" s="3"/>
      <c r="G949" s="3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</row>
    <row r="950" spans="1:29" ht="14" x14ac:dyDescent="0.15">
      <c r="A950" s="5"/>
      <c r="B950" s="3"/>
      <c r="C950" s="3"/>
      <c r="D950" s="3"/>
      <c r="E950" s="3"/>
      <c r="F950" s="3"/>
      <c r="G950" s="3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</row>
    <row r="951" spans="1:29" ht="14" x14ac:dyDescent="0.15">
      <c r="A951" s="5"/>
      <c r="B951" s="3"/>
      <c r="C951" s="3"/>
      <c r="D951" s="3"/>
      <c r="E951" s="3"/>
      <c r="F951" s="3"/>
      <c r="G951" s="3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</row>
    <row r="952" spans="1:29" ht="14" x14ac:dyDescent="0.15">
      <c r="A952" s="5"/>
      <c r="B952" s="3"/>
      <c r="C952" s="3"/>
      <c r="D952" s="3"/>
      <c r="E952" s="3"/>
      <c r="F952" s="3"/>
      <c r="G952" s="3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</row>
    <row r="953" spans="1:29" ht="14" x14ac:dyDescent="0.15">
      <c r="A953" s="5"/>
      <c r="B953" s="3"/>
      <c r="C953" s="3"/>
      <c r="D953" s="3"/>
      <c r="E953" s="3"/>
      <c r="F953" s="3"/>
      <c r="G953" s="3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</row>
    <row r="954" spans="1:29" ht="14" x14ac:dyDescent="0.15">
      <c r="A954" s="5"/>
      <c r="B954" s="3"/>
      <c r="C954" s="3"/>
      <c r="D954" s="3"/>
      <c r="E954" s="3"/>
      <c r="F954" s="3"/>
      <c r="G954" s="3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</row>
    <row r="955" spans="1:29" ht="14" x14ac:dyDescent="0.15">
      <c r="A955" s="5"/>
      <c r="B955" s="3"/>
      <c r="C955" s="3"/>
      <c r="D955" s="3"/>
      <c r="E955" s="3"/>
      <c r="F955" s="3"/>
      <c r="G955" s="3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</row>
    <row r="956" spans="1:29" ht="14" x14ac:dyDescent="0.15">
      <c r="A956" s="5"/>
      <c r="B956" s="3"/>
      <c r="C956" s="3"/>
      <c r="D956" s="3"/>
      <c r="E956" s="3"/>
      <c r="F956" s="3"/>
      <c r="G956" s="3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</row>
    <row r="957" spans="1:29" ht="14" x14ac:dyDescent="0.15">
      <c r="A957" s="5"/>
      <c r="B957" s="3"/>
      <c r="C957" s="3"/>
      <c r="D957" s="3"/>
      <c r="E957" s="3"/>
      <c r="F957" s="3"/>
      <c r="G957" s="3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</row>
    <row r="958" spans="1:29" ht="14" x14ac:dyDescent="0.15">
      <c r="A958" s="5"/>
      <c r="B958" s="3"/>
      <c r="C958" s="3"/>
      <c r="D958" s="3"/>
      <c r="E958" s="3"/>
      <c r="F958" s="3"/>
      <c r="G958" s="3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</row>
    <row r="959" spans="1:29" ht="14" x14ac:dyDescent="0.15">
      <c r="A959" s="5"/>
      <c r="B959" s="3"/>
      <c r="C959" s="3"/>
      <c r="D959" s="3"/>
      <c r="E959" s="3"/>
      <c r="F959" s="3"/>
      <c r="G959" s="3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</row>
    <row r="960" spans="1:29" ht="14" x14ac:dyDescent="0.15">
      <c r="A960" s="5"/>
      <c r="B960" s="3"/>
      <c r="C960" s="3"/>
      <c r="D960" s="3"/>
      <c r="E960" s="3"/>
      <c r="F960" s="3"/>
      <c r="G960" s="3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</row>
    <row r="961" spans="1:29" ht="14" x14ac:dyDescent="0.15">
      <c r="A961" s="5"/>
      <c r="B961" s="3"/>
      <c r="C961" s="3"/>
      <c r="D961" s="3"/>
      <c r="E961" s="3"/>
      <c r="F961" s="3"/>
      <c r="G961" s="3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</row>
    <row r="962" spans="1:29" ht="14" x14ac:dyDescent="0.15">
      <c r="A962" s="5"/>
      <c r="B962" s="3"/>
      <c r="C962" s="3"/>
      <c r="D962" s="3"/>
      <c r="E962" s="3"/>
      <c r="F962" s="3"/>
      <c r="G962" s="3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</row>
    <row r="963" spans="1:29" ht="14" x14ac:dyDescent="0.15">
      <c r="A963" s="5"/>
      <c r="B963" s="3"/>
      <c r="C963" s="3"/>
      <c r="D963" s="3"/>
      <c r="E963" s="3"/>
      <c r="F963" s="3"/>
      <c r="G963" s="3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</row>
    <row r="964" spans="1:29" ht="14" x14ac:dyDescent="0.15">
      <c r="A964" s="5"/>
      <c r="B964" s="3"/>
      <c r="C964" s="3"/>
      <c r="D964" s="3"/>
      <c r="E964" s="3"/>
      <c r="F964" s="3"/>
      <c r="G964" s="3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</row>
    <row r="965" spans="1:29" ht="14" x14ac:dyDescent="0.15">
      <c r="A965" s="5"/>
      <c r="B965" s="3"/>
      <c r="C965" s="3"/>
      <c r="D965" s="3"/>
      <c r="E965" s="3"/>
      <c r="F965" s="3"/>
      <c r="G965" s="3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</row>
    <row r="966" spans="1:29" ht="14" x14ac:dyDescent="0.15">
      <c r="A966" s="5"/>
      <c r="B966" s="3"/>
      <c r="C966" s="3"/>
      <c r="D966" s="3"/>
      <c r="E966" s="3"/>
      <c r="F966" s="3"/>
      <c r="G966" s="3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</row>
    <row r="967" spans="1:29" ht="14" x14ac:dyDescent="0.15">
      <c r="A967" s="5"/>
      <c r="B967" s="3"/>
      <c r="C967" s="3"/>
      <c r="D967" s="3"/>
      <c r="E967" s="3"/>
      <c r="F967" s="3"/>
      <c r="G967" s="3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</row>
    <row r="968" spans="1:29" ht="14" x14ac:dyDescent="0.15">
      <c r="A968" s="5"/>
      <c r="B968" s="3"/>
      <c r="C968" s="3"/>
      <c r="D968" s="3"/>
      <c r="E968" s="3"/>
      <c r="F968" s="3"/>
      <c r="G968" s="3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</row>
    <row r="969" spans="1:29" ht="14" x14ac:dyDescent="0.15">
      <c r="A969" s="5"/>
      <c r="B969" s="3"/>
      <c r="C969" s="3"/>
      <c r="D969" s="3"/>
      <c r="E969" s="3"/>
      <c r="F969" s="3"/>
      <c r="G969" s="3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</row>
    <row r="970" spans="1:29" ht="14" x14ac:dyDescent="0.15">
      <c r="A970" s="5"/>
      <c r="B970" s="3"/>
      <c r="C970" s="3"/>
      <c r="D970" s="3"/>
      <c r="E970" s="3"/>
      <c r="F970" s="3"/>
      <c r="G970" s="3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</row>
    <row r="971" spans="1:29" ht="14" x14ac:dyDescent="0.15">
      <c r="A971" s="5"/>
      <c r="B971" s="3"/>
      <c r="C971" s="3"/>
      <c r="D971" s="3"/>
      <c r="E971" s="3"/>
      <c r="F971" s="3"/>
      <c r="G971" s="3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</row>
    <row r="972" spans="1:29" ht="14" x14ac:dyDescent="0.15">
      <c r="A972" s="5"/>
      <c r="B972" s="3"/>
      <c r="C972" s="3"/>
      <c r="D972" s="3"/>
      <c r="E972" s="3"/>
      <c r="F972" s="3"/>
      <c r="G972" s="3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</row>
    <row r="973" spans="1:29" ht="14" x14ac:dyDescent="0.15">
      <c r="A973" s="5"/>
      <c r="B973" s="3"/>
      <c r="C973" s="3"/>
      <c r="D973" s="3"/>
      <c r="E973" s="3"/>
      <c r="F973" s="3"/>
      <c r="G973" s="3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</row>
    <row r="974" spans="1:29" ht="14" x14ac:dyDescent="0.15">
      <c r="A974" s="5"/>
      <c r="B974" s="3"/>
      <c r="C974" s="3"/>
      <c r="D974" s="3"/>
      <c r="E974" s="3"/>
      <c r="F974" s="3"/>
      <c r="G974" s="3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</row>
    <row r="975" spans="1:29" ht="14" x14ac:dyDescent="0.15">
      <c r="A975" s="5"/>
      <c r="B975" s="3"/>
      <c r="C975" s="3"/>
      <c r="D975" s="3"/>
      <c r="E975" s="3"/>
      <c r="F975" s="3"/>
      <c r="G975" s="3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</row>
    <row r="976" spans="1:29" ht="14" x14ac:dyDescent="0.15">
      <c r="A976" s="5"/>
      <c r="B976" s="3"/>
      <c r="C976" s="3"/>
      <c r="D976" s="3"/>
      <c r="E976" s="3"/>
      <c r="F976" s="3"/>
      <c r="G976" s="3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</row>
    <row r="977" spans="1:29" ht="14" x14ac:dyDescent="0.15">
      <c r="A977" s="5"/>
      <c r="B977" s="3"/>
      <c r="C977" s="3"/>
      <c r="D977" s="3"/>
      <c r="E977" s="3"/>
      <c r="F977" s="3"/>
      <c r="G977" s="3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</row>
    <row r="978" spans="1:29" ht="14" x14ac:dyDescent="0.15">
      <c r="A978" s="5"/>
      <c r="B978" s="3"/>
      <c r="C978" s="3"/>
      <c r="D978" s="3"/>
      <c r="E978" s="3"/>
      <c r="F978" s="3"/>
      <c r="G978" s="3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</row>
    <row r="979" spans="1:29" ht="14" x14ac:dyDescent="0.15">
      <c r="A979" s="5"/>
      <c r="B979" s="3"/>
      <c r="C979" s="3"/>
      <c r="D979" s="3"/>
      <c r="E979" s="3"/>
      <c r="F979" s="3"/>
      <c r="G979" s="3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</row>
    <row r="980" spans="1:29" ht="14" x14ac:dyDescent="0.15">
      <c r="A980" s="5"/>
      <c r="B980" s="3"/>
      <c r="C980" s="3"/>
      <c r="D980" s="3"/>
      <c r="E980" s="3"/>
      <c r="F980" s="3"/>
      <c r="G980" s="3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</row>
    <row r="981" spans="1:29" ht="14" x14ac:dyDescent="0.15">
      <c r="A981" s="5"/>
      <c r="B981" s="3"/>
      <c r="C981" s="3"/>
      <c r="D981" s="3"/>
      <c r="E981" s="3"/>
      <c r="F981" s="3"/>
      <c r="G981" s="3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</row>
    <row r="982" spans="1:29" ht="14" x14ac:dyDescent="0.15">
      <c r="A982" s="5"/>
      <c r="B982" s="3"/>
      <c r="C982" s="3"/>
      <c r="D982" s="3"/>
      <c r="E982" s="3"/>
      <c r="F982" s="3"/>
      <c r="G982" s="3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</row>
    <row r="983" spans="1:29" ht="14" x14ac:dyDescent="0.15">
      <c r="A983" s="5"/>
      <c r="B983" s="3"/>
      <c r="C983" s="3"/>
      <c r="D983" s="3"/>
      <c r="E983" s="3"/>
      <c r="F983" s="3"/>
      <c r="G983" s="3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</row>
    <row r="984" spans="1:29" ht="14" x14ac:dyDescent="0.15">
      <c r="A984" s="5"/>
      <c r="B984" s="3"/>
      <c r="C984" s="3"/>
      <c r="D984" s="3"/>
      <c r="E984" s="3"/>
      <c r="F984" s="3"/>
      <c r="G984" s="3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</row>
    <row r="985" spans="1:29" ht="14" x14ac:dyDescent="0.15">
      <c r="A985" s="5"/>
      <c r="B985" s="3"/>
      <c r="C985" s="3"/>
      <c r="D985" s="3"/>
      <c r="E985" s="3"/>
      <c r="F985" s="3"/>
      <c r="G985" s="3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</row>
    <row r="986" spans="1:29" ht="14" x14ac:dyDescent="0.15">
      <c r="A986" s="5"/>
      <c r="B986" s="3"/>
      <c r="C986" s="3"/>
      <c r="D986" s="3"/>
      <c r="E986" s="3"/>
      <c r="F986" s="3"/>
      <c r="G986" s="3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</row>
    <row r="987" spans="1:29" ht="14" x14ac:dyDescent="0.15">
      <c r="A987" s="5"/>
      <c r="B987" s="3"/>
      <c r="C987" s="3"/>
      <c r="D987" s="3"/>
      <c r="E987" s="3"/>
      <c r="F987" s="3"/>
      <c r="G987" s="3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</row>
    <row r="988" spans="1:29" ht="14" x14ac:dyDescent="0.15">
      <c r="A988" s="5"/>
      <c r="B988" s="3"/>
      <c r="C988" s="3"/>
      <c r="D988" s="3"/>
      <c r="E988" s="3"/>
      <c r="F988" s="3"/>
      <c r="G988" s="3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</row>
    <row r="989" spans="1:29" ht="14" x14ac:dyDescent="0.15">
      <c r="A989" s="5"/>
      <c r="B989" s="3"/>
      <c r="C989" s="3"/>
      <c r="D989" s="3"/>
      <c r="E989" s="3"/>
      <c r="F989" s="3"/>
      <c r="G989" s="3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</row>
    <row r="990" spans="1:29" ht="14" x14ac:dyDescent="0.15">
      <c r="A990" s="5"/>
      <c r="B990" s="3"/>
      <c r="C990" s="3"/>
      <c r="D990" s="3"/>
      <c r="E990" s="3"/>
      <c r="F990" s="3"/>
      <c r="G990" s="3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</row>
    <row r="991" spans="1:29" ht="14" x14ac:dyDescent="0.15">
      <c r="A991" s="5"/>
      <c r="B991" s="3"/>
      <c r="C991" s="3"/>
      <c r="D991" s="3"/>
      <c r="E991" s="3"/>
      <c r="F991" s="3"/>
      <c r="G991" s="3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</row>
    <row r="992" spans="1:29" ht="14" x14ac:dyDescent="0.15">
      <c r="A992" s="5"/>
      <c r="B992" s="3"/>
      <c r="C992" s="3"/>
      <c r="D992" s="3"/>
      <c r="E992" s="3"/>
      <c r="F992" s="3"/>
      <c r="G992" s="3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</row>
    <row r="993" spans="1:29" ht="14" x14ac:dyDescent="0.15">
      <c r="A993" s="5"/>
      <c r="B993" s="3"/>
      <c r="C993" s="3"/>
      <c r="D993" s="3"/>
      <c r="E993" s="3"/>
      <c r="F993" s="3"/>
      <c r="G993" s="3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</row>
    <row r="994" spans="1:29" ht="14" x14ac:dyDescent="0.15">
      <c r="A994" s="5"/>
      <c r="B994" s="3"/>
      <c r="C994" s="3"/>
      <c r="D994" s="3"/>
      <c r="E994" s="3"/>
      <c r="F994" s="3"/>
      <c r="G994" s="3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</row>
    <row r="995" spans="1:29" ht="14" x14ac:dyDescent="0.15">
      <c r="A995" s="5"/>
      <c r="B995" s="3"/>
      <c r="C995" s="3"/>
      <c r="D995" s="3"/>
      <c r="E995" s="3"/>
      <c r="F995" s="3"/>
      <c r="G995" s="3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</row>
    <row r="996" spans="1:29" ht="14" x14ac:dyDescent="0.15">
      <c r="A996" s="5"/>
      <c r="B996" s="3"/>
      <c r="C996" s="3"/>
      <c r="D996" s="3"/>
      <c r="E996" s="3"/>
      <c r="F996" s="3"/>
      <c r="G996" s="3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</row>
    <row r="997" spans="1:29" ht="14" x14ac:dyDescent="0.15">
      <c r="A997" s="5"/>
      <c r="B997" s="3"/>
      <c r="C997" s="3"/>
      <c r="D997" s="3"/>
      <c r="E997" s="3"/>
      <c r="F997" s="3"/>
      <c r="G997" s="3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</row>
    <row r="998" spans="1:29" ht="14" x14ac:dyDescent="0.15">
      <c r="A998" s="5"/>
      <c r="B998" s="3"/>
      <c r="C998" s="3"/>
      <c r="D998" s="3"/>
      <c r="E998" s="3"/>
      <c r="F998" s="3"/>
      <c r="G998" s="3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</row>
    <row r="999" spans="1:29" ht="14" x14ac:dyDescent="0.15">
      <c r="A999" s="5"/>
      <c r="B999" s="3"/>
      <c r="C999" s="3"/>
      <c r="D999" s="3"/>
      <c r="E999" s="3"/>
      <c r="F999" s="3"/>
      <c r="G999" s="3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</row>
    <row r="1000" spans="1:29" ht="14" x14ac:dyDescent="0.15">
      <c r="A1000" s="5"/>
      <c r="B1000" s="3"/>
      <c r="C1000" s="3"/>
      <c r="D1000" s="3"/>
      <c r="E1000" s="3"/>
      <c r="F1000" s="3"/>
      <c r="G1000" s="3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</row>
    <row r="1001" spans="1:29" ht="14" x14ac:dyDescent="0.15">
      <c r="A1001" s="5"/>
      <c r="B1001" s="3"/>
      <c r="C1001" s="3"/>
      <c r="D1001" s="3"/>
      <c r="E1001" s="3"/>
      <c r="F1001" s="3"/>
      <c r="G1001" s="3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</row>
    <row r="1002" spans="1:29" ht="14" x14ac:dyDescent="0.15">
      <c r="A1002" s="5"/>
      <c r="B1002" s="3"/>
      <c r="C1002" s="3"/>
      <c r="D1002" s="3"/>
      <c r="E1002" s="3"/>
      <c r="F1002" s="3"/>
      <c r="G1002" s="3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  <c r="AA1002" s="5"/>
      <c r="AB1002" s="5"/>
      <c r="AC1002" s="5"/>
    </row>
    <row r="1003" spans="1:29" ht="14" x14ac:dyDescent="0.15">
      <c r="A1003" s="5"/>
      <c r="B1003" s="3"/>
      <c r="C1003" s="3"/>
      <c r="D1003" s="3"/>
      <c r="E1003" s="3"/>
      <c r="F1003" s="3"/>
      <c r="G1003" s="3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  <c r="AA1003" s="5"/>
      <c r="AB1003" s="5"/>
      <c r="AC1003" s="5"/>
    </row>
    <row r="1004" spans="1:29" ht="14" x14ac:dyDescent="0.15">
      <c r="A1004" s="5"/>
      <c r="B1004" s="3"/>
      <c r="C1004" s="3"/>
      <c r="D1004" s="3"/>
      <c r="E1004" s="3"/>
      <c r="F1004" s="3"/>
      <c r="G1004" s="3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  <c r="AA1004" s="5"/>
      <c r="AB1004" s="5"/>
      <c r="AC1004" s="5"/>
    </row>
    <row r="1005" spans="1:29" ht="14" x14ac:dyDescent="0.15">
      <c r="A1005" s="5"/>
      <c r="B1005" s="3"/>
      <c r="C1005" s="3"/>
      <c r="D1005" s="3"/>
      <c r="E1005" s="3"/>
      <c r="F1005" s="3"/>
      <c r="G1005" s="3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  <c r="AA1005" s="5"/>
      <c r="AB1005" s="5"/>
      <c r="AC1005" s="5"/>
    </row>
    <row r="1006" spans="1:29" ht="14" x14ac:dyDescent="0.15">
      <c r="A1006" s="5"/>
      <c r="B1006" s="3"/>
      <c r="C1006" s="3"/>
      <c r="D1006" s="3"/>
      <c r="E1006" s="3"/>
      <c r="F1006" s="3"/>
      <c r="G1006" s="3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  <c r="AA1006" s="5"/>
      <c r="AB1006" s="5"/>
      <c r="AC1006" s="5"/>
    </row>
    <row r="1007" spans="1:29" ht="14" x14ac:dyDescent="0.15">
      <c r="A1007" s="5"/>
      <c r="B1007" s="3"/>
      <c r="C1007" s="3"/>
      <c r="D1007" s="3"/>
      <c r="E1007" s="3"/>
      <c r="F1007" s="3"/>
      <c r="G1007" s="3"/>
      <c r="H1007" s="5"/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  <c r="AA1007" s="5"/>
      <c r="AB1007" s="5"/>
      <c r="AC1007" s="5"/>
    </row>
    <row r="1008" spans="1:29" ht="14" x14ac:dyDescent="0.15">
      <c r="A1008" s="5"/>
      <c r="B1008" s="3"/>
      <c r="C1008" s="3"/>
      <c r="D1008" s="3"/>
      <c r="E1008" s="3"/>
      <c r="F1008" s="3"/>
      <c r="G1008" s="3"/>
      <c r="H1008" s="5"/>
      <c r="I1008" s="5"/>
      <c r="J1008" s="5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  <c r="AA1008" s="5"/>
      <c r="AB1008" s="5"/>
      <c r="AC1008" s="5"/>
    </row>
    <row r="1009" spans="1:29" ht="14" x14ac:dyDescent="0.15">
      <c r="A1009" s="5"/>
      <c r="B1009" s="3"/>
      <c r="C1009" s="3"/>
      <c r="D1009" s="3"/>
      <c r="E1009" s="3"/>
      <c r="F1009" s="3"/>
      <c r="G1009" s="3"/>
      <c r="H1009" s="5"/>
      <c r="I1009" s="5"/>
      <c r="J1009" s="5"/>
      <c r="K1009" s="5"/>
      <c r="L1009" s="5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  <c r="Z1009" s="5"/>
      <c r="AA1009" s="5"/>
      <c r="AB1009" s="5"/>
      <c r="AC1009" s="5"/>
    </row>
    <row r="1010" spans="1:29" ht="14" x14ac:dyDescent="0.15">
      <c r="A1010" s="5"/>
      <c r="B1010" s="3"/>
      <c r="C1010" s="3"/>
      <c r="D1010" s="3"/>
      <c r="E1010" s="3"/>
      <c r="F1010" s="3"/>
      <c r="G1010" s="3"/>
      <c r="H1010" s="5"/>
      <c r="I1010" s="5"/>
      <c r="J1010" s="5"/>
      <c r="K1010" s="5"/>
      <c r="L1010" s="5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  <c r="Z1010" s="5"/>
      <c r="AA1010" s="5"/>
      <c r="AB1010" s="5"/>
      <c r="AC1010" s="5"/>
    </row>
    <row r="1011" spans="1:29" ht="14" x14ac:dyDescent="0.15">
      <c r="A1011" s="5"/>
      <c r="B1011" s="3"/>
      <c r="C1011" s="3"/>
      <c r="D1011" s="3"/>
      <c r="E1011" s="3"/>
      <c r="F1011" s="3"/>
      <c r="G1011" s="3"/>
      <c r="H1011" s="5"/>
      <c r="I1011" s="5"/>
      <c r="J1011" s="5"/>
      <c r="K1011" s="5"/>
      <c r="L1011" s="5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  <c r="Z1011" s="5"/>
      <c r="AA1011" s="5"/>
      <c r="AB1011" s="5"/>
      <c r="AC1011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E1027"/>
  <sheetViews>
    <sheetView workbookViewId="0">
      <selection activeCell="A5" sqref="A5:A12"/>
    </sheetView>
  </sheetViews>
  <sheetFormatPr baseColWidth="10" defaultColWidth="14.5" defaultRowHeight="15.75" customHeight="1" x14ac:dyDescent="0.15"/>
  <cols>
    <col min="1" max="1" width="48.1640625" customWidth="1"/>
    <col min="8" max="8" width="20.1640625" hidden="1" customWidth="1"/>
    <col min="9" max="12" width="26.1640625" hidden="1" customWidth="1"/>
    <col min="13" max="13" width="26.1640625" customWidth="1"/>
    <col min="14" max="14" width="26.1640625" hidden="1" customWidth="1"/>
    <col min="15" max="18" width="14.5" hidden="1"/>
  </cols>
  <sheetData>
    <row r="1" spans="1:31" ht="15.75" customHeight="1" x14ac:dyDescent="0.15">
      <c r="A1" s="1" t="s">
        <v>104</v>
      </c>
      <c r="B1" s="2"/>
      <c r="C1" s="3"/>
      <c r="D1" s="3"/>
      <c r="E1" s="2"/>
      <c r="F1" s="2"/>
      <c r="G1" s="2"/>
      <c r="H1" s="4"/>
      <c r="I1" s="4"/>
      <c r="J1" s="4"/>
      <c r="K1" s="4"/>
      <c r="L1" s="4"/>
      <c r="M1" s="4"/>
      <c r="N1" s="21" t="s">
        <v>105</v>
      </c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</row>
    <row r="2" spans="1:31" ht="15.75" customHeight="1" x14ac:dyDescent="0.15">
      <c r="A2" s="6"/>
      <c r="B2" s="22" t="s">
        <v>1</v>
      </c>
      <c r="C2" s="22" t="s">
        <v>2</v>
      </c>
      <c r="D2" s="22" t="s">
        <v>3</v>
      </c>
      <c r="E2" s="22" t="s">
        <v>4</v>
      </c>
      <c r="F2" s="22" t="s">
        <v>5</v>
      </c>
      <c r="G2" s="22" t="s">
        <v>6</v>
      </c>
      <c r="H2" s="23" t="s">
        <v>106</v>
      </c>
      <c r="I2" s="22" t="s">
        <v>107</v>
      </c>
      <c r="J2" s="22" t="s">
        <v>108</v>
      </c>
      <c r="K2" s="22" t="s">
        <v>109</v>
      </c>
      <c r="L2" s="22" t="s">
        <v>110</v>
      </c>
      <c r="M2" s="22"/>
      <c r="N2" s="22"/>
      <c r="O2" s="22" t="s">
        <v>3</v>
      </c>
      <c r="P2" s="22" t="s">
        <v>4</v>
      </c>
      <c r="Q2" s="22" t="s">
        <v>5</v>
      </c>
      <c r="R2" s="22" t="s">
        <v>6</v>
      </c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</row>
    <row r="3" spans="1:31" ht="15.75" customHeight="1" x14ac:dyDescent="0.15">
      <c r="A3" s="24" t="s">
        <v>111</v>
      </c>
      <c r="B3" s="11"/>
      <c r="C3" s="10"/>
      <c r="D3" s="11"/>
      <c r="E3" s="11"/>
      <c r="F3" s="11"/>
      <c r="G3" s="11"/>
      <c r="H3" s="8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</row>
    <row r="4" spans="1:31" ht="15.75" customHeight="1" x14ac:dyDescent="0.15">
      <c r="A4" s="13" t="s">
        <v>112</v>
      </c>
      <c r="B4" s="11"/>
      <c r="C4" s="10"/>
      <c r="D4" s="11"/>
      <c r="E4" s="11"/>
      <c r="F4" s="11"/>
      <c r="G4" s="11"/>
      <c r="H4" s="8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</row>
    <row r="5" spans="1:31" ht="15" x14ac:dyDescent="0.2">
      <c r="A5" s="13" t="s">
        <v>113</v>
      </c>
      <c r="B5" s="11">
        <v>1093456.1000000001</v>
      </c>
      <c r="C5" s="11">
        <v>1254970.45</v>
      </c>
      <c r="D5" s="25">
        <v>1321852.5900000001</v>
      </c>
      <c r="E5" s="26">
        <v>1083418.02</v>
      </c>
      <c r="F5" s="26">
        <v>2347550.52</v>
      </c>
      <c r="G5" s="26">
        <v>1707502.21</v>
      </c>
      <c r="H5" s="8"/>
      <c r="I5" s="4"/>
      <c r="J5" s="4"/>
      <c r="K5" s="4"/>
      <c r="L5" s="4"/>
      <c r="M5" s="4"/>
      <c r="N5" s="4" t="s">
        <v>114</v>
      </c>
      <c r="O5" s="14">
        <f t="shared" ref="O5:R5" si="0">D6+D13</f>
        <v>7515208.6100000003</v>
      </c>
      <c r="P5" s="14">
        <f t="shared" si="0"/>
        <v>10656050.040000001</v>
      </c>
      <c r="Q5" s="14">
        <f t="shared" si="0"/>
        <v>12127826.049999999</v>
      </c>
      <c r="R5" s="14">
        <f t="shared" si="0"/>
        <v>14320694.970000001</v>
      </c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</row>
    <row r="6" spans="1:31" ht="15" x14ac:dyDescent="0.2">
      <c r="A6" s="6" t="s">
        <v>115</v>
      </c>
      <c r="B6" s="11">
        <v>16497.37</v>
      </c>
      <c r="C6" s="11">
        <v>6726.39</v>
      </c>
      <c r="D6" s="25">
        <v>2708.5</v>
      </c>
      <c r="E6" s="26">
        <v>7869.46</v>
      </c>
      <c r="F6" s="26">
        <v>2835.02</v>
      </c>
      <c r="G6" s="26">
        <v>11717.71</v>
      </c>
      <c r="H6" s="8"/>
      <c r="I6" s="4"/>
      <c r="J6" s="4"/>
      <c r="K6" s="4"/>
      <c r="L6" s="4"/>
      <c r="M6" s="4"/>
      <c r="N6" s="4" t="s">
        <v>116</v>
      </c>
      <c r="O6" s="14">
        <f t="shared" ref="O6:R6" si="1">D7+D8+D10+D14+D5</f>
        <v>1366600.49</v>
      </c>
      <c r="P6" s="14">
        <f t="shared" si="1"/>
        <v>1207099.1499999999</v>
      </c>
      <c r="Q6" s="14">
        <f t="shared" si="1"/>
        <v>2457170.88</v>
      </c>
      <c r="R6" s="14">
        <f t="shared" si="1"/>
        <v>1794693.23</v>
      </c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</row>
    <row r="7" spans="1:31" ht="15" x14ac:dyDescent="0.2">
      <c r="A7" s="6" t="s">
        <v>117</v>
      </c>
      <c r="B7" s="11">
        <v>16845.84</v>
      </c>
      <c r="C7" s="11">
        <v>28392.5</v>
      </c>
      <c r="D7" s="25">
        <v>31042.15</v>
      </c>
      <c r="E7" s="26">
        <v>45856.13</v>
      </c>
      <c r="F7" s="26">
        <v>99094.95</v>
      </c>
      <c r="G7" s="26">
        <v>62715</v>
      </c>
      <c r="H7" s="8"/>
      <c r="I7" s="4"/>
      <c r="J7" s="4"/>
      <c r="K7" s="4"/>
      <c r="L7" s="4"/>
      <c r="M7" s="4"/>
      <c r="N7" s="4" t="s">
        <v>118</v>
      </c>
      <c r="O7" s="14">
        <f t="shared" ref="O7:R7" si="2">D11+D12</f>
        <v>143268.42000000001</v>
      </c>
      <c r="P7" s="14">
        <f t="shared" si="2"/>
        <v>154411.76999999999</v>
      </c>
      <c r="Q7" s="14">
        <f t="shared" si="2"/>
        <v>245383.35</v>
      </c>
      <c r="R7" s="14">
        <f t="shared" si="2"/>
        <v>163668.72</v>
      </c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</row>
    <row r="8" spans="1:31" ht="15" x14ac:dyDescent="0.2">
      <c r="A8" s="6" t="s">
        <v>119</v>
      </c>
      <c r="B8" s="11">
        <v>4190</v>
      </c>
      <c r="C8" s="2">
        <v>0</v>
      </c>
      <c r="D8" s="25">
        <v>850</v>
      </c>
      <c r="E8" s="10">
        <v>0</v>
      </c>
      <c r="F8" s="10">
        <v>0</v>
      </c>
      <c r="G8" s="10">
        <v>0</v>
      </c>
      <c r="H8" s="8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</row>
    <row r="9" spans="1:31" ht="15.75" customHeight="1" x14ac:dyDescent="0.15">
      <c r="A9" s="6" t="s">
        <v>120</v>
      </c>
      <c r="B9" s="10">
        <v>0</v>
      </c>
      <c r="C9" s="11">
        <v>23931.57</v>
      </c>
      <c r="D9" s="27">
        <v>0</v>
      </c>
      <c r="E9" s="10">
        <v>0</v>
      </c>
      <c r="F9" s="10">
        <v>0</v>
      </c>
      <c r="G9" s="10">
        <v>0</v>
      </c>
      <c r="H9" s="6"/>
      <c r="I9" s="4"/>
      <c r="J9" s="4"/>
      <c r="K9" s="4"/>
      <c r="L9" s="4"/>
      <c r="M9" s="4"/>
      <c r="N9" s="4" t="s">
        <v>27</v>
      </c>
      <c r="O9" s="14">
        <f t="shared" ref="O9:R9" si="3">SUM(O5:O7)</f>
        <v>9025077.5199999996</v>
      </c>
      <c r="P9" s="14">
        <f t="shared" si="3"/>
        <v>12017560.960000001</v>
      </c>
      <c r="Q9" s="14">
        <f t="shared" si="3"/>
        <v>14830380.279999999</v>
      </c>
      <c r="R9" s="14">
        <f t="shared" si="3"/>
        <v>16279056.920000002</v>
      </c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</row>
    <row r="10" spans="1:31" ht="15" x14ac:dyDescent="0.2">
      <c r="A10" s="6" t="s">
        <v>121</v>
      </c>
      <c r="B10" s="10">
        <v>0</v>
      </c>
      <c r="C10" s="11">
        <v>5555.37</v>
      </c>
      <c r="D10" s="25">
        <v>4755.75</v>
      </c>
      <c r="E10" s="26">
        <v>68525</v>
      </c>
      <c r="F10" s="26">
        <v>10525.41</v>
      </c>
      <c r="G10" s="26">
        <v>24476.02</v>
      </c>
      <c r="H10" s="6"/>
      <c r="I10" s="4"/>
      <c r="J10" s="4"/>
      <c r="K10" s="4"/>
      <c r="L10" s="4"/>
      <c r="M10" s="4"/>
      <c r="N10" s="4" t="s">
        <v>29</v>
      </c>
      <c r="O10" s="14">
        <f t="shared" ref="O10:R10" si="4">O9-D15</f>
        <v>0</v>
      </c>
      <c r="P10" s="14">
        <f t="shared" si="4"/>
        <v>0</v>
      </c>
      <c r="Q10" s="14">
        <f t="shared" si="4"/>
        <v>0</v>
      </c>
      <c r="R10" s="14">
        <f t="shared" si="4"/>
        <v>0</v>
      </c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</row>
    <row r="11" spans="1:31" ht="15" x14ac:dyDescent="0.2">
      <c r="A11" s="6" t="s">
        <v>122</v>
      </c>
      <c r="B11" s="11">
        <v>463</v>
      </c>
      <c r="C11" s="11">
        <v>37</v>
      </c>
      <c r="D11" s="25">
        <v>5504</v>
      </c>
      <c r="E11" s="26">
        <v>819</v>
      </c>
      <c r="F11" s="26">
        <v>252.9</v>
      </c>
      <c r="G11" s="28">
        <v>0</v>
      </c>
      <c r="H11" s="6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</row>
    <row r="12" spans="1:31" ht="15" x14ac:dyDescent="0.2">
      <c r="A12" s="6" t="s">
        <v>123</v>
      </c>
      <c r="B12" s="11">
        <v>126766.68</v>
      </c>
      <c r="C12" s="11">
        <v>112551.43</v>
      </c>
      <c r="D12" s="25">
        <v>137764.42000000001</v>
      </c>
      <c r="E12" s="26">
        <v>153592.76999999999</v>
      </c>
      <c r="F12" s="26">
        <v>245130.45</v>
      </c>
      <c r="G12" s="26">
        <v>163668.72</v>
      </c>
      <c r="H12" s="8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</row>
    <row r="13" spans="1:31" ht="15" x14ac:dyDescent="0.2">
      <c r="A13" s="6" t="s">
        <v>124</v>
      </c>
      <c r="B13" s="11">
        <v>4221609.4800000004</v>
      </c>
      <c r="C13" s="11">
        <v>4691594.22</v>
      </c>
      <c r="D13" s="25">
        <v>7512500.1100000003</v>
      </c>
      <c r="E13" s="26">
        <v>10648180.58</v>
      </c>
      <c r="F13" s="26">
        <v>12124991.029999999</v>
      </c>
      <c r="G13" s="26">
        <v>14308977.26</v>
      </c>
      <c r="H13" s="8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</row>
    <row r="14" spans="1:31" ht="15" x14ac:dyDescent="0.2">
      <c r="A14" s="29" t="s">
        <v>125</v>
      </c>
      <c r="B14" s="10">
        <v>0</v>
      </c>
      <c r="C14" s="10">
        <v>0</v>
      </c>
      <c r="D14" s="26">
        <v>8100</v>
      </c>
      <c r="E14" s="26">
        <v>9300</v>
      </c>
      <c r="F14" s="2">
        <v>0</v>
      </c>
      <c r="G14" s="10">
        <v>0</v>
      </c>
      <c r="H14" s="6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4" t="s">
        <v>126</v>
      </c>
      <c r="V14" s="30">
        <f>(G15/B15)^(1/5)-1</f>
        <v>0.24329004267163312</v>
      </c>
      <c r="W14" s="5"/>
      <c r="X14" s="5"/>
      <c r="Y14" s="5"/>
      <c r="Z14" s="5"/>
      <c r="AA14" s="5"/>
      <c r="AB14" s="5"/>
      <c r="AC14" s="5"/>
      <c r="AD14" s="5"/>
      <c r="AE14" s="5"/>
    </row>
    <row r="15" spans="1:31" ht="15" x14ac:dyDescent="0.2">
      <c r="A15" s="31" t="s">
        <v>127</v>
      </c>
      <c r="B15" s="32">
        <v>5479828.4699999997</v>
      </c>
      <c r="C15" s="32">
        <v>6123758.9299999997</v>
      </c>
      <c r="D15" s="33">
        <v>9025077.5199999996</v>
      </c>
      <c r="E15" s="33">
        <v>12017560.960000001</v>
      </c>
      <c r="F15" s="33">
        <v>14830380.279999999</v>
      </c>
      <c r="G15" s="34">
        <v>16279056.92</v>
      </c>
      <c r="H15" s="35">
        <v>17106929</v>
      </c>
      <c r="I15" s="36"/>
      <c r="J15" s="36"/>
      <c r="K15" s="36"/>
      <c r="L15" s="36"/>
      <c r="M15" s="5"/>
      <c r="N15" s="5"/>
      <c r="O15" s="5"/>
      <c r="P15" s="5"/>
      <c r="Q15" s="5"/>
      <c r="R15" s="5"/>
      <c r="S15" s="5"/>
      <c r="T15" s="5"/>
      <c r="U15" s="4" t="s">
        <v>128</v>
      </c>
      <c r="V15" s="30">
        <f>(G15/E15)^(1/2)-1</f>
        <v>0.16387530628587954</v>
      </c>
      <c r="W15" s="5"/>
      <c r="X15" s="5"/>
      <c r="Y15" s="5"/>
      <c r="Z15" s="5"/>
      <c r="AA15" s="5"/>
      <c r="AB15" s="5"/>
      <c r="AC15" s="5"/>
      <c r="AD15" s="5"/>
      <c r="AE15" s="5"/>
    </row>
    <row r="16" spans="1:31" ht="15.75" customHeight="1" x14ac:dyDescent="0.15">
      <c r="A16" s="6" t="s">
        <v>129</v>
      </c>
      <c r="B16" s="11"/>
      <c r="C16" s="37">
        <f t="shared" ref="C16:H16" si="5">C15/B15-1</f>
        <v>0.1175092365619248</v>
      </c>
      <c r="D16" s="37">
        <f t="shared" si="5"/>
        <v>0.47378066693425502</v>
      </c>
      <c r="E16" s="37">
        <f t="shared" si="5"/>
        <v>0.33157426441695548</v>
      </c>
      <c r="F16" s="37">
        <f t="shared" si="5"/>
        <v>0.23405908481449456</v>
      </c>
      <c r="G16" s="37">
        <f t="shared" si="5"/>
        <v>9.7683040667113641E-2</v>
      </c>
      <c r="H16" s="37">
        <f t="shared" si="5"/>
        <v>5.085503933479707E-2</v>
      </c>
      <c r="I16" s="38"/>
      <c r="J16" s="38"/>
      <c r="K16" s="38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</row>
    <row r="17" spans="1:31" ht="15" x14ac:dyDescent="0.2">
      <c r="A17" s="6" t="s">
        <v>130</v>
      </c>
      <c r="B17" s="11">
        <v>2972486.13</v>
      </c>
      <c r="C17" s="11">
        <v>3782894.18</v>
      </c>
      <c r="D17" s="26">
        <v>5903799.46</v>
      </c>
      <c r="E17" s="26">
        <v>8394487.2699999996</v>
      </c>
      <c r="F17" s="26">
        <v>9672436.6199999992</v>
      </c>
      <c r="G17" s="26">
        <v>10011020.85</v>
      </c>
      <c r="H17" s="8">
        <f>H15-16300000</f>
        <v>806929</v>
      </c>
      <c r="I17" s="39"/>
      <c r="J17" s="39"/>
      <c r="K17" s="39"/>
      <c r="L17" s="39"/>
      <c r="M17" s="4"/>
      <c r="N17" s="4" t="s">
        <v>114</v>
      </c>
      <c r="O17" s="14">
        <f t="shared" ref="O17:R17" si="6">D17+D18</f>
        <v>6054366.8799999999</v>
      </c>
      <c r="P17" s="14">
        <f t="shared" si="6"/>
        <v>8494640.0299999993</v>
      </c>
      <c r="Q17" s="14">
        <f t="shared" si="6"/>
        <v>9795894.3399999999</v>
      </c>
      <c r="R17" s="14">
        <f t="shared" si="6"/>
        <v>10135068.529999999</v>
      </c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</row>
    <row r="18" spans="1:31" ht="15" x14ac:dyDescent="0.2">
      <c r="A18" s="6" t="s">
        <v>131</v>
      </c>
      <c r="B18" s="11">
        <v>44089.35</v>
      </c>
      <c r="C18" s="11">
        <v>97666.1</v>
      </c>
      <c r="D18" s="26">
        <v>150567.42000000001</v>
      </c>
      <c r="E18" s="26">
        <v>100152.76</v>
      </c>
      <c r="F18" s="26">
        <v>123457.72</v>
      </c>
      <c r="G18" s="26">
        <v>124047.67999999999</v>
      </c>
      <c r="H18" s="8">
        <f>IF(H17*0.15&lt;333333,H17*0.15,333333)</f>
        <v>121039.34999999999</v>
      </c>
      <c r="I18" s="39"/>
      <c r="J18" s="39"/>
      <c r="K18" s="39"/>
      <c r="L18" s="39"/>
      <c r="M18" s="4"/>
      <c r="N18" s="4" t="s">
        <v>116</v>
      </c>
      <c r="O18" s="14">
        <f t="shared" ref="O18:R18" si="7">D20+D26+D27+D29+D30+D31+D32+D33</f>
        <v>706776.52</v>
      </c>
      <c r="P18" s="14">
        <f t="shared" si="7"/>
        <v>694563.49</v>
      </c>
      <c r="Q18" s="14">
        <f t="shared" si="7"/>
        <v>1058189.1000000001</v>
      </c>
      <c r="R18" s="14">
        <f t="shared" si="7"/>
        <v>1563773.47</v>
      </c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</row>
    <row r="19" spans="1:31" ht="15.75" customHeight="1" x14ac:dyDescent="0.15">
      <c r="A19" s="6" t="s">
        <v>132</v>
      </c>
      <c r="B19" s="10">
        <v>0</v>
      </c>
      <c r="C19" s="10">
        <v>0</v>
      </c>
      <c r="D19" s="10">
        <v>0</v>
      </c>
      <c r="E19" s="10">
        <v>0</v>
      </c>
      <c r="F19" s="10">
        <v>0</v>
      </c>
      <c r="G19" s="40">
        <v>-4676.3</v>
      </c>
      <c r="H19" s="17"/>
      <c r="I19" s="4"/>
      <c r="J19" s="4"/>
      <c r="K19" s="4"/>
      <c r="L19" s="4"/>
      <c r="M19" s="4"/>
      <c r="N19" s="4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</row>
    <row r="20" spans="1:31" ht="15" x14ac:dyDescent="0.2">
      <c r="A20" s="6" t="s">
        <v>133</v>
      </c>
      <c r="B20" s="11">
        <v>87.37</v>
      </c>
      <c r="C20" s="11">
        <v>2672.97</v>
      </c>
      <c r="D20" s="26">
        <v>244508.2</v>
      </c>
      <c r="E20" s="26">
        <v>220603.14</v>
      </c>
      <c r="F20" s="26">
        <v>462281.02</v>
      </c>
      <c r="G20" s="26">
        <v>562938.65</v>
      </c>
      <c r="H20" s="17"/>
      <c r="I20" s="4"/>
      <c r="J20" s="4"/>
      <c r="K20" s="4"/>
      <c r="L20" s="4"/>
      <c r="M20" s="4"/>
      <c r="N20" s="4" t="s">
        <v>118</v>
      </c>
      <c r="O20" s="14">
        <f t="shared" ref="O20:R20" si="8">D21+D22+D23+D24+D25+D28+D19</f>
        <v>235590.94999999998</v>
      </c>
      <c r="P20" s="14">
        <f t="shared" si="8"/>
        <v>277708.01</v>
      </c>
      <c r="Q20" s="14">
        <f t="shared" si="8"/>
        <v>280897.65000000002</v>
      </c>
      <c r="R20" s="14">
        <f t="shared" si="8"/>
        <v>328466.49</v>
      </c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</row>
    <row r="21" spans="1:31" ht="15" x14ac:dyDescent="0.2">
      <c r="A21" s="6" t="s">
        <v>134</v>
      </c>
      <c r="B21" s="11">
        <v>7910.35</v>
      </c>
      <c r="C21" s="11">
        <v>171.6</v>
      </c>
      <c r="D21" s="26">
        <v>1604.78</v>
      </c>
      <c r="E21" s="18">
        <v>0</v>
      </c>
      <c r="F21" s="26">
        <v>4334.04</v>
      </c>
      <c r="G21" s="10">
        <v>0</v>
      </c>
      <c r="H21" s="8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</row>
    <row r="22" spans="1:31" ht="15" x14ac:dyDescent="0.2">
      <c r="A22" s="6" t="s">
        <v>135</v>
      </c>
      <c r="B22" s="11">
        <v>8964.8799999999992</v>
      </c>
      <c r="C22" s="10">
        <v>0</v>
      </c>
      <c r="D22" s="26">
        <v>3596.34</v>
      </c>
      <c r="E22" s="10">
        <v>0</v>
      </c>
      <c r="F22" s="10">
        <v>0</v>
      </c>
      <c r="G22" s="10">
        <v>0</v>
      </c>
      <c r="H22" s="8"/>
      <c r="I22" s="4"/>
      <c r="J22" s="4"/>
      <c r="K22" s="4"/>
      <c r="L22" s="4"/>
      <c r="M22" s="4"/>
      <c r="N22" s="4" t="s">
        <v>27</v>
      </c>
      <c r="O22" s="14">
        <f t="shared" ref="O22:R22" si="9">SUM(O17:O20)</f>
        <v>6996734.3500000006</v>
      </c>
      <c r="P22" s="14">
        <f t="shared" si="9"/>
        <v>9466911.5299999993</v>
      </c>
      <c r="Q22" s="14">
        <f t="shared" si="9"/>
        <v>11134981.09</v>
      </c>
      <c r="R22" s="14">
        <f t="shared" si="9"/>
        <v>12027308.49</v>
      </c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</row>
    <row r="23" spans="1:31" ht="15" x14ac:dyDescent="0.2">
      <c r="A23" s="6" t="s">
        <v>136</v>
      </c>
      <c r="B23" s="10">
        <v>0</v>
      </c>
      <c r="C23" s="11">
        <v>275</v>
      </c>
      <c r="D23" s="26">
        <v>1276.8</v>
      </c>
      <c r="E23" s="26">
        <v>17996.759999999998</v>
      </c>
      <c r="F23" s="26">
        <v>44621.75</v>
      </c>
      <c r="G23" s="26">
        <v>40183.160000000003</v>
      </c>
      <c r="H23" s="8"/>
      <c r="I23" s="4"/>
      <c r="J23" s="4"/>
      <c r="K23" s="4"/>
      <c r="L23" s="4"/>
      <c r="M23" s="4"/>
      <c r="N23" s="4" t="s">
        <v>137</v>
      </c>
      <c r="O23" s="14">
        <f t="shared" ref="O23:R23" si="10">O22-D34</f>
        <v>0</v>
      </c>
      <c r="P23" s="14">
        <f t="shared" si="10"/>
        <v>0</v>
      </c>
      <c r="Q23" s="14">
        <f t="shared" si="10"/>
        <v>0</v>
      </c>
      <c r="R23" s="14">
        <f t="shared" si="10"/>
        <v>0</v>
      </c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</row>
    <row r="24" spans="1:31" ht="15" x14ac:dyDescent="0.2">
      <c r="A24" s="6" t="s">
        <v>138</v>
      </c>
      <c r="B24" s="11">
        <v>88366.8</v>
      </c>
      <c r="C24" s="11">
        <v>86629</v>
      </c>
      <c r="D24" s="26">
        <v>54409.599999999999</v>
      </c>
      <c r="E24" s="26">
        <v>36598.800000000003</v>
      </c>
      <c r="F24" s="26">
        <v>53979.199999999997</v>
      </c>
      <c r="G24" s="26">
        <v>96108.2</v>
      </c>
      <c r="H24" s="8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</row>
    <row r="25" spans="1:31" ht="15" x14ac:dyDescent="0.2">
      <c r="A25" s="6" t="s">
        <v>139</v>
      </c>
      <c r="B25" s="10">
        <v>0</v>
      </c>
      <c r="C25" s="11">
        <v>823.84</v>
      </c>
      <c r="D25" s="10">
        <v>0</v>
      </c>
      <c r="E25" s="10">
        <v>0</v>
      </c>
      <c r="F25" s="10">
        <v>0</v>
      </c>
      <c r="G25" s="26">
        <v>4037.16</v>
      </c>
      <c r="H25" s="8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</row>
    <row r="26" spans="1:31" ht="15" x14ac:dyDescent="0.2">
      <c r="A26" s="6" t="s">
        <v>140</v>
      </c>
      <c r="B26" s="11">
        <v>1540</v>
      </c>
      <c r="C26" s="11">
        <v>7422</v>
      </c>
      <c r="D26" s="26">
        <v>5702</v>
      </c>
      <c r="E26" s="26">
        <v>63221</v>
      </c>
      <c r="F26" s="26">
        <v>13365</v>
      </c>
      <c r="G26" s="26">
        <v>38191</v>
      </c>
      <c r="H26" s="8"/>
      <c r="I26" s="5"/>
      <c r="J26" s="5"/>
      <c r="K26" s="5"/>
      <c r="L26" s="4"/>
      <c r="M26" s="4"/>
      <c r="N26" s="41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</row>
    <row r="27" spans="1:31" ht="15" x14ac:dyDescent="0.2">
      <c r="A27" s="6" t="s">
        <v>141</v>
      </c>
      <c r="B27" s="11">
        <v>900.3</v>
      </c>
      <c r="C27" s="11">
        <v>2402.04</v>
      </c>
      <c r="D27" s="26">
        <v>1930.97</v>
      </c>
      <c r="E27" s="26">
        <v>1205.83</v>
      </c>
      <c r="F27" s="26">
        <v>19711.34</v>
      </c>
      <c r="G27" s="26">
        <v>8761.43</v>
      </c>
      <c r="H27" s="8"/>
      <c r="I27" s="5"/>
      <c r="J27" s="5"/>
      <c r="K27" s="5"/>
      <c r="L27" s="5"/>
      <c r="M27" s="5"/>
      <c r="N27" s="5"/>
      <c r="O27" s="4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</row>
    <row r="28" spans="1:31" ht="15" x14ac:dyDescent="0.2">
      <c r="A28" s="6" t="s">
        <v>142</v>
      </c>
      <c r="B28" s="11">
        <v>140537.76999999999</v>
      </c>
      <c r="C28" s="11">
        <v>147189.56</v>
      </c>
      <c r="D28" s="26">
        <v>174703.43</v>
      </c>
      <c r="E28" s="26">
        <v>223112.45</v>
      </c>
      <c r="F28" s="26">
        <v>177962.66</v>
      </c>
      <c r="G28" s="26">
        <v>192814.27</v>
      </c>
      <c r="H28" s="6"/>
      <c r="I28" s="5"/>
      <c r="J28" s="5"/>
      <c r="K28" s="5"/>
      <c r="L28" s="5"/>
      <c r="M28" s="5"/>
      <c r="N28" s="5"/>
      <c r="O28" s="41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</row>
    <row r="29" spans="1:31" ht="15" x14ac:dyDescent="0.2">
      <c r="A29" s="6" t="s">
        <v>143</v>
      </c>
      <c r="B29" s="11">
        <v>31287.62</v>
      </c>
      <c r="C29" s="11">
        <v>22285.57</v>
      </c>
      <c r="D29" s="26">
        <v>32973.82</v>
      </c>
      <c r="E29" s="26">
        <v>30149.07</v>
      </c>
      <c r="F29" s="26">
        <v>44228.95</v>
      </c>
      <c r="G29" s="26">
        <v>49853.14</v>
      </c>
      <c r="H29" s="8"/>
      <c r="I29" s="5"/>
      <c r="J29" s="5"/>
      <c r="K29" s="5"/>
      <c r="L29" s="5"/>
      <c r="M29" s="5"/>
      <c r="N29" s="5"/>
      <c r="O29" s="41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</row>
    <row r="30" spans="1:31" ht="15" x14ac:dyDescent="0.2">
      <c r="A30" s="6" t="s">
        <v>144</v>
      </c>
      <c r="B30" s="11">
        <v>124192.07</v>
      </c>
      <c r="C30" s="11">
        <v>219378.06</v>
      </c>
      <c r="D30" s="26">
        <v>294325.87</v>
      </c>
      <c r="E30" s="26">
        <v>231021.5</v>
      </c>
      <c r="F30" s="26">
        <v>153814.16</v>
      </c>
      <c r="G30" s="26">
        <v>545931.44999999995</v>
      </c>
      <c r="H30" s="8"/>
      <c r="I30" s="5"/>
      <c r="J30" s="5"/>
      <c r="K30" s="5"/>
      <c r="L30" s="5"/>
      <c r="M30" s="5"/>
      <c r="N30" s="5"/>
      <c r="O30" s="41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</row>
    <row r="31" spans="1:31" ht="15" x14ac:dyDescent="0.2">
      <c r="A31" s="6" t="s">
        <v>145</v>
      </c>
      <c r="B31" s="11">
        <v>1819</v>
      </c>
      <c r="C31" s="11">
        <v>650</v>
      </c>
      <c r="D31" s="26">
        <v>1800</v>
      </c>
      <c r="E31" s="26">
        <v>500</v>
      </c>
      <c r="F31" s="28">
        <v>0</v>
      </c>
      <c r="G31" s="26">
        <v>240</v>
      </c>
      <c r="H31" s="17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</row>
    <row r="32" spans="1:31" ht="15" x14ac:dyDescent="0.2">
      <c r="A32" s="6" t="s">
        <v>146</v>
      </c>
      <c r="B32" s="11">
        <v>122985.06</v>
      </c>
      <c r="C32" s="11">
        <v>130823.36</v>
      </c>
      <c r="D32" s="26">
        <v>123136.89</v>
      </c>
      <c r="E32" s="26">
        <v>144947.20000000001</v>
      </c>
      <c r="F32" s="26">
        <v>354965.89</v>
      </c>
      <c r="G32" s="26">
        <v>353702.71</v>
      </c>
      <c r="H32" s="8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</row>
    <row r="33" spans="1:31" ht="15" x14ac:dyDescent="0.2">
      <c r="A33" s="6" t="s">
        <v>147</v>
      </c>
      <c r="B33" s="11">
        <v>2088.86</v>
      </c>
      <c r="C33" s="11">
        <v>8072.31</v>
      </c>
      <c r="D33" s="26">
        <v>2398.77</v>
      </c>
      <c r="E33" s="26">
        <v>2915.75</v>
      </c>
      <c r="F33" s="26">
        <v>9822.74</v>
      </c>
      <c r="G33" s="26">
        <v>4155.09</v>
      </c>
      <c r="H33" s="8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</row>
    <row r="34" spans="1:31" ht="15" x14ac:dyDescent="0.2">
      <c r="A34" s="6" t="s">
        <v>148</v>
      </c>
      <c r="B34" s="11">
        <v>3547255.56</v>
      </c>
      <c r="C34" s="11">
        <v>4509355.59</v>
      </c>
      <c r="D34" s="26">
        <v>6996734.3499999996</v>
      </c>
      <c r="E34" s="26">
        <v>9466911.5299999993</v>
      </c>
      <c r="F34" s="26">
        <v>11134981.09</v>
      </c>
      <c r="G34" s="26">
        <v>12027308.49</v>
      </c>
      <c r="H34" s="8">
        <f>SUM(G17:G33)</f>
        <v>12027308.489999998</v>
      </c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</row>
    <row r="35" spans="1:31" ht="15" x14ac:dyDescent="0.2">
      <c r="A35" s="6" t="s">
        <v>149</v>
      </c>
      <c r="B35" s="11">
        <v>1932572.91</v>
      </c>
      <c r="C35" s="11">
        <v>1614403.34</v>
      </c>
      <c r="D35" s="26">
        <v>2028343.17</v>
      </c>
      <c r="E35" s="26">
        <v>2550649.4300000002</v>
      </c>
      <c r="F35" s="26">
        <v>3695399.19</v>
      </c>
      <c r="G35" s="26">
        <v>4251748.43</v>
      </c>
      <c r="H35" s="8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</row>
    <row r="36" spans="1:31" ht="15.75" customHeight="1" x14ac:dyDescent="0.15">
      <c r="A36" s="42" t="s">
        <v>150</v>
      </c>
      <c r="B36" s="53">
        <f t="shared" ref="B36:F36" si="11">B35/B15</f>
        <v>0.35267032911342205</v>
      </c>
      <c r="C36" s="53">
        <f t="shared" si="11"/>
        <v>0.26362947308247486</v>
      </c>
      <c r="D36" s="53">
        <f t="shared" si="11"/>
        <v>0.22474523520768605</v>
      </c>
      <c r="E36" s="53">
        <f t="shared" si="11"/>
        <v>0.21224351917079853</v>
      </c>
      <c r="F36" s="53">
        <f t="shared" si="11"/>
        <v>0.24917764212584306</v>
      </c>
      <c r="G36" s="53">
        <f>G35/G15</f>
        <v>0.26117903825106842</v>
      </c>
      <c r="H36" s="6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</row>
    <row r="37" spans="1:31" ht="15" x14ac:dyDescent="0.2">
      <c r="A37" s="6" t="s">
        <v>151</v>
      </c>
      <c r="B37" s="11">
        <v>22594.55</v>
      </c>
      <c r="C37" s="11">
        <v>9949.69</v>
      </c>
      <c r="D37" s="26">
        <v>10610.69</v>
      </c>
      <c r="E37" s="26">
        <v>14530.17</v>
      </c>
      <c r="F37" s="26">
        <v>10441.52</v>
      </c>
      <c r="G37" s="26">
        <v>11082.24</v>
      </c>
      <c r="H37" s="8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</row>
    <row r="38" spans="1:31" ht="15" x14ac:dyDescent="0.2">
      <c r="A38" s="6" t="s">
        <v>152</v>
      </c>
      <c r="B38" s="11">
        <v>1050.5</v>
      </c>
      <c r="C38" s="11">
        <v>278</v>
      </c>
      <c r="D38" s="26">
        <v>1600</v>
      </c>
      <c r="E38" s="10">
        <v>0</v>
      </c>
      <c r="F38" s="10">
        <v>0</v>
      </c>
      <c r="G38" s="10">
        <v>0</v>
      </c>
      <c r="H38" s="8"/>
      <c r="I38" s="4"/>
      <c r="J38" s="4"/>
      <c r="K38" s="4"/>
      <c r="L38" s="4"/>
      <c r="M38" s="4"/>
      <c r="N38" s="4" t="s">
        <v>153</v>
      </c>
      <c r="O38" s="14">
        <f t="shared" ref="O38:R38" si="12">D117-O39</f>
        <v>1322486.4400000002</v>
      </c>
      <c r="P38" s="14">
        <f t="shared" si="12"/>
        <v>1733323.8699999999</v>
      </c>
      <c r="Q38" s="14">
        <f t="shared" si="12"/>
        <v>2115986.46</v>
      </c>
      <c r="R38" s="14">
        <f t="shared" si="12"/>
        <v>2076121.95</v>
      </c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</row>
    <row r="39" spans="1:31" ht="15" x14ac:dyDescent="0.2">
      <c r="A39" s="6" t="s">
        <v>154</v>
      </c>
      <c r="B39" s="11">
        <v>623</v>
      </c>
      <c r="C39" s="11">
        <v>405</v>
      </c>
      <c r="D39" s="10">
        <v>0</v>
      </c>
      <c r="E39" s="26">
        <v>774.69</v>
      </c>
      <c r="F39" s="26">
        <v>386.91</v>
      </c>
      <c r="G39" s="26">
        <v>105</v>
      </c>
      <c r="H39" s="8"/>
      <c r="I39" s="4"/>
      <c r="J39" s="4"/>
      <c r="K39" s="4"/>
      <c r="L39" s="4"/>
      <c r="M39" s="4"/>
      <c r="N39" s="4" t="s">
        <v>155</v>
      </c>
      <c r="O39" s="14">
        <f t="shared" ref="O39:R39" si="13">D69+D104+D105+D108</f>
        <v>68330.149999999994</v>
      </c>
      <c r="P39" s="14">
        <f t="shared" si="13"/>
        <v>39033.03</v>
      </c>
      <c r="Q39" s="14">
        <f t="shared" si="13"/>
        <v>59923.700000000004</v>
      </c>
      <c r="R39" s="14">
        <f t="shared" si="13"/>
        <v>24609.59</v>
      </c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</row>
    <row r="40" spans="1:31" ht="15" x14ac:dyDescent="0.2">
      <c r="A40" s="6" t="s">
        <v>156</v>
      </c>
      <c r="B40" s="11">
        <v>7451.75</v>
      </c>
      <c r="C40" s="11">
        <v>5645.7</v>
      </c>
      <c r="D40" s="26">
        <v>490.95</v>
      </c>
      <c r="E40" s="26">
        <v>1494.55</v>
      </c>
      <c r="F40" s="26">
        <v>500</v>
      </c>
      <c r="G40" s="26">
        <v>18728.63</v>
      </c>
      <c r="H40" s="17"/>
      <c r="I40" s="4"/>
      <c r="J40" s="4"/>
      <c r="K40" s="4"/>
      <c r="L40" s="4"/>
      <c r="M40" s="4"/>
      <c r="N40" s="4" t="s">
        <v>157</v>
      </c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</row>
    <row r="41" spans="1:31" ht="15" x14ac:dyDescent="0.2">
      <c r="A41" s="6" t="s">
        <v>158</v>
      </c>
      <c r="B41" s="10">
        <v>0</v>
      </c>
      <c r="C41" s="11">
        <v>16011.02</v>
      </c>
      <c r="D41" s="26">
        <v>8623.11</v>
      </c>
      <c r="E41" s="26">
        <v>7796.86</v>
      </c>
      <c r="F41" s="26">
        <v>8886.1299999999992</v>
      </c>
      <c r="G41" s="26">
        <v>7685.16</v>
      </c>
      <c r="H41" s="8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</row>
    <row r="42" spans="1:31" ht="15" x14ac:dyDescent="0.2">
      <c r="A42" s="6" t="s">
        <v>159</v>
      </c>
      <c r="B42" s="11">
        <v>8118</v>
      </c>
      <c r="C42" s="11">
        <v>24458.32</v>
      </c>
      <c r="D42" s="26">
        <v>21334.25</v>
      </c>
      <c r="E42" s="26">
        <v>11809.11</v>
      </c>
      <c r="F42" s="26">
        <v>42009.99</v>
      </c>
      <c r="G42" s="26">
        <v>6226.53</v>
      </c>
      <c r="H42" s="8"/>
      <c r="I42" s="4"/>
      <c r="J42" s="4"/>
      <c r="K42" s="4"/>
      <c r="L42" s="4"/>
      <c r="M42" s="4"/>
      <c r="N42" s="4" t="s">
        <v>160</v>
      </c>
      <c r="O42" s="14">
        <f t="shared" ref="O42:R42" si="14">O9-O22-O38-O39</f>
        <v>637526.57999999879</v>
      </c>
      <c r="P42" s="14">
        <f t="shared" si="14"/>
        <v>778292.53000000166</v>
      </c>
      <c r="Q42" s="14">
        <f t="shared" si="14"/>
        <v>1519489.0299999996</v>
      </c>
      <c r="R42" s="14">
        <f t="shared" si="14"/>
        <v>2151016.8900000015</v>
      </c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</row>
    <row r="43" spans="1:31" ht="15" x14ac:dyDescent="0.2">
      <c r="A43" s="6" t="s">
        <v>161</v>
      </c>
      <c r="B43" s="11">
        <v>31506.85</v>
      </c>
      <c r="C43" s="11">
        <v>2673.35</v>
      </c>
      <c r="D43" s="26">
        <v>3912.2</v>
      </c>
      <c r="E43" s="26">
        <v>3982.27</v>
      </c>
      <c r="F43" s="26">
        <v>2927.4</v>
      </c>
      <c r="G43" s="26">
        <v>3066.05</v>
      </c>
      <c r="H43" s="8"/>
      <c r="I43" s="4"/>
      <c r="J43" s="4"/>
      <c r="K43" s="4"/>
      <c r="L43" s="4"/>
      <c r="M43" s="4"/>
      <c r="N43" s="4" t="s">
        <v>162</v>
      </c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</row>
    <row r="44" spans="1:31" ht="15" x14ac:dyDescent="0.2">
      <c r="A44" s="6" t="s">
        <v>163</v>
      </c>
      <c r="B44" s="11">
        <v>132</v>
      </c>
      <c r="C44" s="10">
        <v>0</v>
      </c>
      <c r="D44" s="26">
        <v>1311.21</v>
      </c>
      <c r="E44" s="26">
        <v>720</v>
      </c>
      <c r="F44" s="26">
        <v>220</v>
      </c>
      <c r="G44" s="26">
        <v>1000</v>
      </c>
      <c r="H44" s="8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</row>
    <row r="45" spans="1:31" ht="15" x14ac:dyDescent="0.2">
      <c r="A45" s="6" t="s">
        <v>164</v>
      </c>
      <c r="B45" s="11">
        <v>7140.03</v>
      </c>
      <c r="C45" s="11">
        <v>959.31</v>
      </c>
      <c r="D45" s="10">
        <v>0</v>
      </c>
      <c r="E45" s="26">
        <v>310.95</v>
      </c>
      <c r="F45" s="26">
        <v>827.28</v>
      </c>
      <c r="G45" s="26">
        <v>275.64</v>
      </c>
      <c r="H45" s="8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</row>
    <row r="46" spans="1:31" ht="15" x14ac:dyDescent="0.2">
      <c r="A46" s="6" t="s">
        <v>165</v>
      </c>
      <c r="B46" s="11">
        <v>2203.15</v>
      </c>
      <c r="C46" s="11">
        <v>1380.93</v>
      </c>
      <c r="D46" s="26">
        <v>8828.16</v>
      </c>
      <c r="E46" s="26">
        <v>9839.19</v>
      </c>
      <c r="F46" s="26">
        <v>2369.7399999999998</v>
      </c>
      <c r="G46" s="26">
        <v>2923.65</v>
      </c>
      <c r="H46" s="8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</row>
    <row r="47" spans="1:31" ht="15" x14ac:dyDescent="0.2">
      <c r="A47" s="6" t="s">
        <v>166</v>
      </c>
      <c r="B47" s="11">
        <v>26278.78</v>
      </c>
      <c r="C47" s="11">
        <v>28925.5</v>
      </c>
      <c r="D47" s="26">
        <v>31792.38</v>
      </c>
      <c r="E47" s="26">
        <v>32506.73</v>
      </c>
      <c r="F47" s="26">
        <v>33261</v>
      </c>
      <c r="G47" s="26">
        <v>25240.55</v>
      </c>
      <c r="H47" s="8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</row>
    <row r="48" spans="1:31" ht="15" x14ac:dyDescent="0.2">
      <c r="A48" s="6" t="s">
        <v>167</v>
      </c>
      <c r="B48" s="11">
        <v>72607.45</v>
      </c>
      <c r="C48" s="11">
        <v>78129.429999999993</v>
      </c>
      <c r="D48" s="26">
        <v>63102.05</v>
      </c>
      <c r="E48" s="26">
        <v>80557.179999999993</v>
      </c>
      <c r="F48" s="26">
        <v>52823.21</v>
      </c>
      <c r="G48" s="26">
        <v>95643.09</v>
      </c>
      <c r="H48" s="8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</row>
    <row r="49" spans="1:31" ht="15" x14ac:dyDescent="0.2">
      <c r="A49" s="29" t="s">
        <v>168</v>
      </c>
      <c r="B49" s="10">
        <v>0</v>
      </c>
      <c r="C49" s="10">
        <v>0</v>
      </c>
      <c r="D49" s="28">
        <v>0</v>
      </c>
      <c r="E49" s="28">
        <v>0</v>
      </c>
      <c r="F49" s="28">
        <v>0</v>
      </c>
      <c r="G49" s="26">
        <v>1973.04</v>
      </c>
      <c r="H49" s="17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</row>
    <row r="50" spans="1:31" ht="15" x14ac:dyDescent="0.2">
      <c r="A50" s="6" t="s">
        <v>169</v>
      </c>
      <c r="B50" s="11">
        <v>8426.17</v>
      </c>
      <c r="C50" s="11">
        <v>8285.6200000000008</v>
      </c>
      <c r="D50" s="26">
        <v>6798.96</v>
      </c>
      <c r="E50" s="26">
        <v>7985.42</v>
      </c>
      <c r="F50" s="26">
        <v>10404.06</v>
      </c>
      <c r="G50" s="26">
        <v>5734.87</v>
      </c>
      <c r="H50" s="17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</row>
    <row r="51" spans="1:31" ht="15" x14ac:dyDescent="0.2">
      <c r="A51" s="6" t="s">
        <v>170</v>
      </c>
      <c r="B51" s="11">
        <v>1803</v>
      </c>
      <c r="C51" s="11">
        <v>1433.09</v>
      </c>
      <c r="D51" s="26">
        <v>916.63</v>
      </c>
      <c r="E51" s="26">
        <v>1114.6400000000001</v>
      </c>
      <c r="F51" s="26">
        <v>1152.71</v>
      </c>
      <c r="G51" s="26">
        <v>1229.49</v>
      </c>
      <c r="H51" s="8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</row>
    <row r="52" spans="1:31" ht="15" x14ac:dyDescent="0.2">
      <c r="A52" s="6" t="s">
        <v>171</v>
      </c>
      <c r="B52" s="11">
        <v>398.4</v>
      </c>
      <c r="C52" s="11">
        <v>795.68</v>
      </c>
      <c r="D52" s="26">
        <v>272.73</v>
      </c>
      <c r="E52" s="26">
        <v>986.13</v>
      </c>
      <c r="F52" s="26">
        <v>520</v>
      </c>
      <c r="G52" s="26">
        <v>987.56</v>
      </c>
      <c r="H52" s="8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</row>
    <row r="53" spans="1:31" ht="15" x14ac:dyDescent="0.2">
      <c r="A53" s="6" t="s">
        <v>172</v>
      </c>
      <c r="B53" s="11">
        <v>348.16</v>
      </c>
      <c r="C53" s="11">
        <v>859.76</v>
      </c>
      <c r="D53" s="10">
        <v>0</v>
      </c>
      <c r="E53" s="26">
        <v>1310.1099999999999</v>
      </c>
      <c r="F53" s="26">
        <v>480.81</v>
      </c>
      <c r="G53" s="26">
        <v>1278.69</v>
      </c>
      <c r="H53" s="6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</row>
    <row r="54" spans="1:31" ht="15" x14ac:dyDescent="0.2">
      <c r="A54" s="6" t="s">
        <v>173</v>
      </c>
      <c r="B54" s="11">
        <v>1434.91</v>
      </c>
      <c r="C54" s="11">
        <v>2923.97</v>
      </c>
      <c r="D54" s="26">
        <v>734.56</v>
      </c>
      <c r="E54" s="26">
        <v>2521.21</v>
      </c>
      <c r="F54" s="26">
        <v>876.54</v>
      </c>
      <c r="G54" s="26">
        <v>4778.78</v>
      </c>
      <c r="H54" s="6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</row>
    <row r="55" spans="1:31" ht="15" x14ac:dyDescent="0.2">
      <c r="A55" s="6" t="s">
        <v>174</v>
      </c>
      <c r="B55" s="11">
        <v>191.21</v>
      </c>
      <c r="C55" s="11">
        <v>201.68</v>
      </c>
      <c r="D55" s="26">
        <v>153.96</v>
      </c>
      <c r="E55" s="26">
        <v>172.8</v>
      </c>
      <c r="F55" s="26">
        <v>1363.27</v>
      </c>
      <c r="G55" s="26">
        <v>5065.95</v>
      </c>
      <c r="H55" s="6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</row>
    <row r="56" spans="1:31" ht="15.75" customHeight="1" x14ac:dyDescent="0.15">
      <c r="A56" s="15" t="s">
        <v>175</v>
      </c>
      <c r="B56" s="11"/>
      <c r="C56" s="11"/>
      <c r="D56" s="11"/>
      <c r="E56" s="11"/>
      <c r="F56" s="11"/>
      <c r="G56" s="11"/>
      <c r="H56" s="8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</row>
    <row r="57" spans="1:31" ht="15" x14ac:dyDescent="0.2">
      <c r="A57" s="6" t="s">
        <v>175</v>
      </c>
      <c r="B57" s="11">
        <v>6074.08</v>
      </c>
      <c r="C57" s="11">
        <v>9485.35</v>
      </c>
      <c r="D57" s="26">
        <v>4941.29</v>
      </c>
      <c r="E57" s="26">
        <v>7113.89</v>
      </c>
      <c r="F57" s="26">
        <v>7673.08</v>
      </c>
      <c r="G57" s="26">
        <v>6399.04</v>
      </c>
      <c r="H57" s="8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</row>
    <row r="58" spans="1:31" ht="15" x14ac:dyDescent="0.2">
      <c r="A58" s="6" t="s">
        <v>176</v>
      </c>
      <c r="B58" s="11">
        <v>15200.75</v>
      </c>
      <c r="C58" s="11">
        <v>10011.25</v>
      </c>
      <c r="D58" s="26">
        <v>13147</v>
      </c>
      <c r="E58" s="26">
        <v>26221.5</v>
      </c>
      <c r="F58" s="26">
        <v>15034</v>
      </c>
      <c r="G58" s="26">
        <v>20218.5</v>
      </c>
      <c r="H58" s="6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</row>
    <row r="59" spans="1:31" ht="15" x14ac:dyDescent="0.2">
      <c r="A59" s="6" t="s">
        <v>177</v>
      </c>
      <c r="B59" s="10">
        <v>0</v>
      </c>
      <c r="C59" s="11">
        <v>10500</v>
      </c>
      <c r="D59" s="18">
        <v>0</v>
      </c>
      <c r="E59" s="18">
        <v>0</v>
      </c>
      <c r="F59" s="26">
        <v>5500</v>
      </c>
      <c r="G59" s="26">
        <v>15000</v>
      </c>
      <c r="H59" s="17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</row>
    <row r="60" spans="1:31" ht="15" x14ac:dyDescent="0.2">
      <c r="A60" s="6" t="s">
        <v>178</v>
      </c>
      <c r="B60" s="11">
        <v>11674.42</v>
      </c>
      <c r="C60" s="11">
        <v>7700.74</v>
      </c>
      <c r="D60" s="26">
        <v>6607.55</v>
      </c>
      <c r="E60" s="26">
        <v>15827.44</v>
      </c>
      <c r="F60" s="26">
        <v>22334.93</v>
      </c>
      <c r="G60" s="26">
        <v>8343.75</v>
      </c>
      <c r="H60" s="17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</row>
    <row r="61" spans="1:31" ht="15" x14ac:dyDescent="0.2">
      <c r="A61" s="6" t="s">
        <v>179</v>
      </c>
      <c r="B61" s="11">
        <v>32949.25</v>
      </c>
      <c r="C61" s="11">
        <v>37697.339999999997</v>
      </c>
      <c r="D61" s="26">
        <v>24695.84</v>
      </c>
      <c r="E61" s="26">
        <v>49162.83</v>
      </c>
      <c r="F61" s="26">
        <v>50542.01</v>
      </c>
      <c r="G61" s="26">
        <v>49961.29</v>
      </c>
      <c r="H61" s="17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</row>
    <row r="62" spans="1:31" ht="15" x14ac:dyDescent="0.2">
      <c r="A62" s="6" t="s">
        <v>180</v>
      </c>
      <c r="B62" s="11">
        <v>2805</v>
      </c>
      <c r="C62" s="11">
        <v>5497.97</v>
      </c>
      <c r="D62" s="26">
        <v>9924.24</v>
      </c>
      <c r="E62" s="26">
        <v>5456.17</v>
      </c>
      <c r="F62" s="26">
        <v>2988</v>
      </c>
      <c r="G62" s="26">
        <v>8144.98</v>
      </c>
      <c r="H62" s="6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</row>
    <row r="63" spans="1:31" ht="15" x14ac:dyDescent="0.2">
      <c r="A63" s="13" t="s">
        <v>181</v>
      </c>
      <c r="B63" s="11">
        <v>62955</v>
      </c>
      <c r="C63" s="11">
        <v>72408.56</v>
      </c>
      <c r="D63" s="26">
        <v>50655.28</v>
      </c>
      <c r="E63" s="26">
        <v>53850.25</v>
      </c>
      <c r="F63" s="26">
        <v>115216</v>
      </c>
      <c r="G63" s="26">
        <v>107373</v>
      </c>
      <c r="H63" s="8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</row>
    <row r="64" spans="1:31" ht="15" x14ac:dyDescent="0.2">
      <c r="A64" s="15" t="s">
        <v>182</v>
      </c>
      <c r="B64" s="10">
        <v>0</v>
      </c>
      <c r="C64" s="10">
        <v>0</v>
      </c>
      <c r="D64" s="10">
        <v>0</v>
      </c>
      <c r="E64" s="10">
        <v>0</v>
      </c>
      <c r="F64" s="10">
        <v>0</v>
      </c>
      <c r="G64" s="26">
        <v>492.25</v>
      </c>
      <c r="H64" s="8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</row>
    <row r="65" spans="1:31" ht="15" x14ac:dyDescent="0.2">
      <c r="A65" s="6" t="s">
        <v>183</v>
      </c>
      <c r="B65" s="11">
        <v>243.26</v>
      </c>
      <c r="C65" s="11">
        <v>58.78</v>
      </c>
      <c r="D65" s="26">
        <v>23.23</v>
      </c>
      <c r="E65" s="10">
        <v>0</v>
      </c>
      <c r="F65" s="10">
        <v>0</v>
      </c>
      <c r="G65" s="10">
        <v>0</v>
      </c>
      <c r="H65" s="8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</row>
    <row r="66" spans="1:31" ht="14" x14ac:dyDescent="0.15">
      <c r="A66" s="6" t="s">
        <v>184</v>
      </c>
      <c r="B66" s="11">
        <v>4390.67</v>
      </c>
      <c r="C66" s="10">
        <v>0</v>
      </c>
      <c r="D66" s="10">
        <v>0</v>
      </c>
      <c r="E66" s="10">
        <v>0</v>
      </c>
      <c r="F66" s="10">
        <v>0</v>
      </c>
      <c r="G66" s="2">
        <v>0</v>
      </c>
      <c r="H66" s="8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</row>
    <row r="67" spans="1:31" ht="15" x14ac:dyDescent="0.2">
      <c r="A67" s="6" t="s">
        <v>185</v>
      </c>
      <c r="B67" s="11">
        <v>11342.48</v>
      </c>
      <c r="C67" s="11">
        <v>17908.580000000002</v>
      </c>
      <c r="D67" s="26">
        <v>16037.65</v>
      </c>
      <c r="E67" s="10">
        <v>0</v>
      </c>
      <c r="F67" s="26">
        <v>4389.83</v>
      </c>
      <c r="G67" s="26">
        <v>9994.18</v>
      </c>
      <c r="H67" s="8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</row>
    <row r="68" spans="1:31" ht="15" x14ac:dyDescent="0.2">
      <c r="A68" s="6" t="s">
        <v>186</v>
      </c>
      <c r="B68" s="11">
        <v>6009.14</v>
      </c>
      <c r="C68" s="11">
        <v>16304.3</v>
      </c>
      <c r="D68" s="26">
        <v>16910.05</v>
      </c>
      <c r="E68" s="10">
        <v>0</v>
      </c>
      <c r="F68" s="26">
        <v>10170.209999999999</v>
      </c>
      <c r="G68" s="26">
        <v>6034.16</v>
      </c>
      <c r="H68" s="8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</row>
    <row r="69" spans="1:31" ht="15" x14ac:dyDescent="0.2">
      <c r="A69" s="6" t="s">
        <v>187</v>
      </c>
      <c r="B69" s="11">
        <v>21985.55</v>
      </c>
      <c r="C69" s="11">
        <v>34271.660000000003</v>
      </c>
      <c r="D69" s="26">
        <v>32970.93</v>
      </c>
      <c r="E69" s="10">
        <v>0</v>
      </c>
      <c r="F69" s="26">
        <v>14560.04</v>
      </c>
      <c r="G69" s="26">
        <v>16520.59</v>
      </c>
      <c r="H69" s="17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</row>
    <row r="70" spans="1:31" ht="14" x14ac:dyDescent="0.15">
      <c r="A70" s="6" t="s">
        <v>188</v>
      </c>
      <c r="B70" s="11"/>
      <c r="C70" s="11"/>
      <c r="D70" s="11"/>
      <c r="E70" s="11"/>
      <c r="F70" s="10"/>
      <c r="G70" s="11"/>
      <c r="H70" s="8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</row>
    <row r="71" spans="1:31" ht="15" x14ac:dyDescent="0.2">
      <c r="A71" s="13" t="s">
        <v>188</v>
      </c>
      <c r="B71" s="11">
        <v>1707.76</v>
      </c>
      <c r="C71" s="11">
        <v>2285.34</v>
      </c>
      <c r="D71" s="26">
        <v>3395.49</v>
      </c>
      <c r="E71" s="26">
        <v>100</v>
      </c>
      <c r="F71" s="10">
        <v>0</v>
      </c>
      <c r="G71" s="26">
        <v>76.13</v>
      </c>
      <c r="H71" s="8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</row>
    <row r="72" spans="1:31" ht="15" x14ac:dyDescent="0.2">
      <c r="A72" s="6" t="s">
        <v>189</v>
      </c>
      <c r="B72" s="11">
        <v>8727.5300000000007</v>
      </c>
      <c r="C72" s="11">
        <v>11704.43</v>
      </c>
      <c r="D72" s="26">
        <v>447.31</v>
      </c>
      <c r="E72" s="26">
        <v>21732.51</v>
      </c>
      <c r="F72" s="26">
        <v>17362.759999999998</v>
      </c>
      <c r="G72" s="26">
        <v>28462.2</v>
      </c>
      <c r="H72" s="8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</row>
    <row r="73" spans="1:31" ht="15" x14ac:dyDescent="0.2">
      <c r="A73" s="6" t="s">
        <v>190</v>
      </c>
      <c r="B73" s="11">
        <v>571.20000000000005</v>
      </c>
      <c r="C73" s="10">
        <v>0</v>
      </c>
      <c r="D73" s="10">
        <v>0</v>
      </c>
      <c r="E73" s="26">
        <v>1691.05</v>
      </c>
      <c r="F73" s="26">
        <v>1765.32</v>
      </c>
      <c r="G73" s="26">
        <v>819</v>
      </c>
      <c r="H73" s="8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</row>
    <row r="74" spans="1:31" ht="15" x14ac:dyDescent="0.2">
      <c r="A74" s="6" t="s">
        <v>191</v>
      </c>
      <c r="B74" s="11">
        <v>261.39</v>
      </c>
      <c r="C74" s="10">
        <v>0</v>
      </c>
      <c r="D74" s="10">
        <v>0</v>
      </c>
      <c r="E74" s="2">
        <v>0</v>
      </c>
      <c r="F74" s="26">
        <v>45</v>
      </c>
      <c r="G74" s="10">
        <v>0</v>
      </c>
      <c r="H74" s="8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</row>
    <row r="75" spans="1:31" ht="15" x14ac:dyDescent="0.2">
      <c r="A75" s="6" t="s">
        <v>192</v>
      </c>
      <c r="B75" s="11">
        <v>179.19</v>
      </c>
      <c r="C75" s="11">
        <v>77.790000000000006</v>
      </c>
      <c r="D75" s="26">
        <v>2194.0100000000002</v>
      </c>
      <c r="E75" s="26">
        <v>356.97</v>
      </c>
      <c r="F75" s="2">
        <v>0</v>
      </c>
      <c r="G75" s="26">
        <v>145.22999999999999</v>
      </c>
      <c r="H75" s="8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</row>
    <row r="76" spans="1:31" ht="15" x14ac:dyDescent="0.2">
      <c r="A76" s="6" t="s">
        <v>193</v>
      </c>
      <c r="B76" s="11">
        <v>11447.07</v>
      </c>
      <c r="C76" s="11">
        <v>14067.56</v>
      </c>
      <c r="D76" s="26">
        <v>6036.81</v>
      </c>
      <c r="E76" s="26">
        <v>23880.53</v>
      </c>
      <c r="F76" s="26">
        <v>19173.080000000002</v>
      </c>
      <c r="G76" s="26">
        <v>29502.560000000001</v>
      </c>
      <c r="H76" s="8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</row>
    <row r="77" spans="1:31" ht="15" x14ac:dyDescent="0.2">
      <c r="A77" s="6" t="s">
        <v>194</v>
      </c>
      <c r="B77" s="11">
        <v>14515.08</v>
      </c>
      <c r="C77" s="11">
        <v>9705.34</v>
      </c>
      <c r="D77" s="26">
        <v>11579.77</v>
      </c>
      <c r="E77" s="26">
        <v>8591.18</v>
      </c>
      <c r="F77" s="26">
        <v>9892.74</v>
      </c>
      <c r="G77" s="26">
        <v>6775.37</v>
      </c>
      <c r="H77" s="8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</row>
    <row r="78" spans="1:31" ht="15" x14ac:dyDescent="0.2">
      <c r="A78" s="6" t="s">
        <v>195</v>
      </c>
      <c r="B78" s="11">
        <v>9002.67</v>
      </c>
      <c r="C78" s="11">
        <v>3842.87</v>
      </c>
      <c r="D78" s="26">
        <v>4665.3599999999997</v>
      </c>
      <c r="E78" s="26">
        <v>9415.31</v>
      </c>
      <c r="F78" s="26">
        <v>13467.29</v>
      </c>
      <c r="G78" s="26">
        <v>8991.73</v>
      </c>
      <c r="H78" s="6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</row>
    <row r="79" spans="1:31" ht="15" x14ac:dyDescent="0.2">
      <c r="A79" s="6" t="s">
        <v>196</v>
      </c>
      <c r="B79" s="11">
        <v>8479.5400000000009</v>
      </c>
      <c r="C79" s="11">
        <v>10025.91</v>
      </c>
      <c r="D79" s="26">
        <v>12068.83</v>
      </c>
      <c r="E79" s="26">
        <v>13896.94</v>
      </c>
      <c r="F79" s="26">
        <v>13589.51</v>
      </c>
      <c r="G79" s="26">
        <v>8425.15</v>
      </c>
      <c r="H79" s="8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</row>
    <row r="80" spans="1:31" ht="15" x14ac:dyDescent="0.2">
      <c r="A80" s="6" t="s">
        <v>197</v>
      </c>
      <c r="B80" s="11">
        <v>72979.600000000006</v>
      </c>
      <c r="C80" s="11">
        <v>74523.100000000006</v>
      </c>
      <c r="D80" s="26">
        <v>42424.639999999999</v>
      </c>
      <c r="E80" s="26">
        <v>53174.400000000001</v>
      </c>
      <c r="F80" s="26">
        <v>79688.570000000007</v>
      </c>
      <c r="G80" s="26">
        <v>43845.95</v>
      </c>
      <c r="H80" s="8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</row>
    <row r="81" spans="1:31" ht="15" x14ac:dyDescent="0.2">
      <c r="A81" s="13" t="s">
        <v>198</v>
      </c>
      <c r="B81" s="11">
        <v>119.5</v>
      </c>
      <c r="C81" s="11">
        <v>179.37</v>
      </c>
      <c r="D81" s="26">
        <v>49.17</v>
      </c>
      <c r="E81" s="26">
        <v>85.25</v>
      </c>
      <c r="F81" s="26">
        <v>363.27</v>
      </c>
      <c r="G81" s="26">
        <v>115.5</v>
      </c>
      <c r="H81" s="8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</row>
    <row r="82" spans="1:31" ht="15" x14ac:dyDescent="0.2">
      <c r="A82" s="13" t="s">
        <v>199</v>
      </c>
      <c r="B82" s="11">
        <v>10433.19</v>
      </c>
      <c r="C82" s="11">
        <v>8826.73</v>
      </c>
      <c r="D82" s="26">
        <v>6957.89</v>
      </c>
      <c r="E82" s="10">
        <v>0</v>
      </c>
      <c r="F82" s="10">
        <v>0</v>
      </c>
      <c r="G82" s="10">
        <v>0</v>
      </c>
      <c r="H82" s="8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</row>
    <row r="83" spans="1:31" ht="15" x14ac:dyDescent="0.2">
      <c r="A83" s="6" t="s">
        <v>200</v>
      </c>
      <c r="B83" s="11">
        <v>20112.439999999999</v>
      </c>
      <c r="C83" s="11">
        <v>20838.64</v>
      </c>
      <c r="D83" s="26">
        <v>29282.87</v>
      </c>
      <c r="E83" s="26">
        <v>28684.94</v>
      </c>
      <c r="F83" s="26">
        <v>34823.480000000003</v>
      </c>
      <c r="G83" s="26">
        <v>36334.68</v>
      </c>
      <c r="H83" s="8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</row>
    <row r="84" spans="1:31" ht="15" x14ac:dyDescent="0.2">
      <c r="A84" s="6" t="s">
        <v>201</v>
      </c>
      <c r="B84" s="11">
        <v>7594.56</v>
      </c>
      <c r="C84" s="11">
        <v>7610.22</v>
      </c>
      <c r="D84" s="26">
        <v>7615.44</v>
      </c>
      <c r="E84" s="26">
        <v>5688.18</v>
      </c>
      <c r="F84" s="10">
        <v>0</v>
      </c>
      <c r="G84" s="10">
        <v>0</v>
      </c>
      <c r="H84" s="6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</row>
    <row r="85" spans="1:31" ht="15" x14ac:dyDescent="0.2">
      <c r="A85" s="6" t="s">
        <v>202</v>
      </c>
      <c r="B85" s="11">
        <v>7594.56</v>
      </c>
      <c r="C85" s="11">
        <v>7610.22</v>
      </c>
      <c r="D85" s="26">
        <v>7615.44</v>
      </c>
      <c r="E85" s="26">
        <v>5749.39</v>
      </c>
      <c r="F85" s="10">
        <v>0</v>
      </c>
      <c r="G85" s="10">
        <v>0</v>
      </c>
      <c r="H85" s="6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</row>
    <row r="86" spans="1:31" ht="15" x14ac:dyDescent="0.2">
      <c r="A86" s="6" t="s">
        <v>203</v>
      </c>
      <c r="B86" s="11">
        <v>7985.92</v>
      </c>
      <c r="C86" s="11">
        <v>8061.76</v>
      </c>
      <c r="D86" s="26">
        <v>8069.16</v>
      </c>
      <c r="E86" s="26">
        <v>6601.88</v>
      </c>
      <c r="F86" s="26">
        <v>3181.37</v>
      </c>
      <c r="G86" s="10">
        <v>0</v>
      </c>
      <c r="H86" s="8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</row>
    <row r="87" spans="1:31" ht="15" x14ac:dyDescent="0.2">
      <c r="A87" s="13" t="s">
        <v>204</v>
      </c>
      <c r="B87" s="11">
        <v>7400.52</v>
      </c>
      <c r="C87" s="11">
        <v>7329.6</v>
      </c>
      <c r="D87" s="26">
        <v>7334.64</v>
      </c>
      <c r="E87" s="26">
        <v>6234.62</v>
      </c>
      <c r="F87" s="26">
        <v>3242.74</v>
      </c>
      <c r="G87" s="18">
        <v>0</v>
      </c>
      <c r="H87" s="8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</row>
    <row r="88" spans="1:31" ht="15" x14ac:dyDescent="0.2">
      <c r="A88" s="29" t="s">
        <v>205</v>
      </c>
      <c r="B88" s="10">
        <v>0</v>
      </c>
      <c r="C88" s="10">
        <v>0</v>
      </c>
      <c r="D88" s="26">
        <v>14567.44</v>
      </c>
      <c r="E88" s="26">
        <v>9101.16</v>
      </c>
      <c r="F88" s="26">
        <v>9114.27</v>
      </c>
      <c r="G88" s="26">
        <v>5318.67</v>
      </c>
      <c r="H88" s="8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</row>
    <row r="89" spans="1:31" ht="15" x14ac:dyDescent="0.2">
      <c r="A89" s="29" t="s">
        <v>206</v>
      </c>
      <c r="B89" s="10">
        <v>0</v>
      </c>
      <c r="C89" s="10">
        <v>0</v>
      </c>
      <c r="D89" s="28">
        <v>0</v>
      </c>
      <c r="E89" s="26">
        <v>1991.31</v>
      </c>
      <c r="F89" s="26">
        <v>2980.01</v>
      </c>
      <c r="G89" s="26">
        <v>2919.61</v>
      </c>
      <c r="H89" s="8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</row>
    <row r="90" spans="1:31" ht="15" x14ac:dyDescent="0.2">
      <c r="A90" s="6" t="s">
        <v>207</v>
      </c>
      <c r="B90" s="11">
        <v>6390.34</v>
      </c>
      <c r="C90" s="11">
        <v>6807.93</v>
      </c>
      <c r="D90" s="26">
        <v>7214.29</v>
      </c>
      <c r="E90" s="26">
        <v>6734.48</v>
      </c>
      <c r="F90" s="26">
        <v>10278.719999999999</v>
      </c>
      <c r="G90" s="26">
        <v>7281.35</v>
      </c>
      <c r="H90" s="8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</row>
    <row r="91" spans="1:31" ht="15" x14ac:dyDescent="0.2">
      <c r="A91" s="6" t="s">
        <v>208</v>
      </c>
      <c r="B91" s="11">
        <v>1881.26</v>
      </c>
      <c r="C91" s="11">
        <v>2134.85</v>
      </c>
      <c r="D91" s="26">
        <v>6865.25</v>
      </c>
      <c r="E91" s="26">
        <v>5683.6</v>
      </c>
      <c r="F91" s="26">
        <v>14951.42</v>
      </c>
      <c r="G91" s="26">
        <v>13190.38</v>
      </c>
      <c r="H91" s="8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</row>
    <row r="92" spans="1:31" ht="15" x14ac:dyDescent="0.2">
      <c r="A92" s="6" t="s">
        <v>209</v>
      </c>
      <c r="B92" s="11">
        <v>1305.1500000000001</v>
      </c>
      <c r="C92" s="11">
        <v>501.72</v>
      </c>
      <c r="D92" s="18">
        <v>0</v>
      </c>
      <c r="E92" s="26">
        <v>1678.69</v>
      </c>
      <c r="F92" s="26">
        <v>4203.5</v>
      </c>
      <c r="G92" s="26">
        <v>7475.64</v>
      </c>
      <c r="H92" s="17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</row>
    <row r="93" spans="1:31" ht="15" x14ac:dyDescent="0.2">
      <c r="A93" s="6" t="s">
        <v>210</v>
      </c>
      <c r="B93" s="11">
        <v>12668.31</v>
      </c>
      <c r="C93" s="11">
        <v>8367.16</v>
      </c>
      <c r="D93" s="26">
        <v>16333.46</v>
      </c>
      <c r="E93" s="26">
        <v>5880.31</v>
      </c>
      <c r="F93" s="26">
        <v>6347.95</v>
      </c>
      <c r="G93" s="26">
        <v>4715.1400000000003</v>
      </c>
      <c r="H93" s="8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</row>
    <row r="94" spans="1:31" ht="15" x14ac:dyDescent="0.2">
      <c r="A94" s="6" t="s">
        <v>211</v>
      </c>
      <c r="B94" s="11">
        <v>96000</v>
      </c>
      <c r="C94" s="11">
        <v>96000</v>
      </c>
      <c r="D94" s="26">
        <v>118395.54</v>
      </c>
      <c r="E94" s="26">
        <v>148216.04</v>
      </c>
      <c r="F94" s="26">
        <v>153809.76</v>
      </c>
      <c r="G94" s="26">
        <v>118165.52</v>
      </c>
      <c r="H94" s="8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</row>
    <row r="95" spans="1:31" ht="14" x14ac:dyDescent="0.15">
      <c r="A95" s="15" t="s">
        <v>212</v>
      </c>
      <c r="B95" s="11"/>
      <c r="C95" s="11"/>
      <c r="D95" s="11"/>
      <c r="E95" s="11"/>
      <c r="F95" s="11"/>
      <c r="G95" s="11"/>
      <c r="H95" s="8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</row>
    <row r="96" spans="1:31" ht="15" x14ac:dyDescent="0.2">
      <c r="A96" s="6" t="s">
        <v>212</v>
      </c>
      <c r="B96" s="11">
        <v>833574.05</v>
      </c>
      <c r="C96" s="11">
        <v>698439.96</v>
      </c>
      <c r="D96" s="26">
        <v>384369.98</v>
      </c>
      <c r="E96" s="26">
        <v>561247.69999999995</v>
      </c>
      <c r="F96" s="26">
        <v>636873.59</v>
      </c>
      <c r="G96" s="26">
        <v>666742.59</v>
      </c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</row>
    <row r="97" spans="1:31" ht="15" x14ac:dyDescent="0.2">
      <c r="A97" s="6" t="s">
        <v>213</v>
      </c>
      <c r="B97" s="11">
        <v>132366.93</v>
      </c>
      <c r="C97" s="11">
        <v>146178.09</v>
      </c>
      <c r="D97" s="26">
        <v>227997.6</v>
      </c>
      <c r="E97" s="26">
        <v>323700.71000000002</v>
      </c>
      <c r="F97" s="26">
        <v>513279.61</v>
      </c>
      <c r="G97" s="26">
        <v>453852.01</v>
      </c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</row>
    <row r="98" spans="1:31" ht="15" x14ac:dyDescent="0.2">
      <c r="A98" s="6" t="s">
        <v>214</v>
      </c>
      <c r="B98" s="11">
        <v>965940.98</v>
      </c>
      <c r="C98" s="11">
        <v>844618.05</v>
      </c>
      <c r="D98" s="26">
        <v>612367.57999999996</v>
      </c>
      <c r="E98" s="26">
        <v>884948.41</v>
      </c>
      <c r="F98" s="26">
        <v>1150153.2</v>
      </c>
      <c r="G98" s="26">
        <v>1120594.6000000001</v>
      </c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</row>
    <row r="99" spans="1:31" ht="15" x14ac:dyDescent="0.2">
      <c r="A99" s="6" t="s">
        <v>215</v>
      </c>
      <c r="B99" s="11">
        <v>103458.81</v>
      </c>
      <c r="C99" s="11">
        <v>95545.91</v>
      </c>
      <c r="D99" s="26">
        <v>80364.75</v>
      </c>
      <c r="E99" s="26">
        <v>99480.46</v>
      </c>
      <c r="F99" s="26">
        <v>117772.1</v>
      </c>
      <c r="G99" s="26">
        <v>156304.04</v>
      </c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</row>
    <row r="100" spans="1:31" ht="15" x14ac:dyDescent="0.2">
      <c r="A100" s="6" t="s">
        <v>216</v>
      </c>
      <c r="B100" s="11">
        <v>24993.35</v>
      </c>
      <c r="C100" s="11">
        <v>20073.2</v>
      </c>
      <c r="D100" s="26">
        <v>19915.52</v>
      </c>
      <c r="E100" s="26">
        <v>31811.43</v>
      </c>
      <c r="F100" s="26">
        <v>45581.120000000003</v>
      </c>
      <c r="G100" s="26">
        <v>40798.68</v>
      </c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</row>
    <row r="101" spans="1:31" ht="15" x14ac:dyDescent="0.2">
      <c r="A101" s="6" t="s">
        <v>217</v>
      </c>
      <c r="B101" s="11">
        <v>12900</v>
      </c>
      <c r="C101" s="11">
        <v>12900</v>
      </c>
      <c r="D101" s="26">
        <v>10800</v>
      </c>
      <c r="E101" s="26">
        <v>10800</v>
      </c>
      <c r="F101" s="26">
        <v>17400</v>
      </c>
      <c r="G101" s="26">
        <v>13200</v>
      </c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</row>
    <row r="102" spans="1:31" ht="15" x14ac:dyDescent="0.2">
      <c r="A102" s="6" t="s">
        <v>218</v>
      </c>
      <c r="B102" s="11">
        <v>9085.6</v>
      </c>
      <c r="C102" s="11">
        <v>3569.1</v>
      </c>
      <c r="D102" s="26">
        <v>3078</v>
      </c>
      <c r="E102" s="26">
        <v>1039.25</v>
      </c>
      <c r="F102" s="26">
        <v>3102.3</v>
      </c>
      <c r="G102" s="26">
        <v>4873.45</v>
      </c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</row>
    <row r="103" spans="1:31" ht="15" x14ac:dyDescent="0.2">
      <c r="A103" s="6" t="s">
        <v>219</v>
      </c>
      <c r="B103" s="11">
        <v>7752.12</v>
      </c>
      <c r="C103" s="11">
        <v>2577.92</v>
      </c>
      <c r="D103" s="26">
        <v>600</v>
      </c>
      <c r="E103" s="26">
        <v>318</v>
      </c>
      <c r="F103" s="26">
        <v>1265.73</v>
      </c>
      <c r="G103" s="26">
        <v>275</v>
      </c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</row>
    <row r="104" spans="1:31" ht="15" x14ac:dyDescent="0.2">
      <c r="A104" s="6" t="s">
        <v>220</v>
      </c>
      <c r="B104" s="11">
        <v>31437.55</v>
      </c>
      <c r="C104" s="11">
        <v>30424.49</v>
      </c>
      <c r="D104" s="26">
        <v>31815.05</v>
      </c>
      <c r="E104" s="26">
        <v>32031.1</v>
      </c>
      <c r="F104" s="26">
        <v>37110.65</v>
      </c>
      <c r="G104" s="43">
        <v>0</v>
      </c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</row>
    <row r="105" spans="1:31" ht="15" x14ac:dyDescent="0.2">
      <c r="A105" s="6" t="s">
        <v>221</v>
      </c>
      <c r="B105" s="11">
        <v>351.27</v>
      </c>
      <c r="C105" s="11">
        <v>351.27</v>
      </c>
      <c r="D105" s="26">
        <v>122.1</v>
      </c>
      <c r="E105" s="26">
        <v>76.27</v>
      </c>
      <c r="F105" s="26">
        <v>5828.55</v>
      </c>
      <c r="G105" s="28">
        <v>0</v>
      </c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</row>
    <row r="106" spans="1:31" ht="15" x14ac:dyDescent="0.2">
      <c r="A106" s="6" t="s">
        <v>222</v>
      </c>
      <c r="B106" s="11">
        <v>32009.51</v>
      </c>
      <c r="C106" s="11">
        <v>25841.31</v>
      </c>
      <c r="D106" s="26">
        <v>16328.55</v>
      </c>
      <c r="E106" s="26">
        <v>14867.12</v>
      </c>
      <c r="F106" s="26">
        <v>14669.48</v>
      </c>
      <c r="G106" s="26">
        <v>9978.9</v>
      </c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</row>
    <row r="107" spans="1:31" ht="15" x14ac:dyDescent="0.2">
      <c r="A107" s="6" t="s">
        <v>223</v>
      </c>
      <c r="B107" s="11"/>
      <c r="C107" s="11"/>
      <c r="D107" s="26"/>
      <c r="E107" s="3"/>
      <c r="F107" s="26"/>
      <c r="G107" s="3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</row>
    <row r="108" spans="1:31" ht="15" x14ac:dyDescent="0.2">
      <c r="A108" s="6" t="s">
        <v>223</v>
      </c>
      <c r="B108" s="11">
        <v>1610.46</v>
      </c>
      <c r="C108" s="11">
        <v>3414.94</v>
      </c>
      <c r="D108" s="26">
        <v>3422.07</v>
      </c>
      <c r="E108" s="26">
        <v>6925.66</v>
      </c>
      <c r="F108" s="26">
        <v>2424.46</v>
      </c>
      <c r="G108" s="26">
        <v>8089</v>
      </c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</row>
    <row r="109" spans="1:31" ht="15" x14ac:dyDescent="0.2">
      <c r="A109" s="6" t="s">
        <v>224</v>
      </c>
      <c r="B109" s="11">
        <v>52</v>
      </c>
      <c r="C109" s="2">
        <v>0</v>
      </c>
      <c r="D109" s="2">
        <v>0</v>
      </c>
      <c r="E109" s="28">
        <v>0</v>
      </c>
      <c r="F109" s="2">
        <v>0</v>
      </c>
      <c r="G109" s="2">
        <v>0</v>
      </c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</row>
    <row r="110" spans="1:31" ht="15" x14ac:dyDescent="0.2">
      <c r="A110" s="6" t="s">
        <v>225</v>
      </c>
      <c r="B110" s="11">
        <v>1410.31</v>
      </c>
      <c r="C110" s="11">
        <v>1332.36</v>
      </c>
      <c r="D110" s="26">
        <v>948.83</v>
      </c>
      <c r="E110" s="26">
        <v>2478.56</v>
      </c>
      <c r="F110" s="26">
        <v>4552.1400000000003</v>
      </c>
      <c r="G110" s="26">
        <v>4956.51</v>
      </c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</row>
    <row r="111" spans="1:31" ht="15" x14ac:dyDescent="0.2">
      <c r="A111" s="6" t="s">
        <v>226</v>
      </c>
      <c r="B111" s="11">
        <v>225.54</v>
      </c>
      <c r="C111" s="2">
        <v>0</v>
      </c>
      <c r="D111" s="2">
        <v>0</v>
      </c>
      <c r="E111" s="26">
        <v>105.96</v>
      </c>
      <c r="F111" s="26">
        <v>49.47</v>
      </c>
      <c r="G111" s="26">
        <v>60.32</v>
      </c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</row>
    <row r="112" spans="1:31" ht="15" x14ac:dyDescent="0.2">
      <c r="A112" s="6" t="s">
        <v>227</v>
      </c>
      <c r="B112" s="11">
        <v>10839.49</v>
      </c>
      <c r="C112" s="11">
        <v>12271.84</v>
      </c>
      <c r="D112" s="26">
        <v>26656.92</v>
      </c>
      <c r="E112" s="26">
        <v>22785.08</v>
      </c>
      <c r="F112" s="26">
        <v>33001.29</v>
      </c>
      <c r="G112" s="26">
        <v>41544.69</v>
      </c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</row>
    <row r="113" spans="1:31" ht="15" x14ac:dyDescent="0.2">
      <c r="A113" s="6" t="s">
        <v>228</v>
      </c>
      <c r="B113" s="11">
        <v>14137.8</v>
      </c>
      <c r="C113" s="11">
        <v>17019.14</v>
      </c>
      <c r="D113" s="26">
        <v>31027.82</v>
      </c>
      <c r="E113" s="26">
        <v>32295.26</v>
      </c>
      <c r="F113" s="26">
        <v>40027.360000000001</v>
      </c>
      <c r="G113" s="26">
        <v>54650.52</v>
      </c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</row>
    <row r="114" spans="1:31" ht="15" x14ac:dyDescent="0.2">
      <c r="A114" s="6" t="s">
        <v>229</v>
      </c>
      <c r="B114" s="11">
        <v>16016.23</v>
      </c>
      <c r="C114" s="11">
        <v>13615.55</v>
      </c>
      <c r="D114" s="44">
        <v>-1406.91</v>
      </c>
      <c r="E114" s="26">
        <v>2500</v>
      </c>
      <c r="F114" s="26">
        <v>11135.37</v>
      </c>
      <c r="G114" s="26">
        <v>22510.78</v>
      </c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</row>
    <row r="115" spans="1:31" ht="14" x14ac:dyDescent="0.15">
      <c r="A115" s="6" t="s">
        <v>230</v>
      </c>
      <c r="B115" s="11">
        <v>143.22</v>
      </c>
      <c r="C115" s="11">
        <v>144.02000000000001</v>
      </c>
      <c r="D115" s="2">
        <v>0</v>
      </c>
      <c r="E115" s="2">
        <v>0</v>
      </c>
      <c r="F115" s="2">
        <v>0</v>
      </c>
      <c r="G115" s="2">
        <v>0</v>
      </c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</row>
    <row r="116" spans="1:31" ht="15" x14ac:dyDescent="0.2">
      <c r="A116" s="29" t="s">
        <v>231</v>
      </c>
      <c r="B116" s="10">
        <v>0</v>
      </c>
      <c r="C116" s="10">
        <v>0</v>
      </c>
      <c r="D116" s="28">
        <v>0</v>
      </c>
      <c r="E116" s="28">
        <v>0</v>
      </c>
      <c r="F116" s="28">
        <v>0</v>
      </c>
      <c r="G116" s="26">
        <v>9463.5400000000009</v>
      </c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</row>
    <row r="117" spans="1:31" ht="15" x14ac:dyDescent="0.2">
      <c r="A117" s="6" t="s">
        <v>232</v>
      </c>
      <c r="B117" s="11">
        <v>1827138.86</v>
      </c>
      <c r="C117" s="11">
        <v>1686304.52</v>
      </c>
      <c r="D117" s="26">
        <v>1390816.59</v>
      </c>
      <c r="E117" s="26">
        <v>1772356.9</v>
      </c>
      <c r="F117" s="26">
        <v>2175910.16</v>
      </c>
      <c r="G117" s="26">
        <v>2100731.54</v>
      </c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</row>
    <row r="118" spans="1:31" ht="15" x14ac:dyDescent="0.2">
      <c r="A118" s="6" t="s">
        <v>233</v>
      </c>
      <c r="B118" s="11">
        <v>105434.05</v>
      </c>
      <c r="C118" s="16">
        <v>-71901.179999999993</v>
      </c>
      <c r="D118" s="26">
        <v>637526.57999999996</v>
      </c>
      <c r="E118" s="26">
        <v>778292.53</v>
      </c>
      <c r="F118" s="26">
        <v>1519489.03</v>
      </c>
      <c r="G118" s="26">
        <v>2151016.89</v>
      </c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</row>
    <row r="119" spans="1:31" ht="14" x14ac:dyDescent="0.15">
      <c r="A119" s="15" t="s">
        <v>234</v>
      </c>
      <c r="B119" s="11"/>
      <c r="C119" s="3"/>
      <c r="D119" s="3"/>
      <c r="E119" s="3"/>
      <c r="F119" s="3"/>
      <c r="G119" s="3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</row>
    <row r="120" spans="1:31" ht="14" x14ac:dyDescent="0.15">
      <c r="A120" s="6" t="s">
        <v>235</v>
      </c>
      <c r="B120" s="11"/>
      <c r="C120" s="3"/>
      <c r="D120" s="3"/>
      <c r="E120" s="3"/>
      <c r="F120" s="3"/>
      <c r="G120" s="3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</row>
    <row r="121" spans="1:31" ht="15" x14ac:dyDescent="0.2">
      <c r="A121" s="6" t="s">
        <v>236</v>
      </c>
      <c r="B121" s="11">
        <v>2.6</v>
      </c>
      <c r="C121" s="11">
        <v>0.8</v>
      </c>
      <c r="D121" s="26">
        <v>0.37</v>
      </c>
      <c r="E121" s="26">
        <v>11.47</v>
      </c>
      <c r="F121" s="26">
        <v>25.17</v>
      </c>
      <c r="G121" s="26">
        <v>6.88</v>
      </c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</row>
    <row r="122" spans="1:31" ht="15" x14ac:dyDescent="0.2">
      <c r="A122" s="6" t="s">
        <v>237</v>
      </c>
      <c r="B122" s="11">
        <v>3398.9</v>
      </c>
      <c r="C122" s="11">
        <v>3604.55</v>
      </c>
      <c r="D122" s="26">
        <v>827.78</v>
      </c>
      <c r="E122" s="26">
        <v>2625.31</v>
      </c>
      <c r="F122" s="26">
        <v>2622.91</v>
      </c>
      <c r="G122" s="2">
        <v>0</v>
      </c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</row>
    <row r="123" spans="1:31" ht="15" x14ac:dyDescent="0.2">
      <c r="A123" s="6" t="s">
        <v>238</v>
      </c>
      <c r="B123" s="10">
        <v>0</v>
      </c>
      <c r="C123" s="11">
        <v>20000</v>
      </c>
      <c r="D123" s="10">
        <v>0</v>
      </c>
      <c r="E123" s="2">
        <v>0</v>
      </c>
      <c r="F123" s="44">
        <v>-40713.129999999997</v>
      </c>
      <c r="G123" s="2">
        <v>0</v>
      </c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</row>
    <row r="124" spans="1:31" ht="15" x14ac:dyDescent="0.2">
      <c r="A124" s="6" t="s">
        <v>239</v>
      </c>
      <c r="B124" s="11">
        <v>3401.5</v>
      </c>
      <c r="C124" s="11">
        <v>23605.35</v>
      </c>
      <c r="D124" s="3">
        <v>828.15</v>
      </c>
      <c r="E124" s="26">
        <v>2636.78</v>
      </c>
      <c r="F124" s="44">
        <v>-38065.050000000003</v>
      </c>
      <c r="G124" s="26">
        <v>6.88</v>
      </c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</row>
    <row r="125" spans="1:31" ht="14" x14ac:dyDescent="0.15">
      <c r="A125" s="15" t="s">
        <v>240</v>
      </c>
      <c r="B125" s="3"/>
      <c r="C125" s="11"/>
      <c r="D125" s="11"/>
      <c r="E125" s="3"/>
      <c r="F125" s="3"/>
      <c r="G125" s="3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</row>
    <row r="126" spans="1:31" ht="15" x14ac:dyDescent="0.2">
      <c r="A126" s="6" t="s">
        <v>241</v>
      </c>
      <c r="B126" s="2">
        <v>0</v>
      </c>
      <c r="C126" s="16">
        <v>-5027.99</v>
      </c>
      <c r="D126" s="2">
        <v>0</v>
      </c>
      <c r="E126" s="26">
        <v>74.36</v>
      </c>
      <c r="F126" s="2">
        <v>0</v>
      </c>
      <c r="G126" s="2">
        <v>0</v>
      </c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</row>
    <row r="127" spans="1:31" ht="15" x14ac:dyDescent="0.2">
      <c r="A127" s="6" t="s">
        <v>242</v>
      </c>
      <c r="B127" s="2">
        <v>0</v>
      </c>
      <c r="C127" s="16">
        <v>-5027.99</v>
      </c>
      <c r="D127" s="2">
        <v>0</v>
      </c>
      <c r="E127" s="26">
        <v>74.36</v>
      </c>
      <c r="F127" s="2">
        <v>0</v>
      </c>
      <c r="G127" s="2">
        <v>0</v>
      </c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</row>
    <row r="128" spans="1:31" ht="15" x14ac:dyDescent="0.2">
      <c r="A128" s="6" t="s">
        <v>243</v>
      </c>
      <c r="B128" s="11">
        <v>3401.5</v>
      </c>
      <c r="C128" s="11">
        <v>28633.34</v>
      </c>
      <c r="D128" s="26">
        <v>828.15</v>
      </c>
      <c r="E128" s="26">
        <v>2562.42</v>
      </c>
      <c r="F128" s="44">
        <v>-38065.050000000003</v>
      </c>
      <c r="G128" s="26">
        <v>6.88</v>
      </c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</row>
    <row r="129" spans="1:31" ht="15" x14ac:dyDescent="0.2">
      <c r="A129" s="6" t="s">
        <v>101</v>
      </c>
      <c r="B129" s="11">
        <v>108835.55</v>
      </c>
      <c r="C129" s="16">
        <v>-43267.839999999997</v>
      </c>
      <c r="D129" s="26">
        <v>638354.73</v>
      </c>
      <c r="E129" s="26">
        <v>780854.95</v>
      </c>
      <c r="F129" s="26">
        <v>1481423.98</v>
      </c>
      <c r="G129" s="26">
        <v>2151023.77</v>
      </c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</row>
    <row r="130" spans="1:31" ht="14" x14ac:dyDescent="0.15">
      <c r="A130" s="5"/>
      <c r="B130" s="3"/>
      <c r="C130" s="3"/>
      <c r="D130" s="3"/>
      <c r="E130" s="3"/>
      <c r="F130" s="3"/>
      <c r="G130" s="3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</row>
    <row r="131" spans="1:31" ht="14" x14ac:dyDescent="0.15">
      <c r="A131" s="5"/>
      <c r="B131" s="3"/>
      <c r="C131" s="3"/>
      <c r="D131" s="3"/>
      <c r="E131" s="3"/>
      <c r="F131" s="3"/>
      <c r="G131" s="3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</row>
    <row r="132" spans="1:31" ht="14" x14ac:dyDescent="0.15">
      <c r="A132" s="5"/>
      <c r="B132" s="3"/>
      <c r="C132" s="3"/>
      <c r="D132" s="3"/>
      <c r="E132" s="3"/>
      <c r="F132" s="3"/>
      <c r="G132" s="3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</row>
    <row r="133" spans="1:31" ht="14" x14ac:dyDescent="0.15">
      <c r="A133" s="5"/>
      <c r="B133" s="3"/>
      <c r="C133" s="3"/>
      <c r="D133" s="3"/>
      <c r="E133" s="3"/>
      <c r="F133" s="3"/>
      <c r="G133" s="3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</row>
    <row r="134" spans="1:31" ht="14" x14ac:dyDescent="0.15">
      <c r="A134" s="5"/>
      <c r="B134" s="3"/>
      <c r="C134" s="3"/>
      <c r="D134" s="3"/>
      <c r="E134" s="3"/>
      <c r="F134" s="3"/>
      <c r="G134" s="3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</row>
    <row r="135" spans="1:31" ht="14" x14ac:dyDescent="0.15">
      <c r="A135" s="5"/>
      <c r="B135" s="3"/>
      <c r="C135" s="3"/>
      <c r="D135" s="3"/>
      <c r="E135" s="3"/>
      <c r="F135" s="3"/>
      <c r="G135" s="3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</row>
    <row r="136" spans="1:31" ht="14" x14ac:dyDescent="0.15">
      <c r="A136" s="5"/>
      <c r="B136" s="3"/>
      <c r="C136" s="3"/>
      <c r="D136" s="3"/>
      <c r="E136" s="3"/>
      <c r="F136" s="3"/>
      <c r="G136" s="3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</row>
    <row r="137" spans="1:31" ht="14" x14ac:dyDescent="0.15">
      <c r="A137" s="5"/>
      <c r="B137" s="3"/>
      <c r="C137" s="3"/>
      <c r="D137" s="3"/>
      <c r="E137" s="3"/>
      <c r="F137" s="3"/>
      <c r="G137" s="3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</row>
    <row r="138" spans="1:31" ht="14" x14ac:dyDescent="0.15">
      <c r="A138" s="5"/>
      <c r="B138" s="3"/>
      <c r="C138" s="3"/>
      <c r="D138" s="3"/>
      <c r="E138" s="3"/>
      <c r="F138" s="3"/>
      <c r="G138" s="3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</row>
    <row r="139" spans="1:31" ht="14" x14ac:dyDescent="0.15">
      <c r="A139" s="5"/>
      <c r="B139" s="3"/>
      <c r="C139" s="3"/>
      <c r="D139" s="3"/>
      <c r="E139" s="3"/>
      <c r="F139" s="3"/>
      <c r="G139" s="3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</row>
    <row r="140" spans="1:31" ht="14" x14ac:dyDescent="0.15">
      <c r="A140" s="5"/>
      <c r="B140" s="3"/>
      <c r="C140" s="3"/>
      <c r="D140" s="3"/>
      <c r="E140" s="3"/>
      <c r="F140" s="3"/>
      <c r="G140" s="3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</row>
    <row r="141" spans="1:31" ht="14" x14ac:dyDescent="0.15">
      <c r="A141" s="5"/>
      <c r="B141" s="3"/>
      <c r="C141" s="3"/>
      <c r="D141" s="3"/>
      <c r="E141" s="3"/>
      <c r="F141" s="3"/>
      <c r="G141" s="3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</row>
    <row r="142" spans="1:31" ht="14" x14ac:dyDescent="0.15">
      <c r="A142" s="5"/>
      <c r="B142" s="3"/>
      <c r="C142" s="3"/>
      <c r="D142" s="3"/>
      <c r="E142" s="3"/>
      <c r="F142" s="3"/>
      <c r="G142" s="3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</row>
    <row r="143" spans="1:31" ht="14" x14ac:dyDescent="0.15">
      <c r="A143" s="5"/>
      <c r="B143" s="3"/>
      <c r="C143" s="3"/>
      <c r="D143" s="3"/>
      <c r="E143" s="3"/>
      <c r="F143" s="3"/>
      <c r="G143" s="3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</row>
    <row r="144" spans="1:31" ht="14" x14ac:dyDescent="0.15">
      <c r="A144" s="5"/>
      <c r="B144" s="3"/>
      <c r="C144" s="3"/>
      <c r="D144" s="3"/>
      <c r="E144" s="3"/>
      <c r="F144" s="3"/>
      <c r="G144" s="3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</row>
    <row r="145" spans="1:31" ht="14" x14ac:dyDescent="0.15">
      <c r="A145" s="5"/>
      <c r="B145" s="3"/>
      <c r="C145" s="3"/>
      <c r="D145" s="3"/>
      <c r="E145" s="3"/>
      <c r="F145" s="3"/>
      <c r="G145" s="3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</row>
    <row r="146" spans="1:31" ht="14" x14ac:dyDescent="0.15">
      <c r="A146" s="5"/>
      <c r="B146" s="3"/>
      <c r="C146" s="3"/>
      <c r="D146" s="3"/>
      <c r="E146" s="3"/>
      <c r="F146" s="3"/>
      <c r="G146" s="3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</row>
    <row r="147" spans="1:31" ht="14" x14ac:dyDescent="0.15">
      <c r="A147" s="5"/>
      <c r="B147" s="3"/>
      <c r="C147" s="3"/>
      <c r="D147" s="3"/>
      <c r="E147" s="3"/>
      <c r="F147" s="3"/>
      <c r="G147" s="3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</row>
    <row r="148" spans="1:31" ht="14" x14ac:dyDescent="0.15">
      <c r="A148" s="5"/>
      <c r="B148" s="3"/>
      <c r="C148" s="3"/>
      <c r="D148" s="3"/>
      <c r="E148" s="3"/>
      <c r="F148" s="3"/>
      <c r="G148" s="3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</row>
    <row r="149" spans="1:31" ht="14" x14ac:dyDescent="0.15">
      <c r="A149" s="5"/>
      <c r="B149" s="3"/>
      <c r="C149" s="3"/>
      <c r="D149" s="3"/>
      <c r="E149" s="3"/>
      <c r="F149" s="3"/>
      <c r="G149" s="3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</row>
    <row r="150" spans="1:31" ht="14" x14ac:dyDescent="0.15">
      <c r="A150" s="5"/>
      <c r="B150" s="3"/>
      <c r="C150" s="3"/>
      <c r="D150" s="3"/>
      <c r="E150" s="3"/>
      <c r="F150" s="3"/>
      <c r="G150" s="3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</row>
    <row r="151" spans="1:31" ht="14" x14ac:dyDescent="0.15">
      <c r="A151" s="5"/>
      <c r="B151" s="3"/>
      <c r="C151" s="3"/>
      <c r="D151" s="3"/>
      <c r="E151" s="3"/>
      <c r="F151" s="3"/>
      <c r="G151" s="3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</row>
    <row r="152" spans="1:31" ht="14" x14ac:dyDescent="0.15">
      <c r="A152" s="5"/>
      <c r="B152" s="3"/>
      <c r="C152" s="3"/>
      <c r="D152" s="3"/>
      <c r="E152" s="3"/>
      <c r="F152" s="3"/>
      <c r="G152" s="3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</row>
    <row r="153" spans="1:31" ht="14" x14ac:dyDescent="0.15">
      <c r="A153" s="5"/>
      <c r="B153" s="3"/>
      <c r="C153" s="3"/>
      <c r="D153" s="3"/>
      <c r="E153" s="3"/>
      <c r="F153" s="3"/>
      <c r="G153" s="3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</row>
    <row r="154" spans="1:31" ht="14" x14ac:dyDescent="0.15">
      <c r="A154" s="5"/>
      <c r="B154" s="3"/>
      <c r="C154" s="3"/>
      <c r="D154" s="3"/>
      <c r="E154" s="3"/>
      <c r="F154" s="3"/>
      <c r="G154" s="3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</row>
    <row r="155" spans="1:31" ht="14" x14ac:dyDescent="0.15">
      <c r="A155" s="5"/>
      <c r="B155" s="3"/>
      <c r="C155" s="3"/>
      <c r="D155" s="3"/>
      <c r="E155" s="3"/>
      <c r="F155" s="3"/>
      <c r="G155" s="3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</row>
    <row r="156" spans="1:31" ht="14" x14ac:dyDescent="0.15">
      <c r="A156" s="5"/>
      <c r="B156" s="3"/>
      <c r="C156" s="3"/>
      <c r="D156" s="3"/>
      <c r="E156" s="3"/>
      <c r="F156" s="3"/>
      <c r="G156" s="3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</row>
    <row r="157" spans="1:31" ht="14" x14ac:dyDescent="0.15">
      <c r="A157" s="5"/>
      <c r="B157" s="3"/>
      <c r="C157" s="3"/>
      <c r="D157" s="3"/>
      <c r="E157" s="3"/>
      <c r="F157" s="3"/>
      <c r="G157" s="3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</row>
    <row r="158" spans="1:31" ht="14" x14ac:dyDescent="0.15">
      <c r="A158" s="5"/>
      <c r="B158" s="3"/>
      <c r="C158" s="3"/>
      <c r="D158" s="3"/>
      <c r="E158" s="3"/>
      <c r="F158" s="3"/>
      <c r="G158" s="3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</row>
    <row r="159" spans="1:31" ht="14" x14ac:dyDescent="0.15">
      <c r="A159" s="5"/>
      <c r="B159" s="3"/>
      <c r="C159" s="3"/>
      <c r="D159" s="3"/>
      <c r="E159" s="3"/>
      <c r="F159" s="3"/>
      <c r="G159" s="3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</row>
    <row r="160" spans="1:31" ht="14" x14ac:dyDescent="0.15">
      <c r="A160" s="5"/>
      <c r="B160" s="3"/>
      <c r="C160" s="3"/>
      <c r="D160" s="3"/>
      <c r="E160" s="3"/>
      <c r="F160" s="3"/>
      <c r="G160" s="3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</row>
    <row r="161" spans="1:31" ht="14" x14ac:dyDescent="0.15">
      <c r="A161" s="5"/>
      <c r="B161" s="3"/>
      <c r="C161" s="3"/>
      <c r="D161" s="3"/>
      <c r="E161" s="3"/>
      <c r="F161" s="3"/>
      <c r="G161" s="3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</row>
    <row r="162" spans="1:31" ht="14" x14ac:dyDescent="0.15">
      <c r="A162" s="5"/>
      <c r="B162" s="3"/>
      <c r="C162" s="3"/>
      <c r="D162" s="3"/>
      <c r="E162" s="3"/>
      <c r="F162" s="3"/>
      <c r="G162" s="3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</row>
    <row r="163" spans="1:31" ht="14" x14ac:dyDescent="0.15">
      <c r="A163" s="5"/>
      <c r="B163" s="3"/>
      <c r="C163" s="3"/>
      <c r="D163" s="3"/>
      <c r="E163" s="3"/>
      <c r="F163" s="3"/>
      <c r="G163" s="3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</row>
    <row r="164" spans="1:31" ht="14" x14ac:dyDescent="0.15">
      <c r="A164" s="5"/>
      <c r="B164" s="3"/>
      <c r="C164" s="3"/>
      <c r="D164" s="3"/>
      <c r="E164" s="3"/>
      <c r="F164" s="3"/>
      <c r="G164" s="3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</row>
    <row r="165" spans="1:31" ht="14" x14ac:dyDescent="0.15">
      <c r="A165" s="5"/>
      <c r="B165" s="3"/>
      <c r="C165" s="3"/>
      <c r="D165" s="3"/>
      <c r="E165" s="3"/>
      <c r="F165" s="3"/>
      <c r="G165" s="3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</row>
    <row r="166" spans="1:31" ht="14" x14ac:dyDescent="0.15">
      <c r="A166" s="5"/>
      <c r="B166" s="3"/>
      <c r="C166" s="3"/>
      <c r="D166" s="3"/>
      <c r="E166" s="3"/>
      <c r="F166" s="3"/>
      <c r="G166" s="3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</row>
    <row r="167" spans="1:31" ht="14" x14ac:dyDescent="0.15">
      <c r="A167" s="5"/>
      <c r="B167" s="3"/>
      <c r="C167" s="3"/>
      <c r="D167" s="3"/>
      <c r="E167" s="3"/>
      <c r="F167" s="3"/>
      <c r="G167" s="3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</row>
    <row r="168" spans="1:31" ht="14" x14ac:dyDescent="0.15">
      <c r="A168" s="5"/>
      <c r="B168" s="3"/>
      <c r="C168" s="3"/>
      <c r="D168" s="3"/>
      <c r="E168" s="3"/>
      <c r="F168" s="3"/>
      <c r="G168" s="3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</row>
    <row r="169" spans="1:31" ht="14" x14ac:dyDescent="0.15">
      <c r="A169" s="5"/>
      <c r="B169" s="3"/>
      <c r="C169" s="3"/>
      <c r="D169" s="3"/>
      <c r="E169" s="3"/>
      <c r="F169" s="3"/>
      <c r="G169" s="3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</row>
    <row r="170" spans="1:31" ht="14" x14ac:dyDescent="0.15">
      <c r="A170" s="5"/>
      <c r="B170" s="3"/>
      <c r="C170" s="3"/>
      <c r="D170" s="3"/>
      <c r="E170" s="3"/>
      <c r="F170" s="3"/>
      <c r="G170" s="3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</row>
    <row r="171" spans="1:31" ht="14" x14ac:dyDescent="0.15">
      <c r="A171" s="5"/>
      <c r="B171" s="3"/>
      <c r="C171" s="3"/>
      <c r="D171" s="3"/>
      <c r="E171" s="3"/>
      <c r="F171" s="3"/>
      <c r="G171" s="3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</row>
    <row r="172" spans="1:31" ht="14" x14ac:dyDescent="0.15">
      <c r="A172" s="5"/>
      <c r="B172" s="3"/>
      <c r="C172" s="3"/>
      <c r="D172" s="3"/>
      <c r="E172" s="3"/>
      <c r="F172" s="3"/>
      <c r="G172" s="3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</row>
    <row r="173" spans="1:31" ht="14" x14ac:dyDescent="0.15">
      <c r="A173" s="5"/>
      <c r="B173" s="3"/>
      <c r="C173" s="3"/>
      <c r="D173" s="3"/>
      <c r="E173" s="3"/>
      <c r="F173" s="3"/>
      <c r="G173" s="3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</row>
    <row r="174" spans="1:31" ht="14" x14ac:dyDescent="0.15">
      <c r="A174" s="5"/>
      <c r="B174" s="3"/>
      <c r="C174" s="3"/>
      <c r="D174" s="3"/>
      <c r="E174" s="3"/>
      <c r="F174" s="3"/>
      <c r="G174" s="3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</row>
    <row r="175" spans="1:31" ht="14" x14ac:dyDescent="0.15">
      <c r="A175" s="5"/>
      <c r="B175" s="3"/>
      <c r="C175" s="3"/>
      <c r="D175" s="3"/>
      <c r="E175" s="3"/>
      <c r="F175" s="3"/>
      <c r="G175" s="3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</row>
    <row r="176" spans="1:31" ht="14" x14ac:dyDescent="0.15">
      <c r="A176" s="5"/>
      <c r="B176" s="3"/>
      <c r="C176" s="3"/>
      <c r="D176" s="3"/>
      <c r="E176" s="3"/>
      <c r="F176" s="3"/>
      <c r="G176" s="3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</row>
    <row r="177" spans="1:31" ht="14" x14ac:dyDescent="0.15">
      <c r="A177" s="5"/>
      <c r="B177" s="3"/>
      <c r="C177" s="3"/>
      <c r="D177" s="3"/>
      <c r="E177" s="3"/>
      <c r="F177" s="3"/>
      <c r="G177" s="3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</row>
    <row r="178" spans="1:31" ht="14" x14ac:dyDescent="0.15">
      <c r="A178" s="5"/>
      <c r="B178" s="3"/>
      <c r="C178" s="3"/>
      <c r="D178" s="3"/>
      <c r="E178" s="3"/>
      <c r="F178" s="3"/>
      <c r="G178" s="3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</row>
    <row r="179" spans="1:31" ht="14" x14ac:dyDescent="0.15">
      <c r="A179" s="5"/>
      <c r="B179" s="3"/>
      <c r="C179" s="3"/>
      <c r="D179" s="3"/>
      <c r="E179" s="3"/>
      <c r="F179" s="3"/>
      <c r="G179" s="3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</row>
    <row r="180" spans="1:31" ht="14" x14ac:dyDescent="0.15">
      <c r="A180" s="5"/>
      <c r="B180" s="3"/>
      <c r="C180" s="3"/>
      <c r="D180" s="3"/>
      <c r="E180" s="3"/>
      <c r="F180" s="3"/>
      <c r="G180" s="3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</row>
    <row r="181" spans="1:31" ht="14" x14ac:dyDescent="0.15">
      <c r="A181" s="5"/>
      <c r="B181" s="3"/>
      <c r="C181" s="3"/>
      <c r="D181" s="3"/>
      <c r="E181" s="3"/>
      <c r="F181" s="3"/>
      <c r="G181" s="3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</row>
    <row r="182" spans="1:31" ht="14" x14ac:dyDescent="0.15">
      <c r="A182" s="5"/>
      <c r="B182" s="3"/>
      <c r="C182" s="3"/>
      <c r="D182" s="3"/>
      <c r="E182" s="3"/>
      <c r="F182" s="3"/>
      <c r="G182" s="3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</row>
    <row r="183" spans="1:31" ht="14" x14ac:dyDescent="0.15">
      <c r="A183" s="5"/>
      <c r="B183" s="3"/>
      <c r="C183" s="3"/>
      <c r="D183" s="3"/>
      <c r="E183" s="3"/>
      <c r="F183" s="3"/>
      <c r="G183" s="3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</row>
    <row r="184" spans="1:31" ht="14" x14ac:dyDescent="0.15">
      <c r="A184" s="5"/>
      <c r="B184" s="3"/>
      <c r="C184" s="3"/>
      <c r="D184" s="3"/>
      <c r="E184" s="3"/>
      <c r="F184" s="3"/>
      <c r="G184" s="3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</row>
    <row r="185" spans="1:31" ht="14" x14ac:dyDescent="0.15">
      <c r="A185" s="5"/>
      <c r="B185" s="3"/>
      <c r="C185" s="3"/>
      <c r="D185" s="3"/>
      <c r="E185" s="3"/>
      <c r="F185" s="3"/>
      <c r="G185" s="3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</row>
    <row r="186" spans="1:31" ht="14" x14ac:dyDescent="0.15">
      <c r="A186" s="5"/>
      <c r="B186" s="3"/>
      <c r="C186" s="3"/>
      <c r="D186" s="3"/>
      <c r="E186" s="3"/>
      <c r="F186" s="3"/>
      <c r="G186" s="3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</row>
    <row r="187" spans="1:31" ht="14" x14ac:dyDescent="0.15">
      <c r="A187" s="5"/>
      <c r="B187" s="3"/>
      <c r="C187" s="3"/>
      <c r="D187" s="3"/>
      <c r="E187" s="3"/>
      <c r="F187" s="3"/>
      <c r="G187" s="3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</row>
    <row r="188" spans="1:31" ht="14" x14ac:dyDescent="0.15">
      <c r="A188" s="5"/>
      <c r="B188" s="3"/>
      <c r="C188" s="3"/>
      <c r="D188" s="3"/>
      <c r="E188" s="3"/>
      <c r="F188" s="3"/>
      <c r="G188" s="3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</row>
    <row r="189" spans="1:31" ht="14" x14ac:dyDescent="0.15">
      <c r="A189" s="5"/>
      <c r="B189" s="3"/>
      <c r="C189" s="3"/>
      <c r="D189" s="3"/>
      <c r="E189" s="3"/>
      <c r="F189" s="3"/>
      <c r="G189" s="3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</row>
    <row r="190" spans="1:31" ht="14" x14ac:dyDescent="0.15">
      <c r="A190" s="5"/>
      <c r="B190" s="3"/>
      <c r="C190" s="3"/>
      <c r="D190" s="3"/>
      <c r="E190" s="3"/>
      <c r="F190" s="3"/>
      <c r="G190" s="3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</row>
    <row r="191" spans="1:31" ht="14" x14ac:dyDescent="0.15">
      <c r="A191" s="5"/>
      <c r="B191" s="3"/>
      <c r="C191" s="3"/>
      <c r="D191" s="3"/>
      <c r="E191" s="3"/>
      <c r="F191" s="3"/>
      <c r="G191" s="3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</row>
    <row r="192" spans="1:31" ht="14" x14ac:dyDescent="0.15">
      <c r="A192" s="5"/>
      <c r="B192" s="3"/>
      <c r="C192" s="3"/>
      <c r="D192" s="3"/>
      <c r="E192" s="3"/>
      <c r="F192" s="3"/>
      <c r="G192" s="3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</row>
    <row r="193" spans="1:31" ht="14" x14ac:dyDescent="0.15">
      <c r="A193" s="5"/>
      <c r="B193" s="3"/>
      <c r="C193" s="3"/>
      <c r="D193" s="3"/>
      <c r="E193" s="3"/>
      <c r="F193" s="3"/>
      <c r="G193" s="3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</row>
    <row r="194" spans="1:31" ht="14" x14ac:dyDescent="0.15">
      <c r="A194" s="5"/>
      <c r="B194" s="3"/>
      <c r="C194" s="3"/>
      <c r="D194" s="3"/>
      <c r="E194" s="3"/>
      <c r="F194" s="3"/>
      <c r="G194" s="3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</row>
    <row r="195" spans="1:31" ht="14" x14ac:dyDescent="0.15">
      <c r="A195" s="5"/>
      <c r="B195" s="3"/>
      <c r="C195" s="3"/>
      <c r="D195" s="3"/>
      <c r="E195" s="3"/>
      <c r="F195" s="3"/>
      <c r="G195" s="3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</row>
    <row r="196" spans="1:31" ht="14" x14ac:dyDescent="0.15">
      <c r="A196" s="5"/>
      <c r="B196" s="3"/>
      <c r="C196" s="3"/>
      <c r="D196" s="3"/>
      <c r="E196" s="3"/>
      <c r="F196" s="3"/>
      <c r="G196" s="3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</row>
    <row r="197" spans="1:31" ht="14" x14ac:dyDescent="0.15">
      <c r="A197" s="5"/>
      <c r="B197" s="3"/>
      <c r="C197" s="3"/>
      <c r="D197" s="3"/>
      <c r="E197" s="3"/>
      <c r="F197" s="3"/>
      <c r="G197" s="3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</row>
    <row r="198" spans="1:31" ht="14" x14ac:dyDescent="0.15">
      <c r="A198" s="5"/>
      <c r="B198" s="3"/>
      <c r="C198" s="3"/>
      <c r="D198" s="3"/>
      <c r="E198" s="3"/>
      <c r="F198" s="3"/>
      <c r="G198" s="3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</row>
    <row r="199" spans="1:31" ht="14" x14ac:dyDescent="0.15">
      <c r="A199" s="5"/>
      <c r="B199" s="3"/>
      <c r="C199" s="3"/>
      <c r="D199" s="3"/>
      <c r="E199" s="3"/>
      <c r="F199" s="3"/>
      <c r="G199" s="3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</row>
    <row r="200" spans="1:31" ht="14" x14ac:dyDescent="0.15">
      <c r="A200" s="5"/>
      <c r="B200" s="3"/>
      <c r="C200" s="3"/>
      <c r="D200" s="3"/>
      <c r="E200" s="3"/>
      <c r="F200" s="3"/>
      <c r="G200" s="3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</row>
    <row r="201" spans="1:31" ht="14" x14ac:dyDescent="0.15">
      <c r="A201" s="5"/>
      <c r="B201" s="3"/>
      <c r="C201" s="3"/>
      <c r="D201" s="3"/>
      <c r="E201" s="3"/>
      <c r="F201" s="3"/>
      <c r="G201" s="3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</row>
    <row r="202" spans="1:31" ht="14" x14ac:dyDescent="0.15">
      <c r="A202" s="5"/>
      <c r="B202" s="3"/>
      <c r="C202" s="3"/>
      <c r="D202" s="3"/>
      <c r="E202" s="3"/>
      <c r="F202" s="3"/>
      <c r="G202" s="3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</row>
    <row r="203" spans="1:31" ht="14" x14ac:dyDescent="0.15">
      <c r="A203" s="5"/>
      <c r="B203" s="3"/>
      <c r="C203" s="3"/>
      <c r="D203" s="3"/>
      <c r="E203" s="3"/>
      <c r="F203" s="3"/>
      <c r="G203" s="3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</row>
    <row r="204" spans="1:31" ht="14" x14ac:dyDescent="0.15">
      <c r="A204" s="5"/>
      <c r="B204" s="3"/>
      <c r="C204" s="3"/>
      <c r="D204" s="3"/>
      <c r="E204" s="3"/>
      <c r="F204" s="3"/>
      <c r="G204" s="3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</row>
    <row r="205" spans="1:31" ht="14" x14ac:dyDescent="0.15">
      <c r="A205" s="5"/>
      <c r="B205" s="3"/>
      <c r="C205" s="3"/>
      <c r="D205" s="3"/>
      <c r="E205" s="3"/>
      <c r="F205" s="3"/>
      <c r="G205" s="3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</row>
    <row r="206" spans="1:31" ht="14" x14ac:dyDescent="0.15">
      <c r="A206" s="5"/>
      <c r="B206" s="3"/>
      <c r="C206" s="3"/>
      <c r="D206" s="3"/>
      <c r="E206" s="3"/>
      <c r="F206" s="3"/>
      <c r="G206" s="3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</row>
    <row r="207" spans="1:31" ht="14" x14ac:dyDescent="0.15">
      <c r="A207" s="5"/>
      <c r="B207" s="3"/>
      <c r="C207" s="3"/>
      <c r="D207" s="3"/>
      <c r="E207" s="3"/>
      <c r="F207" s="3"/>
      <c r="G207" s="3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</row>
    <row r="208" spans="1:31" ht="14" x14ac:dyDescent="0.15">
      <c r="A208" s="5"/>
      <c r="B208" s="3"/>
      <c r="C208" s="3"/>
      <c r="D208" s="3"/>
      <c r="E208" s="3"/>
      <c r="F208" s="3"/>
      <c r="G208" s="3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</row>
    <row r="209" spans="1:31" ht="14" x14ac:dyDescent="0.15">
      <c r="A209" s="5"/>
      <c r="B209" s="3"/>
      <c r="C209" s="3"/>
      <c r="D209" s="3"/>
      <c r="E209" s="3"/>
      <c r="F209" s="3"/>
      <c r="G209" s="3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</row>
    <row r="210" spans="1:31" ht="14" x14ac:dyDescent="0.15">
      <c r="A210" s="5"/>
      <c r="B210" s="3"/>
      <c r="C210" s="3"/>
      <c r="D210" s="3"/>
      <c r="E210" s="3"/>
      <c r="F210" s="3"/>
      <c r="G210" s="3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</row>
    <row r="211" spans="1:31" ht="14" x14ac:dyDescent="0.15">
      <c r="A211" s="5"/>
      <c r="B211" s="3"/>
      <c r="C211" s="3"/>
      <c r="D211" s="3"/>
      <c r="E211" s="3"/>
      <c r="F211" s="3"/>
      <c r="G211" s="3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</row>
    <row r="212" spans="1:31" ht="14" x14ac:dyDescent="0.15">
      <c r="A212" s="5"/>
      <c r="B212" s="3"/>
      <c r="C212" s="3"/>
      <c r="D212" s="3"/>
      <c r="E212" s="3"/>
      <c r="F212" s="3"/>
      <c r="G212" s="3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</row>
    <row r="213" spans="1:31" ht="14" x14ac:dyDescent="0.15">
      <c r="A213" s="5"/>
      <c r="B213" s="3"/>
      <c r="C213" s="3"/>
      <c r="D213" s="3"/>
      <c r="E213" s="3"/>
      <c r="F213" s="3"/>
      <c r="G213" s="3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</row>
    <row r="214" spans="1:31" ht="14" x14ac:dyDescent="0.15">
      <c r="A214" s="5"/>
      <c r="B214" s="3"/>
      <c r="C214" s="3"/>
      <c r="D214" s="3"/>
      <c r="E214" s="3"/>
      <c r="F214" s="3"/>
      <c r="G214" s="3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</row>
    <row r="215" spans="1:31" ht="14" x14ac:dyDescent="0.15">
      <c r="A215" s="5"/>
      <c r="B215" s="3"/>
      <c r="C215" s="3"/>
      <c r="D215" s="3"/>
      <c r="E215" s="3"/>
      <c r="F215" s="3"/>
      <c r="G215" s="3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</row>
    <row r="216" spans="1:31" ht="14" x14ac:dyDescent="0.15">
      <c r="A216" s="5"/>
      <c r="B216" s="3"/>
      <c r="C216" s="3"/>
      <c r="D216" s="3"/>
      <c r="E216" s="3"/>
      <c r="F216" s="3"/>
      <c r="G216" s="3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</row>
    <row r="217" spans="1:31" ht="14" x14ac:dyDescent="0.15">
      <c r="A217" s="5"/>
      <c r="B217" s="3"/>
      <c r="C217" s="3"/>
      <c r="D217" s="3"/>
      <c r="E217" s="3"/>
      <c r="F217" s="3"/>
      <c r="G217" s="3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</row>
    <row r="218" spans="1:31" ht="14" x14ac:dyDescent="0.15">
      <c r="A218" s="5"/>
      <c r="B218" s="3"/>
      <c r="C218" s="3"/>
      <c r="D218" s="3"/>
      <c r="E218" s="3"/>
      <c r="F218" s="3"/>
      <c r="G218" s="3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</row>
    <row r="219" spans="1:31" ht="14" x14ac:dyDescent="0.15">
      <c r="A219" s="5"/>
      <c r="B219" s="3"/>
      <c r="C219" s="3"/>
      <c r="D219" s="3"/>
      <c r="E219" s="3"/>
      <c r="F219" s="3"/>
      <c r="G219" s="3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</row>
    <row r="220" spans="1:31" ht="14" x14ac:dyDescent="0.15">
      <c r="A220" s="5"/>
      <c r="B220" s="3"/>
      <c r="C220" s="3"/>
      <c r="D220" s="3"/>
      <c r="E220" s="3"/>
      <c r="F220" s="3"/>
      <c r="G220" s="3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</row>
    <row r="221" spans="1:31" ht="14" x14ac:dyDescent="0.15">
      <c r="A221" s="5"/>
      <c r="B221" s="3"/>
      <c r="C221" s="3"/>
      <c r="D221" s="3"/>
      <c r="E221" s="3"/>
      <c r="F221" s="3"/>
      <c r="G221" s="3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</row>
    <row r="222" spans="1:31" ht="14" x14ac:dyDescent="0.15">
      <c r="A222" s="5"/>
      <c r="B222" s="3"/>
      <c r="C222" s="3"/>
      <c r="D222" s="3"/>
      <c r="E222" s="3"/>
      <c r="F222" s="3"/>
      <c r="G222" s="3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</row>
    <row r="223" spans="1:31" ht="14" x14ac:dyDescent="0.15">
      <c r="A223" s="5"/>
      <c r="B223" s="3"/>
      <c r="C223" s="3"/>
      <c r="D223" s="3"/>
      <c r="E223" s="3"/>
      <c r="F223" s="3"/>
      <c r="G223" s="3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</row>
    <row r="224" spans="1:31" ht="14" x14ac:dyDescent="0.15">
      <c r="A224" s="5"/>
      <c r="B224" s="3"/>
      <c r="C224" s="3"/>
      <c r="D224" s="3"/>
      <c r="E224" s="3"/>
      <c r="F224" s="3"/>
      <c r="G224" s="3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</row>
    <row r="225" spans="1:31" ht="14" x14ac:dyDescent="0.15">
      <c r="A225" s="5"/>
      <c r="B225" s="3"/>
      <c r="C225" s="3"/>
      <c r="D225" s="3"/>
      <c r="E225" s="3"/>
      <c r="F225" s="3"/>
      <c r="G225" s="3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</row>
    <row r="226" spans="1:31" ht="14" x14ac:dyDescent="0.15">
      <c r="A226" s="5"/>
      <c r="B226" s="3"/>
      <c r="C226" s="3"/>
      <c r="D226" s="3"/>
      <c r="E226" s="3"/>
      <c r="F226" s="3"/>
      <c r="G226" s="3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</row>
    <row r="227" spans="1:31" ht="14" x14ac:dyDescent="0.15">
      <c r="A227" s="5"/>
      <c r="B227" s="3"/>
      <c r="C227" s="3"/>
      <c r="D227" s="3"/>
      <c r="E227" s="3"/>
      <c r="F227" s="3"/>
      <c r="G227" s="3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</row>
    <row r="228" spans="1:31" ht="14" x14ac:dyDescent="0.15">
      <c r="A228" s="5"/>
      <c r="B228" s="3"/>
      <c r="C228" s="3"/>
      <c r="D228" s="3"/>
      <c r="E228" s="3"/>
      <c r="F228" s="3"/>
      <c r="G228" s="3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</row>
    <row r="229" spans="1:31" ht="14" x14ac:dyDescent="0.15">
      <c r="A229" s="5"/>
      <c r="B229" s="3"/>
      <c r="C229" s="3"/>
      <c r="D229" s="3"/>
      <c r="E229" s="3"/>
      <c r="F229" s="3"/>
      <c r="G229" s="3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</row>
    <row r="230" spans="1:31" ht="14" x14ac:dyDescent="0.15">
      <c r="A230" s="5"/>
      <c r="B230" s="3"/>
      <c r="C230" s="3"/>
      <c r="D230" s="3"/>
      <c r="E230" s="3"/>
      <c r="F230" s="3"/>
      <c r="G230" s="3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</row>
    <row r="231" spans="1:31" ht="14" x14ac:dyDescent="0.15">
      <c r="A231" s="5"/>
      <c r="B231" s="3"/>
      <c r="C231" s="3"/>
      <c r="D231" s="3"/>
      <c r="E231" s="3"/>
      <c r="F231" s="3"/>
      <c r="G231" s="3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</row>
    <row r="232" spans="1:31" ht="14" x14ac:dyDescent="0.15">
      <c r="A232" s="5"/>
      <c r="B232" s="3"/>
      <c r="C232" s="3"/>
      <c r="D232" s="3"/>
      <c r="E232" s="3"/>
      <c r="F232" s="3"/>
      <c r="G232" s="3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</row>
    <row r="233" spans="1:31" ht="14" x14ac:dyDescent="0.15">
      <c r="A233" s="5"/>
      <c r="B233" s="3"/>
      <c r="C233" s="3"/>
      <c r="D233" s="3"/>
      <c r="E233" s="3"/>
      <c r="F233" s="3"/>
      <c r="G233" s="3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</row>
    <row r="234" spans="1:31" ht="14" x14ac:dyDescent="0.15">
      <c r="A234" s="5"/>
      <c r="B234" s="3"/>
      <c r="C234" s="3"/>
      <c r="D234" s="3"/>
      <c r="E234" s="3"/>
      <c r="F234" s="3"/>
      <c r="G234" s="3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</row>
    <row r="235" spans="1:31" ht="14" x14ac:dyDescent="0.15">
      <c r="A235" s="5"/>
      <c r="B235" s="3"/>
      <c r="C235" s="3"/>
      <c r="D235" s="3"/>
      <c r="E235" s="3"/>
      <c r="F235" s="3"/>
      <c r="G235" s="3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</row>
    <row r="236" spans="1:31" ht="14" x14ac:dyDescent="0.15">
      <c r="A236" s="5"/>
      <c r="B236" s="3"/>
      <c r="C236" s="3"/>
      <c r="D236" s="3"/>
      <c r="E236" s="3"/>
      <c r="F236" s="3"/>
      <c r="G236" s="3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</row>
    <row r="237" spans="1:31" ht="14" x14ac:dyDescent="0.15">
      <c r="A237" s="5"/>
      <c r="B237" s="3"/>
      <c r="C237" s="3"/>
      <c r="D237" s="3"/>
      <c r="E237" s="3"/>
      <c r="F237" s="3"/>
      <c r="G237" s="3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</row>
    <row r="238" spans="1:31" ht="14" x14ac:dyDescent="0.15">
      <c r="A238" s="5"/>
      <c r="B238" s="3"/>
      <c r="C238" s="3"/>
      <c r="D238" s="3"/>
      <c r="E238" s="3"/>
      <c r="F238" s="3"/>
      <c r="G238" s="3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</row>
    <row r="239" spans="1:31" ht="14" x14ac:dyDescent="0.15">
      <c r="A239" s="5"/>
      <c r="B239" s="3"/>
      <c r="C239" s="3"/>
      <c r="D239" s="3"/>
      <c r="E239" s="3"/>
      <c r="F239" s="3"/>
      <c r="G239" s="3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</row>
    <row r="240" spans="1:31" ht="14" x14ac:dyDescent="0.15">
      <c r="A240" s="5"/>
      <c r="B240" s="3"/>
      <c r="C240" s="3"/>
      <c r="D240" s="3"/>
      <c r="E240" s="3"/>
      <c r="F240" s="3"/>
      <c r="G240" s="3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</row>
    <row r="241" spans="1:31" ht="14" x14ac:dyDescent="0.15">
      <c r="A241" s="5"/>
      <c r="B241" s="3"/>
      <c r="C241" s="3"/>
      <c r="D241" s="3"/>
      <c r="E241" s="3"/>
      <c r="F241" s="3"/>
      <c r="G241" s="3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</row>
    <row r="242" spans="1:31" ht="14" x14ac:dyDescent="0.15">
      <c r="A242" s="5"/>
      <c r="B242" s="3"/>
      <c r="C242" s="3"/>
      <c r="D242" s="3"/>
      <c r="E242" s="3"/>
      <c r="F242" s="3"/>
      <c r="G242" s="3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</row>
    <row r="243" spans="1:31" ht="14" x14ac:dyDescent="0.15">
      <c r="A243" s="5"/>
      <c r="B243" s="3"/>
      <c r="C243" s="3"/>
      <c r="D243" s="3"/>
      <c r="E243" s="3"/>
      <c r="F243" s="3"/>
      <c r="G243" s="3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</row>
    <row r="244" spans="1:31" ht="14" x14ac:dyDescent="0.15">
      <c r="A244" s="5"/>
      <c r="B244" s="3"/>
      <c r="C244" s="3"/>
      <c r="D244" s="3"/>
      <c r="E244" s="3"/>
      <c r="F244" s="3"/>
      <c r="G244" s="3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</row>
    <row r="245" spans="1:31" ht="14" x14ac:dyDescent="0.15">
      <c r="A245" s="5"/>
      <c r="B245" s="3"/>
      <c r="C245" s="3"/>
      <c r="D245" s="3"/>
      <c r="E245" s="3"/>
      <c r="F245" s="3"/>
      <c r="G245" s="3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</row>
    <row r="246" spans="1:31" ht="14" x14ac:dyDescent="0.15">
      <c r="A246" s="5"/>
      <c r="B246" s="3"/>
      <c r="C246" s="3"/>
      <c r="D246" s="3"/>
      <c r="E246" s="3"/>
      <c r="F246" s="3"/>
      <c r="G246" s="3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</row>
    <row r="247" spans="1:31" ht="14" x14ac:dyDescent="0.15">
      <c r="A247" s="5"/>
      <c r="B247" s="3"/>
      <c r="C247" s="3"/>
      <c r="D247" s="3"/>
      <c r="E247" s="3"/>
      <c r="F247" s="3"/>
      <c r="G247" s="3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</row>
    <row r="248" spans="1:31" ht="14" x14ac:dyDescent="0.15">
      <c r="A248" s="5"/>
      <c r="B248" s="3"/>
      <c r="C248" s="3"/>
      <c r="D248" s="3"/>
      <c r="E248" s="3"/>
      <c r="F248" s="3"/>
      <c r="G248" s="3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</row>
    <row r="249" spans="1:31" ht="14" x14ac:dyDescent="0.15">
      <c r="A249" s="5"/>
      <c r="B249" s="3"/>
      <c r="C249" s="3"/>
      <c r="D249" s="3"/>
      <c r="E249" s="3"/>
      <c r="F249" s="3"/>
      <c r="G249" s="3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</row>
    <row r="250" spans="1:31" ht="14" x14ac:dyDescent="0.15">
      <c r="A250" s="5"/>
      <c r="B250" s="3"/>
      <c r="C250" s="3"/>
      <c r="D250" s="3"/>
      <c r="E250" s="3"/>
      <c r="F250" s="3"/>
      <c r="G250" s="3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</row>
    <row r="251" spans="1:31" ht="14" x14ac:dyDescent="0.15">
      <c r="A251" s="5"/>
      <c r="B251" s="3"/>
      <c r="C251" s="3"/>
      <c r="D251" s="3"/>
      <c r="E251" s="3"/>
      <c r="F251" s="3"/>
      <c r="G251" s="3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</row>
    <row r="252" spans="1:31" ht="14" x14ac:dyDescent="0.15">
      <c r="A252" s="5"/>
      <c r="B252" s="3"/>
      <c r="C252" s="3"/>
      <c r="D252" s="3"/>
      <c r="E252" s="3"/>
      <c r="F252" s="3"/>
      <c r="G252" s="3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</row>
    <row r="253" spans="1:31" ht="14" x14ac:dyDescent="0.15">
      <c r="A253" s="5"/>
      <c r="B253" s="3"/>
      <c r="C253" s="3"/>
      <c r="D253" s="3"/>
      <c r="E253" s="3"/>
      <c r="F253" s="3"/>
      <c r="G253" s="3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</row>
    <row r="254" spans="1:31" ht="14" x14ac:dyDescent="0.15">
      <c r="A254" s="5"/>
      <c r="B254" s="3"/>
      <c r="C254" s="3"/>
      <c r="D254" s="3"/>
      <c r="E254" s="3"/>
      <c r="F254" s="3"/>
      <c r="G254" s="3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</row>
    <row r="255" spans="1:31" ht="14" x14ac:dyDescent="0.15">
      <c r="A255" s="5"/>
      <c r="B255" s="3"/>
      <c r="C255" s="3"/>
      <c r="D255" s="3"/>
      <c r="E255" s="3"/>
      <c r="F255" s="3"/>
      <c r="G255" s="3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</row>
    <row r="256" spans="1:31" ht="14" x14ac:dyDescent="0.15">
      <c r="A256" s="5"/>
      <c r="B256" s="3"/>
      <c r="C256" s="3"/>
      <c r="D256" s="3"/>
      <c r="E256" s="3"/>
      <c r="F256" s="3"/>
      <c r="G256" s="3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</row>
    <row r="257" spans="1:31" ht="14" x14ac:dyDescent="0.15">
      <c r="A257" s="5"/>
      <c r="B257" s="3"/>
      <c r="C257" s="3"/>
      <c r="D257" s="3"/>
      <c r="E257" s="3"/>
      <c r="F257" s="3"/>
      <c r="G257" s="3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</row>
    <row r="258" spans="1:31" ht="14" x14ac:dyDescent="0.15">
      <c r="A258" s="5"/>
      <c r="B258" s="3"/>
      <c r="C258" s="3"/>
      <c r="D258" s="3"/>
      <c r="E258" s="3"/>
      <c r="F258" s="3"/>
      <c r="G258" s="3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</row>
    <row r="259" spans="1:31" ht="14" x14ac:dyDescent="0.15">
      <c r="A259" s="5"/>
      <c r="B259" s="3"/>
      <c r="C259" s="3"/>
      <c r="D259" s="3"/>
      <c r="E259" s="3"/>
      <c r="F259" s="3"/>
      <c r="G259" s="3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</row>
    <row r="260" spans="1:31" ht="14" x14ac:dyDescent="0.15">
      <c r="A260" s="5"/>
      <c r="B260" s="3"/>
      <c r="C260" s="3"/>
      <c r="D260" s="3"/>
      <c r="E260" s="3"/>
      <c r="F260" s="3"/>
      <c r="G260" s="3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</row>
    <row r="261" spans="1:31" ht="14" x14ac:dyDescent="0.15">
      <c r="A261" s="5"/>
      <c r="B261" s="3"/>
      <c r="C261" s="3"/>
      <c r="D261" s="3"/>
      <c r="E261" s="3"/>
      <c r="F261" s="3"/>
      <c r="G261" s="3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</row>
    <row r="262" spans="1:31" ht="14" x14ac:dyDescent="0.15">
      <c r="A262" s="5"/>
      <c r="B262" s="3"/>
      <c r="C262" s="3"/>
      <c r="D262" s="3"/>
      <c r="E262" s="3"/>
      <c r="F262" s="3"/>
      <c r="G262" s="3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</row>
    <row r="263" spans="1:31" ht="14" x14ac:dyDescent="0.15">
      <c r="A263" s="5"/>
      <c r="B263" s="3"/>
      <c r="C263" s="3"/>
      <c r="D263" s="3"/>
      <c r="E263" s="3"/>
      <c r="F263" s="3"/>
      <c r="G263" s="3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</row>
    <row r="264" spans="1:31" ht="14" x14ac:dyDescent="0.15">
      <c r="A264" s="5"/>
      <c r="B264" s="3"/>
      <c r="C264" s="3"/>
      <c r="D264" s="3"/>
      <c r="E264" s="3"/>
      <c r="F264" s="3"/>
      <c r="G264" s="3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</row>
    <row r="265" spans="1:31" ht="14" x14ac:dyDescent="0.15">
      <c r="A265" s="5"/>
      <c r="B265" s="3"/>
      <c r="C265" s="3"/>
      <c r="D265" s="3"/>
      <c r="E265" s="3"/>
      <c r="F265" s="3"/>
      <c r="G265" s="3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</row>
    <row r="266" spans="1:31" ht="14" x14ac:dyDescent="0.15">
      <c r="A266" s="5"/>
      <c r="B266" s="3"/>
      <c r="C266" s="3"/>
      <c r="D266" s="3"/>
      <c r="E266" s="3"/>
      <c r="F266" s="3"/>
      <c r="G266" s="3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</row>
    <row r="267" spans="1:31" ht="14" x14ac:dyDescent="0.15">
      <c r="A267" s="5"/>
      <c r="B267" s="3"/>
      <c r="C267" s="3"/>
      <c r="D267" s="3"/>
      <c r="E267" s="3"/>
      <c r="F267" s="3"/>
      <c r="G267" s="3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</row>
    <row r="268" spans="1:31" ht="14" x14ac:dyDescent="0.15">
      <c r="A268" s="5"/>
      <c r="B268" s="3"/>
      <c r="C268" s="3"/>
      <c r="D268" s="3"/>
      <c r="E268" s="3"/>
      <c r="F268" s="3"/>
      <c r="G268" s="3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</row>
    <row r="269" spans="1:31" ht="14" x14ac:dyDescent="0.15">
      <c r="A269" s="5"/>
      <c r="B269" s="3"/>
      <c r="C269" s="3"/>
      <c r="D269" s="3"/>
      <c r="E269" s="3"/>
      <c r="F269" s="3"/>
      <c r="G269" s="3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</row>
    <row r="270" spans="1:31" ht="14" x14ac:dyDescent="0.15">
      <c r="A270" s="5"/>
      <c r="B270" s="3"/>
      <c r="C270" s="3"/>
      <c r="D270" s="3"/>
      <c r="E270" s="3"/>
      <c r="F270" s="3"/>
      <c r="G270" s="3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</row>
    <row r="271" spans="1:31" ht="14" x14ac:dyDescent="0.15">
      <c r="A271" s="5"/>
      <c r="B271" s="3"/>
      <c r="C271" s="3"/>
      <c r="D271" s="3"/>
      <c r="E271" s="3"/>
      <c r="F271" s="3"/>
      <c r="G271" s="3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</row>
    <row r="272" spans="1:31" ht="14" x14ac:dyDescent="0.15">
      <c r="A272" s="5"/>
      <c r="B272" s="3"/>
      <c r="C272" s="3"/>
      <c r="D272" s="3"/>
      <c r="E272" s="3"/>
      <c r="F272" s="3"/>
      <c r="G272" s="3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</row>
    <row r="273" spans="1:31" ht="14" x14ac:dyDescent="0.15">
      <c r="A273" s="5"/>
      <c r="B273" s="3"/>
      <c r="C273" s="3"/>
      <c r="D273" s="3"/>
      <c r="E273" s="3"/>
      <c r="F273" s="3"/>
      <c r="G273" s="3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</row>
    <row r="274" spans="1:31" ht="14" x14ac:dyDescent="0.15">
      <c r="A274" s="5"/>
      <c r="B274" s="3"/>
      <c r="C274" s="3"/>
      <c r="D274" s="3"/>
      <c r="E274" s="3"/>
      <c r="F274" s="3"/>
      <c r="G274" s="3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</row>
    <row r="275" spans="1:31" ht="14" x14ac:dyDescent="0.15">
      <c r="A275" s="5"/>
      <c r="B275" s="3"/>
      <c r="C275" s="3"/>
      <c r="D275" s="3"/>
      <c r="E275" s="3"/>
      <c r="F275" s="3"/>
      <c r="G275" s="3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</row>
    <row r="276" spans="1:31" ht="14" x14ac:dyDescent="0.15">
      <c r="A276" s="5"/>
      <c r="B276" s="3"/>
      <c r="C276" s="3"/>
      <c r="D276" s="3"/>
      <c r="E276" s="3"/>
      <c r="F276" s="3"/>
      <c r="G276" s="3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</row>
    <row r="277" spans="1:31" ht="14" x14ac:dyDescent="0.15">
      <c r="A277" s="5"/>
      <c r="B277" s="3"/>
      <c r="C277" s="3"/>
      <c r="D277" s="3"/>
      <c r="E277" s="3"/>
      <c r="F277" s="3"/>
      <c r="G277" s="3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</row>
    <row r="278" spans="1:31" ht="14" x14ac:dyDescent="0.15">
      <c r="A278" s="5"/>
      <c r="B278" s="3"/>
      <c r="C278" s="3"/>
      <c r="D278" s="3"/>
      <c r="E278" s="3"/>
      <c r="F278" s="3"/>
      <c r="G278" s="3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</row>
    <row r="279" spans="1:31" ht="14" x14ac:dyDescent="0.15">
      <c r="A279" s="5"/>
      <c r="B279" s="3"/>
      <c r="C279" s="3"/>
      <c r="D279" s="3"/>
      <c r="E279" s="3"/>
      <c r="F279" s="3"/>
      <c r="G279" s="3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</row>
    <row r="280" spans="1:31" ht="14" x14ac:dyDescent="0.15">
      <c r="A280" s="5"/>
      <c r="B280" s="3"/>
      <c r="C280" s="3"/>
      <c r="D280" s="3"/>
      <c r="E280" s="3"/>
      <c r="F280" s="3"/>
      <c r="G280" s="3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</row>
    <row r="281" spans="1:31" ht="14" x14ac:dyDescent="0.15">
      <c r="A281" s="5"/>
      <c r="B281" s="3"/>
      <c r="C281" s="3"/>
      <c r="D281" s="3"/>
      <c r="E281" s="3"/>
      <c r="F281" s="3"/>
      <c r="G281" s="3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</row>
    <row r="282" spans="1:31" ht="14" x14ac:dyDescent="0.15">
      <c r="A282" s="5"/>
      <c r="B282" s="3"/>
      <c r="C282" s="3"/>
      <c r="D282" s="3"/>
      <c r="E282" s="3"/>
      <c r="F282" s="3"/>
      <c r="G282" s="3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</row>
    <row r="283" spans="1:31" ht="14" x14ac:dyDescent="0.15">
      <c r="A283" s="5"/>
      <c r="B283" s="3"/>
      <c r="C283" s="3"/>
      <c r="D283" s="3"/>
      <c r="E283" s="3"/>
      <c r="F283" s="3"/>
      <c r="G283" s="3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</row>
    <row r="284" spans="1:31" ht="14" x14ac:dyDescent="0.15">
      <c r="A284" s="5"/>
      <c r="B284" s="3"/>
      <c r="C284" s="3"/>
      <c r="D284" s="3"/>
      <c r="E284" s="3"/>
      <c r="F284" s="3"/>
      <c r="G284" s="3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</row>
    <row r="285" spans="1:31" ht="14" x14ac:dyDescent="0.15">
      <c r="A285" s="5"/>
      <c r="B285" s="3"/>
      <c r="C285" s="3"/>
      <c r="D285" s="3"/>
      <c r="E285" s="3"/>
      <c r="F285" s="3"/>
      <c r="G285" s="3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</row>
    <row r="286" spans="1:31" ht="14" x14ac:dyDescent="0.15">
      <c r="A286" s="5"/>
      <c r="B286" s="3"/>
      <c r="C286" s="3"/>
      <c r="D286" s="3"/>
      <c r="E286" s="3"/>
      <c r="F286" s="3"/>
      <c r="G286" s="3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</row>
    <row r="287" spans="1:31" ht="14" x14ac:dyDescent="0.15">
      <c r="A287" s="5"/>
      <c r="B287" s="3"/>
      <c r="C287" s="3"/>
      <c r="D287" s="3"/>
      <c r="E287" s="3"/>
      <c r="F287" s="3"/>
      <c r="G287" s="3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</row>
    <row r="288" spans="1:31" ht="14" x14ac:dyDescent="0.15">
      <c r="A288" s="5"/>
      <c r="B288" s="3"/>
      <c r="C288" s="3"/>
      <c r="D288" s="3"/>
      <c r="E288" s="3"/>
      <c r="F288" s="3"/>
      <c r="G288" s="3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</row>
    <row r="289" spans="1:31" ht="14" x14ac:dyDescent="0.15">
      <c r="A289" s="5"/>
      <c r="B289" s="3"/>
      <c r="C289" s="3"/>
      <c r="D289" s="3"/>
      <c r="E289" s="3"/>
      <c r="F289" s="3"/>
      <c r="G289" s="3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</row>
    <row r="290" spans="1:31" ht="14" x14ac:dyDescent="0.15">
      <c r="A290" s="5"/>
      <c r="B290" s="3"/>
      <c r="C290" s="3"/>
      <c r="D290" s="3"/>
      <c r="E290" s="3"/>
      <c r="F290" s="3"/>
      <c r="G290" s="3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</row>
    <row r="291" spans="1:31" ht="14" x14ac:dyDescent="0.15">
      <c r="A291" s="5"/>
      <c r="B291" s="3"/>
      <c r="C291" s="3"/>
      <c r="D291" s="3"/>
      <c r="E291" s="3"/>
      <c r="F291" s="3"/>
      <c r="G291" s="3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</row>
    <row r="292" spans="1:31" ht="14" x14ac:dyDescent="0.15">
      <c r="A292" s="5"/>
      <c r="B292" s="3"/>
      <c r="C292" s="3"/>
      <c r="D292" s="3"/>
      <c r="E292" s="3"/>
      <c r="F292" s="3"/>
      <c r="G292" s="3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</row>
    <row r="293" spans="1:31" ht="14" x14ac:dyDescent="0.15">
      <c r="A293" s="5"/>
      <c r="B293" s="3"/>
      <c r="C293" s="3"/>
      <c r="D293" s="3"/>
      <c r="E293" s="3"/>
      <c r="F293" s="3"/>
      <c r="G293" s="3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</row>
    <row r="294" spans="1:31" ht="14" x14ac:dyDescent="0.15">
      <c r="A294" s="5"/>
      <c r="B294" s="3"/>
      <c r="C294" s="3"/>
      <c r="D294" s="3"/>
      <c r="E294" s="3"/>
      <c r="F294" s="3"/>
      <c r="G294" s="3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</row>
    <row r="295" spans="1:31" ht="14" x14ac:dyDescent="0.15">
      <c r="A295" s="5"/>
      <c r="B295" s="3"/>
      <c r="C295" s="3"/>
      <c r="D295" s="3"/>
      <c r="E295" s="3"/>
      <c r="F295" s="3"/>
      <c r="G295" s="3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</row>
    <row r="296" spans="1:31" ht="14" x14ac:dyDescent="0.15">
      <c r="A296" s="5"/>
      <c r="B296" s="3"/>
      <c r="C296" s="3"/>
      <c r="D296" s="3"/>
      <c r="E296" s="3"/>
      <c r="F296" s="3"/>
      <c r="G296" s="3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</row>
    <row r="297" spans="1:31" ht="14" x14ac:dyDescent="0.15">
      <c r="A297" s="5"/>
      <c r="B297" s="3"/>
      <c r="C297" s="3"/>
      <c r="D297" s="3"/>
      <c r="E297" s="3"/>
      <c r="F297" s="3"/>
      <c r="G297" s="3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</row>
    <row r="298" spans="1:31" ht="14" x14ac:dyDescent="0.15">
      <c r="A298" s="5"/>
      <c r="B298" s="3"/>
      <c r="C298" s="3"/>
      <c r="D298" s="3"/>
      <c r="E298" s="3"/>
      <c r="F298" s="3"/>
      <c r="G298" s="3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</row>
    <row r="299" spans="1:31" ht="14" x14ac:dyDescent="0.15">
      <c r="A299" s="5"/>
      <c r="B299" s="3"/>
      <c r="C299" s="3"/>
      <c r="D299" s="3"/>
      <c r="E299" s="3"/>
      <c r="F299" s="3"/>
      <c r="G299" s="3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</row>
    <row r="300" spans="1:31" ht="14" x14ac:dyDescent="0.15">
      <c r="A300" s="5"/>
      <c r="B300" s="3"/>
      <c r="C300" s="3"/>
      <c r="D300" s="3"/>
      <c r="E300" s="3"/>
      <c r="F300" s="3"/>
      <c r="G300" s="3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</row>
    <row r="301" spans="1:31" ht="14" x14ac:dyDescent="0.15">
      <c r="A301" s="5"/>
      <c r="B301" s="3"/>
      <c r="C301" s="3"/>
      <c r="D301" s="3"/>
      <c r="E301" s="3"/>
      <c r="F301" s="3"/>
      <c r="G301" s="3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</row>
    <row r="302" spans="1:31" ht="14" x14ac:dyDescent="0.15">
      <c r="A302" s="5"/>
      <c r="B302" s="3"/>
      <c r="C302" s="3"/>
      <c r="D302" s="3"/>
      <c r="E302" s="3"/>
      <c r="F302" s="3"/>
      <c r="G302" s="3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</row>
    <row r="303" spans="1:31" ht="14" x14ac:dyDescent="0.15">
      <c r="A303" s="5"/>
      <c r="B303" s="3"/>
      <c r="C303" s="3"/>
      <c r="D303" s="3"/>
      <c r="E303" s="3"/>
      <c r="F303" s="3"/>
      <c r="G303" s="3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</row>
    <row r="304" spans="1:31" ht="14" x14ac:dyDescent="0.15">
      <c r="A304" s="5"/>
      <c r="B304" s="3"/>
      <c r="C304" s="3"/>
      <c r="D304" s="3"/>
      <c r="E304" s="3"/>
      <c r="F304" s="3"/>
      <c r="G304" s="3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</row>
    <row r="305" spans="1:31" ht="14" x14ac:dyDescent="0.15">
      <c r="A305" s="5"/>
      <c r="B305" s="3"/>
      <c r="C305" s="3"/>
      <c r="D305" s="3"/>
      <c r="E305" s="3"/>
      <c r="F305" s="3"/>
      <c r="G305" s="3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</row>
    <row r="306" spans="1:31" ht="14" x14ac:dyDescent="0.15">
      <c r="A306" s="5"/>
      <c r="B306" s="3"/>
      <c r="C306" s="3"/>
      <c r="D306" s="3"/>
      <c r="E306" s="3"/>
      <c r="F306" s="3"/>
      <c r="G306" s="3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</row>
    <row r="307" spans="1:31" ht="14" x14ac:dyDescent="0.15">
      <c r="A307" s="5"/>
      <c r="B307" s="3"/>
      <c r="C307" s="3"/>
      <c r="D307" s="3"/>
      <c r="E307" s="3"/>
      <c r="F307" s="3"/>
      <c r="G307" s="3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</row>
    <row r="308" spans="1:31" ht="14" x14ac:dyDescent="0.15">
      <c r="A308" s="5"/>
      <c r="B308" s="3"/>
      <c r="C308" s="3"/>
      <c r="D308" s="3"/>
      <c r="E308" s="3"/>
      <c r="F308" s="3"/>
      <c r="G308" s="3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</row>
    <row r="309" spans="1:31" ht="14" x14ac:dyDescent="0.15">
      <c r="A309" s="5"/>
      <c r="B309" s="3"/>
      <c r="C309" s="3"/>
      <c r="D309" s="3"/>
      <c r="E309" s="3"/>
      <c r="F309" s="3"/>
      <c r="G309" s="3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</row>
    <row r="310" spans="1:31" ht="14" x14ac:dyDescent="0.15">
      <c r="A310" s="5"/>
      <c r="B310" s="3"/>
      <c r="C310" s="3"/>
      <c r="D310" s="3"/>
      <c r="E310" s="3"/>
      <c r="F310" s="3"/>
      <c r="G310" s="3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</row>
    <row r="311" spans="1:31" ht="14" x14ac:dyDescent="0.15">
      <c r="A311" s="5"/>
      <c r="B311" s="3"/>
      <c r="C311" s="3"/>
      <c r="D311" s="3"/>
      <c r="E311" s="3"/>
      <c r="F311" s="3"/>
      <c r="G311" s="3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</row>
    <row r="312" spans="1:31" ht="14" x14ac:dyDescent="0.15">
      <c r="A312" s="5"/>
      <c r="B312" s="3"/>
      <c r="C312" s="3"/>
      <c r="D312" s="3"/>
      <c r="E312" s="3"/>
      <c r="F312" s="3"/>
      <c r="G312" s="3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</row>
    <row r="313" spans="1:31" ht="14" x14ac:dyDescent="0.15">
      <c r="A313" s="5"/>
      <c r="B313" s="3"/>
      <c r="C313" s="3"/>
      <c r="D313" s="3"/>
      <c r="E313" s="3"/>
      <c r="F313" s="3"/>
      <c r="G313" s="3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</row>
    <row r="314" spans="1:31" ht="14" x14ac:dyDescent="0.15">
      <c r="A314" s="5"/>
      <c r="B314" s="3"/>
      <c r="C314" s="3"/>
      <c r="D314" s="3"/>
      <c r="E314" s="3"/>
      <c r="F314" s="3"/>
      <c r="G314" s="3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</row>
    <row r="315" spans="1:31" ht="14" x14ac:dyDescent="0.15">
      <c r="A315" s="5"/>
      <c r="B315" s="3"/>
      <c r="C315" s="3"/>
      <c r="D315" s="3"/>
      <c r="E315" s="3"/>
      <c r="F315" s="3"/>
      <c r="G315" s="3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</row>
    <row r="316" spans="1:31" ht="14" x14ac:dyDescent="0.15">
      <c r="A316" s="5"/>
      <c r="B316" s="3"/>
      <c r="C316" s="3"/>
      <c r="D316" s="3"/>
      <c r="E316" s="3"/>
      <c r="F316" s="3"/>
      <c r="G316" s="3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</row>
    <row r="317" spans="1:31" ht="14" x14ac:dyDescent="0.15">
      <c r="A317" s="5"/>
      <c r="B317" s="3"/>
      <c r="C317" s="3"/>
      <c r="D317" s="3"/>
      <c r="E317" s="3"/>
      <c r="F317" s="3"/>
      <c r="G317" s="3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</row>
    <row r="318" spans="1:31" ht="14" x14ac:dyDescent="0.15">
      <c r="A318" s="5"/>
      <c r="B318" s="3"/>
      <c r="C318" s="3"/>
      <c r="D318" s="3"/>
      <c r="E318" s="3"/>
      <c r="F318" s="3"/>
      <c r="G318" s="3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</row>
    <row r="319" spans="1:31" ht="14" x14ac:dyDescent="0.15">
      <c r="A319" s="5"/>
      <c r="B319" s="3"/>
      <c r="C319" s="3"/>
      <c r="D319" s="3"/>
      <c r="E319" s="3"/>
      <c r="F319" s="3"/>
      <c r="G319" s="3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</row>
    <row r="320" spans="1:31" ht="14" x14ac:dyDescent="0.15">
      <c r="A320" s="5"/>
      <c r="B320" s="3"/>
      <c r="C320" s="3"/>
      <c r="D320" s="3"/>
      <c r="E320" s="3"/>
      <c r="F320" s="3"/>
      <c r="G320" s="3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</row>
    <row r="321" spans="1:31" ht="14" x14ac:dyDescent="0.15">
      <c r="A321" s="5"/>
      <c r="B321" s="3"/>
      <c r="C321" s="3"/>
      <c r="D321" s="3"/>
      <c r="E321" s="3"/>
      <c r="F321" s="3"/>
      <c r="G321" s="3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</row>
    <row r="322" spans="1:31" ht="14" x14ac:dyDescent="0.15">
      <c r="A322" s="5"/>
      <c r="B322" s="3"/>
      <c r="C322" s="3"/>
      <c r="D322" s="3"/>
      <c r="E322" s="3"/>
      <c r="F322" s="3"/>
      <c r="G322" s="3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</row>
    <row r="323" spans="1:31" ht="14" x14ac:dyDescent="0.15">
      <c r="A323" s="5"/>
      <c r="B323" s="3"/>
      <c r="C323" s="3"/>
      <c r="D323" s="3"/>
      <c r="E323" s="3"/>
      <c r="F323" s="3"/>
      <c r="G323" s="3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</row>
    <row r="324" spans="1:31" ht="14" x14ac:dyDescent="0.15">
      <c r="A324" s="5"/>
      <c r="B324" s="3"/>
      <c r="C324" s="3"/>
      <c r="D324" s="3"/>
      <c r="E324" s="3"/>
      <c r="F324" s="3"/>
      <c r="G324" s="3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</row>
    <row r="325" spans="1:31" ht="14" x14ac:dyDescent="0.15">
      <c r="A325" s="5"/>
      <c r="B325" s="3"/>
      <c r="C325" s="3"/>
      <c r="D325" s="3"/>
      <c r="E325" s="3"/>
      <c r="F325" s="3"/>
      <c r="G325" s="3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</row>
    <row r="326" spans="1:31" ht="14" x14ac:dyDescent="0.15">
      <c r="A326" s="5"/>
      <c r="B326" s="3"/>
      <c r="C326" s="3"/>
      <c r="D326" s="3"/>
      <c r="E326" s="3"/>
      <c r="F326" s="3"/>
      <c r="G326" s="3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</row>
    <row r="327" spans="1:31" ht="14" x14ac:dyDescent="0.15">
      <c r="A327" s="5"/>
      <c r="B327" s="3"/>
      <c r="C327" s="3"/>
      <c r="D327" s="3"/>
      <c r="E327" s="3"/>
      <c r="F327" s="3"/>
      <c r="G327" s="3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</row>
    <row r="328" spans="1:31" ht="14" x14ac:dyDescent="0.15">
      <c r="A328" s="5"/>
      <c r="B328" s="3"/>
      <c r="C328" s="3"/>
      <c r="D328" s="3"/>
      <c r="E328" s="3"/>
      <c r="F328" s="3"/>
      <c r="G328" s="3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</row>
    <row r="329" spans="1:31" ht="14" x14ac:dyDescent="0.15">
      <c r="A329" s="5"/>
      <c r="B329" s="3"/>
      <c r="C329" s="3"/>
      <c r="D329" s="3"/>
      <c r="E329" s="3"/>
      <c r="F329" s="3"/>
      <c r="G329" s="3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</row>
    <row r="330" spans="1:31" ht="14" x14ac:dyDescent="0.15">
      <c r="A330" s="5"/>
      <c r="B330" s="3"/>
      <c r="C330" s="3"/>
      <c r="D330" s="3"/>
      <c r="E330" s="3"/>
      <c r="F330" s="3"/>
      <c r="G330" s="3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</row>
    <row r="331" spans="1:31" ht="14" x14ac:dyDescent="0.15">
      <c r="A331" s="5"/>
      <c r="B331" s="3"/>
      <c r="C331" s="3"/>
      <c r="D331" s="3"/>
      <c r="E331" s="3"/>
      <c r="F331" s="3"/>
      <c r="G331" s="3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</row>
    <row r="332" spans="1:31" ht="14" x14ac:dyDescent="0.15">
      <c r="A332" s="5"/>
      <c r="B332" s="3"/>
      <c r="C332" s="3"/>
      <c r="D332" s="3"/>
      <c r="E332" s="3"/>
      <c r="F332" s="3"/>
      <c r="G332" s="3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</row>
    <row r="333" spans="1:31" ht="14" x14ac:dyDescent="0.15">
      <c r="A333" s="5"/>
      <c r="B333" s="3"/>
      <c r="C333" s="3"/>
      <c r="D333" s="3"/>
      <c r="E333" s="3"/>
      <c r="F333" s="3"/>
      <c r="G333" s="3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</row>
    <row r="334" spans="1:31" ht="14" x14ac:dyDescent="0.15">
      <c r="A334" s="5"/>
      <c r="B334" s="3"/>
      <c r="C334" s="3"/>
      <c r="D334" s="3"/>
      <c r="E334" s="3"/>
      <c r="F334" s="3"/>
      <c r="G334" s="3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</row>
    <row r="335" spans="1:31" ht="14" x14ac:dyDescent="0.15">
      <c r="A335" s="5"/>
      <c r="B335" s="3"/>
      <c r="C335" s="3"/>
      <c r="D335" s="3"/>
      <c r="E335" s="3"/>
      <c r="F335" s="3"/>
      <c r="G335" s="3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</row>
    <row r="336" spans="1:31" ht="14" x14ac:dyDescent="0.15">
      <c r="A336" s="5"/>
      <c r="B336" s="3"/>
      <c r="C336" s="3"/>
      <c r="D336" s="3"/>
      <c r="E336" s="3"/>
      <c r="F336" s="3"/>
      <c r="G336" s="3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</row>
    <row r="337" spans="1:31" ht="14" x14ac:dyDescent="0.15">
      <c r="A337" s="5"/>
      <c r="B337" s="3"/>
      <c r="C337" s="3"/>
      <c r="D337" s="3"/>
      <c r="E337" s="3"/>
      <c r="F337" s="3"/>
      <c r="G337" s="3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</row>
    <row r="338" spans="1:31" ht="14" x14ac:dyDescent="0.15">
      <c r="A338" s="5"/>
      <c r="B338" s="3"/>
      <c r="C338" s="3"/>
      <c r="D338" s="3"/>
      <c r="E338" s="3"/>
      <c r="F338" s="3"/>
      <c r="G338" s="3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</row>
    <row r="339" spans="1:31" ht="14" x14ac:dyDescent="0.15">
      <c r="A339" s="5"/>
      <c r="B339" s="3"/>
      <c r="C339" s="3"/>
      <c r="D339" s="3"/>
      <c r="E339" s="3"/>
      <c r="F339" s="3"/>
      <c r="G339" s="3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</row>
    <row r="340" spans="1:31" ht="14" x14ac:dyDescent="0.15">
      <c r="A340" s="5"/>
      <c r="B340" s="3"/>
      <c r="C340" s="3"/>
      <c r="D340" s="3"/>
      <c r="E340" s="3"/>
      <c r="F340" s="3"/>
      <c r="G340" s="3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</row>
    <row r="341" spans="1:31" ht="14" x14ac:dyDescent="0.15">
      <c r="A341" s="5"/>
      <c r="B341" s="3"/>
      <c r="C341" s="3"/>
      <c r="D341" s="3"/>
      <c r="E341" s="3"/>
      <c r="F341" s="3"/>
      <c r="G341" s="3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</row>
    <row r="342" spans="1:31" ht="14" x14ac:dyDescent="0.15">
      <c r="A342" s="5"/>
      <c r="B342" s="3"/>
      <c r="C342" s="3"/>
      <c r="D342" s="3"/>
      <c r="E342" s="3"/>
      <c r="F342" s="3"/>
      <c r="G342" s="3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</row>
    <row r="343" spans="1:31" ht="14" x14ac:dyDescent="0.15">
      <c r="A343" s="5"/>
      <c r="B343" s="3"/>
      <c r="C343" s="3"/>
      <c r="D343" s="3"/>
      <c r="E343" s="3"/>
      <c r="F343" s="3"/>
      <c r="G343" s="3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</row>
    <row r="344" spans="1:31" ht="14" x14ac:dyDescent="0.15">
      <c r="A344" s="5"/>
      <c r="B344" s="3"/>
      <c r="C344" s="3"/>
      <c r="D344" s="3"/>
      <c r="E344" s="3"/>
      <c r="F344" s="3"/>
      <c r="G344" s="3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</row>
    <row r="345" spans="1:31" ht="14" x14ac:dyDescent="0.15">
      <c r="A345" s="5"/>
      <c r="B345" s="3"/>
      <c r="C345" s="3"/>
      <c r="D345" s="3"/>
      <c r="E345" s="3"/>
      <c r="F345" s="3"/>
      <c r="G345" s="3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</row>
    <row r="346" spans="1:31" ht="14" x14ac:dyDescent="0.15">
      <c r="A346" s="5"/>
      <c r="B346" s="3"/>
      <c r="C346" s="3"/>
      <c r="D346" s="3"/>
      <c r="E346" s="3"/>
      <c r="F346" s="3"/>
      <c r="G346" s="3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</row>
    <row r="347" spans="1:31" ht="14" x14ac:dyDescent="0.15">
      <c r="A347" s="5"/>
      <c r="B347" s="3"/>
      <c r="C347" s="3"/>
      <c r="D347" s="3"/>
      <c r="E347" s="3"/>
      <c r="F347" s="3"/>
      <c r="G347" s="3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</row>
    <row r="348" spans="1:31" ht="14" x14ac:dyDescent="0.15">
      <c r="A348" s="5"/>
      <c r="B348" s="3"/>
      <c r="C348" s="3"/>
      <c r="D348" s="3"/>
      <c r="E348" s="3"/>
      <c r="F348" s="3"/>
      <c r="G348" s="3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</row>
    <row r="349" spans="1:31" ht="14" x14ac:dyDescent="0.15">
      <c r="A349" s="5"/>
      <c r="B349" s="3"/>
      <c r="C349" s="3"/>
      <c r="D349" s="3"/>
      <c r="E349" s="3"/>
      <c r="F349" s="3"/>
      <c r="G349" s="3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</row>
    <row r="350" spans="1:31" ht="14" x14ac:dyDescent="0.15">
      <c r="A350" s="5"/>
      <c r="B350" s="3"/>
      <c r="C350" s="3"/>
      <c r="D350" s="3"/>
      <c r="E350" s="3"/>
      <c r="F350" s="3"/>
      <c r="G350" s="3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</row>
    <row r="351" spans="1:31" ht="14" x14ac:dyDescent="0.15">
      <c r="A351" s="5"/>
      <c r="B351" s="3"/>
      <c r="C351" s="3"/>
      <c r="D351" s="3"/>
      <c r="E351" s="3"/>
      <c r="F351" s="3"/>
      <c r="G351" s="3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</row>
    <row r="352" spans="1:31" ht="14" x14ac:dyDescent="0.15">
      <c r="A352" s="5"/>
      <c r="B352" s="3"/>
      <c r="C352" s="3"/>
      <c r="D352" s="3"/>
      <c r="E352" s="3"/>
      <c r="F352" s="3"/>
      <c r="G352" s="3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</row>
    <row r="353" spans="1:31" ht="14" x14ac:dyDescent="0.15">
      <c r="A353" s="5"/>
      <c r="B353" s="3"/>
      <c r="C353" s="3"/>
      <c r="D353" s="3"/>
      <c r="E353" s="3"/>
      <c r="F353" s="3"/>
      <c r="G353" s="3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</row>
    <row r="354" spans="1:31" ht="14" x14ac:dyDescent="0.15">
      <c r="A354" s="5"/>
      <c r="B354" s="3"/>
      <c r="C354" s="3"/>
      <c r="D354" s="3"/>
      <c r="E354" s="3"/>
      <c r="F354" s="3"/>
      <c r="G354" s="3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</row>
    <row r="355" spans="1:31" ht="14" x14ac:dyDescent="0.15">
      <c r="A355" s="5"/>
      <c r="B355" s="3"/>
      <c r="C355" s="3"/>
      <c r="D355" s="3"/>
      <c r="E355" s="3"/>
      <c r="F355" s="3"/>
      <c r="G355" s="3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</row>
    <row r="356" spans="1:31" ht="14" x14ac:dyDescent="0.15">
      <c r="A356" s="5"/>
      <c r="B356" s="3"/>
      <c r="C356" s="3"/>
      <c r="D356" s="3"/>
      <c r="E356" s="3"/>
      <c r="F356" s="3"/>
      <c r="G356" s="3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</row>
    <row r="357" spans="1:31" ht="14" x14ac:dyDescent="0.15">
      <c r="A357" s="5"/>
      <c r="B357" s="3"/>
      <c r="C357" s="3"/>
      <c r="D357" s="3"/>
      <c r="E357" s="3"/>
      <c r="F357" s="3"/>
      <c r="G357" s="3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</row>
    <row r="358" spans="1:31" ht="14" x14ac:dyDescent="0.15">
      <c r="A358" s="5"/>
      <c r="B358" s="3"/>
      <c r="C358" s="3"/>
      <c r="D358" s="3"/>
      <c r="E358" s="3"/>
      <c r="F358" s="3"/>
      <c r="G358" s="3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</row>
    <row r="359" spans="1:31" ht="14" x14ac:dyDescent="0.15">
      <c r="A359" s="5"/>
      <c r="B359" s="3"/>
      <c r="C359" s="3"/>
      <c r="D359" s="3"/>
      <c r="E359" s="3"/>
      <c r="F359" s="3"/>
      <c r="G359" s="3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</row>
    <row r="360" spans="1:31" ht="14" x14ac:dyDescent="0.15">
      <c r="A360" s="5"/>
      <c r="B360" s="3"/>
      <c r="C360" s="3"/>
      <c r="D360" s="3"/>
      <c r="E360" s="3"/>
      <c r="F360" s="3"/>
      <c r="G360" s="3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</row>
    <row r="361" spans="1:31" ht="14" x14ac:dyDescent="0.15">
      <c r="A361" s="5"/>
      <c r="B361" s="3"/>
      <c r="C361" s="3"/>
      <c r="D361" s="3"/>
      <c r="E361" s="3"/>
      <c r="F361" s="3"/>
      <c r="G361" s="3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</row>
    <row r="362" spans="1:31" ht="14" x14ac:dyDescent="0.15">
      <c r="A362" s="5"/>
      <c r="B362" s="3"/>
      <c r="C362" s="3"/>
      <c r="D362" s="3"/>
      <c r="E362" s="3"/>
      <c r="F362" s="3"/>
      <c r="G362" s="3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</row>
    <row r="363" spans="1:31" ht="14" x14ac:dyDescent="0.15">
      <c r="A363" s="5"/>
      <c r="B363" s="3"/>
      <c r="C363" s="3"/>
      <c r="D363" s="3"/>
      <c r="E363" s="3"/>
      <c r="F363" s="3"/>
      <c r="G363" s="3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</row>
    <row r="364" spans="1:31" ht="14" x14ac:dyDescent="0.15">
      <c r="A364" s="5"/>
      <c r="B364" s="3"/>
      <c r="C364" s="3"/>
      <c r="D364" s="3"/>
      <c r="E364" s="3"/>
      <c r="F364" s="3"/>
      <c r="G364" s="3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</row>
    <row r="365" spans="1:31" ht="14" x14ac:dyDescent="0.15">
      <c r="A365" s="5"/>
      <c r="B365" s="3"/>
      <c r="C365" s="3"/>
      <c r="D365" s="3"/>
      <c r="E365" s="3"/>
      <c r="F365" s="3"/>
      <c r="G365" s="3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</row>
    <row r="366" spans="1:31" ht="14" x14ac:dyDescent="0.15">
      <c r="A366" s="5"/>
      <c r="B366" s="3"/>
      <c r="C366" s="3"/>
      <c r="D366" s="3"/>
      <c r="E366" s="3"/>
      <c r="F366" s="3"/>
      <c r="G366" s="3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</row>
    <row r="367" spans="1:31" ht="14" x14ac:dyDescent="0.15">
      <c r="A367" s="5"/>
      <c r="B367" s="3"/>
      <c r="C367" s="3"/>
      <c r="D367" s="3"/>
      <c r="E367" s="3"/>
      <c r="F367" s="3"/>
      <c r="G367" s="3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</row>
    <row r="368" spans="1:31" ht="14" x14ac:dyDescent="0.15">
      <c r="A368" s="5"/>
      <c r="B368" s="3"/>
      <c r="C368" s="3"/>
      <c r="D368" s="3"/>
      <c r="E368" s="3"/>
      <c r="F368" s="3"/>
      <c r="G368" s="3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</row>
    <row r="369" spans="1:31" ht="14" x14ac:dyDescent="0.15">
      <c r="A369" s="5"/>
      <c r="B369" s="3"/>
      <c r="C369" s="3"/>
      <c r="D369" s="3"/>
      <c r="E369" s="3"/>
      <c r="F369" s="3"/>
      <c r="G369" s="3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</row>
    <row r="370" spans="1:31" ht="14" x14ac:dyDescent="0.15">
      <c r="A370" s="5"/>
      <c r="B370" s="3"/>
      <c r="C370" s="3"/>
      <c r="D370" s="3"/>
      <c r="E370" s="3"/>
      <c r="F370" s="3"/>
      <c r="G370" s="3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</row>
    <row r="371" spans="1:31" ht="14" x14ac:dyDescent="0.15">
      <c r="A371" s="5"/>
      <c r="B371" s="3"/>
      <c r="C371" s="3"/>
      <c r="D371" s="3"/>
      <c r="E371" s="3"/>
      <c r="F371" s="3"/>
      <c r="G371" s="3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</row>
    <row r="372" spans="1:31" ht="14" x14ac:dyDescent="0.15">
      <c r="A372" s="5"/>
      <c r="B372" s="3"/>
      <c r="C372" s="3"/>
      <c r="D372" s="3"/>
      <c r="E372" s="3"/>
      <c r="F372" s="3"/>
      <c r="G372" s="3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</row>
    <row r="373" spans="1:31" ht="14" x14ac:dyDescent="0.15">
      <c r="A373" s="5"/>
      <c r="B373" s="3"/>
      <c r="C373" s="3"/>
      <c r="D373" s="3"/>
      <c r="E373" s="3"/>
      <c r="F373" s="3"/>
      <c r="G373" s="3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</row>
    <row r="374" spans="1:31" ht="14" x14ac:dyDescent="0.15">
      <c r="A374" s="5"/>
      <c r="B374" s="3"/>
      <c r="C374" s="3"/>
      <c r="D374" s="3"/>
      <c r="E374" s="3"/>
      <c r="F374" s="3"/>
      <c r="G374" s="3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</row>
    <row r="375" spans="1:31" ht="14" x14ac:dyDescent="0.15">
      <c r="A375" s="5"/>
      <c r="B375" s="3"/>
      <c r="C375" s="3"/>
      <c r="D375" s="3"/>
      <c r="E375" s="3"/>
      <c r="F375" s="3"/>
      <c r="G375" s="3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</row>
    <row r="376" spans="1:31" ht="14" x14ac:dyDescent="0.15">
      <c r="A376" s="5"/>
      <c r="B376" s="3"/>
      <c r="C376" s="3"/>
      <c r="D376" s="3"/>
      <c r="E376" s="3"/>
      <c r="F376" s="3"/>
      <c r="G376" s="3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</row>
    <row r="377" spans="1:31" ht="14" x14ac:dyDescent="0.15">
      <c r="A377" s="5"/>
      <c r="B377" s="3"/>
      <c r="C377" s="3"/>
      <c r="D377" s="3"/>
      <c r="E377" s="3"/>
      <c r="F377" s="3"/>
      <c r="G377" s="3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</row>
    <row r="378" spans="1:31" ht="14" x14ac:dyDescent="0.15">
      <c r="A378" s="5"/>
      <c r="B378" s="3"/>
      <c r="C378" s="3"/>
      <c r="D378" s="3"/>
      <c r="E378" s="3"/>
      <c r="F378" s="3"/>
      <c r="G378" s="3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</row>
    <row r="379" spans="1:31" ht="14" x14ac:dyDescent="0.15">
      <c r="A379" s="5"/>
      <c r="B379" s="3"/>
      <c r="C379" s="3"/>
      <c r="D379" s="3"/>
      <c r="E379" s="3"/>
      <c r="F379" s="3"/>
      <c r="G379" s="3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</row>
    <row r="380" spans="1:31" ht="14" x14ac:dyDescent="0.15">
      <c r="A380" s="5"/>
      <c r="B380" s="3"/>
      <c r="C380" s="3"/>
      <c r="D380" s="3"/>
      <c r="E380" s="3"/>
      <c r="F380" s="3"/>
      <c r="G380" s="3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</row>
    <row r="381" spans="1:31" ht="14" x14ac:dyDescent="0.15">
      <c r="A381" s="5"/>
      <c r="B381" s="3"/>
      <c r="C381" s="3"/>
      <c r="D381" s="3"/>
      <c r="E381" s="3"/>
      <c r="F381" s="3"/>
      <c r="G381" s="3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</row>
    <row r="382" spans="1:31" ht="14" x14ac:dyDescent="0.15">
      <c r="A382" s="5"/>
      <c r="B382" s="3"/>
      <c r="C382" s="3"/>
      <c r="D382" s="3"/>
      <c r="E382" s="3"/>
      <c r="F382" s="3"/>
      <c r="G382" s="3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</row>
    <row r="383" spans="1:31" ht="14" x14ac:dyDescent="0.15">
      <c r="A383" s="5"/>
      <c r="B383" s="3"/>
      <c r="C383" s="3"/>
      <c r="D383" s="3"/>
      <c r="E383" s="3"/>
      <c r="F383" s="3"/>
      <c r="G383" s="3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</row>
    <row r="384" spans="1:31" ht="14" x14ac:dyDescent="0.15">
      <c r="A384" s="5"/>
      <c r="B384" s="3"/>
      <c r="C384" s="3"/>
      <c r="D384" s="3"/>
      <c r="E384" s="3"/>
      <c r="F384" s="3"/>
      <c r="G384" s="3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</row>
    <row r="385" spans="1:31" ht="14" x14ac:dyDescent="0.15">
      <c r="A385" s="5"/>
      <c r="B385" s="3"/>
      <c r="C385" s="3"/>
      <c r="D385" s="3"/>
      <c r="E385" s="3"/>
      <c r="F385" s="3"/>
      <c r="G385" s="3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</row>
    <row r="386" spans="1:31" ht="14" x14ac:dyDescent="0.15">
      <c r="A386" s="5"/>
      <c r="B386" s="3"/>
      <c r="C386" s="3"/>
      <c r="D386" s="3"/>
      <c r="E386" s="3"/>
      <c r="F386" s="3"/>
      <c r="G386" s="3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</row>
    <row r="387" spans="1:31" ht="14" x14ac:dyDescent="0.15">
      <c r="A387" s="5"/>
      <c r="B387" s="3"/>
      <c r="C387" s="3"/>
      <c r="D387" s="3"/>
      <c r="E387" s="3"/>
      <c r="F387" s="3"/>
      <c r="G387" s="3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</row>
    <row r="388" spans="1:31" ht="14" x14ac:dyDescent="0.15">
      <c r="A388" s="5"/>
      <c r="B388" s="3"/>
      <c r="C388" s="3"/>
      <c r="D388" s="3"/>
      <c r="E388" s="3"/>
      <c r="F388" s="3"/>
      <c r="G388" s="3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</row>
    <row r="389" spans="1:31" ht="14" x14ac:dyDescent="0.15">
      <c r="A389" s="5"/>
      <c r="B389" s="3"/>
      <c r="C389" s="3"/>
      <c r="D389" s="3"/>
      <c r="E389" s="3"/>
      <c r="F389" s="3"/>
      <c r="G389" s="3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</row>
    <row r="390" spans="1:31" ht="14" x14ac:dyDescent="0.15">
      <c r="A390" s="5"/>
      <c r="B390" s="3"/>
      <c r="C390" s="3"/>
      <c r="D390" s="3"/>
      <c r="E390" s="3"/>
      <c r="F390" s="3"/>
      <c r="G390" s="3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</row>
    <row r="391" spans="1:31" ht="14" x14ac:dyDescent="0.15">
      <c r="A391" s="5"/>
      <c r="B391" s="3"/>
      <c r="C391" s="3"/>
      <c r="D391" s="3"/>
      <c r="E391" s="3"/>
      <c r="F391" s="3"/>
      <c r="G391" s="3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</row>
    <row r="392" spans="1:31" ht="14" x14ac:dyDescent="0.15">
      <c r="A392" s="5"/>
      <c r="B392" s="3"/>
      <c r="C392" s="3"/>
      <c r="D392" s="3"/>
      <c r="E392" s="3"/>
      <c r="F392" s="3"/>
      <c r="G392" s="3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</row>
    <row r="393" spans="1:31" ht="14" x14ac:dyDescent="0.15">
      <c r="A393" s="5"/>
      <c r="B393" s="3"/>
      <c r="C393" s="3"/>
      <c r="D393" s="3"/>
      <c r="E393" s="3"/>
      <c r="F393" s="3"/>
      <c r="G393" s="3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</row>
    <row r="394" spans="1:31" ht="14" x14ac:dyDescent="0.15">
      <c r="A394" s="5"/>
      <c r="B394" s="3"/>
      <c r="C394" s="3"/>
      <c r="D394" s="3"/>
      <c r="E394" s="3"/>
      <c r="F394" s="3"/>
      <c r="G394" s="3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</row>
    <row r="395" spans="1:31" ht="14" x14ac:dyDescent="0.15">
      <c r="A395" s="5"/>
      <c r="B395" s="3"/>
      <c r="C395" s="3"/>
      <c r="D395" s="3"/>
      <c r="E395" s="3"/>
      <c r="F395" s="3"/>
      <c r="G395" s="3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</row>
    <row r="396" spans="1:31" ht="14" x14ac:dyDescent="0.15">
      <c r="A396" s="5"/>
      <c r="B396" s="3"/>
      <c r="C396" s="3"/>
      <c r="D396" s="3"/>
      <c r="E396" s="3"/>
      <c r="F396" s="3"/>
      <c r="G396" s="3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</row>
    <row r="397" spans="1:31" ht="14" x14ac:dyDescent="0.15">
      <c r="A397" s="5"/>
      <c r="B397" s="3"/>
      <c r="C397" s="3"/>
      <c r="D397" s="3"/>
      <c r="E397" s="3"/>
      <c r="F397" s="3"/>
      <c r="G397" s="3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</row>
    <row r="398" spans="1:31" ht="14" x14ac:dyDescent="0.15">
      <c r="A398" s="5"/>
      <c r="B398" s="3"/>
      <c r="C398" s="3"/>
      <c r="D398" s="3"/>
      <c r="E398" s="3"/>
      <c r="F398" s="3"/>
      <c r="G398" s="3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</row>
    <row r="399" spans="1:31" ht="14" x14ac:dyDescent="0.15">
      <c r="A399" s="5"/>
      <c r="B399" s="3"/>
      <c r="C399" s="3"/>
      <c r="D399" s="3"/>
      <c r="E399" s="3"/>
      <c r="F399" s="3"/>
      <c r="G399" s="3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</row>
    <row r="400" spans="1:31" ht="14" x14ac:dyDescent="0.15">
      <c r="A400" s="5"/>
      <c r="B400" s="3"/>
      <c r="C400" s="3"/>
      <c r="D400" s="3"/>
      <c r="E400" s="3"/>
      <c r="F400" s="3"/>
      <c r="G400" s="3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</row>
    <row r="401" spans="1:31" ht="14" x14ac:dyDescent="0.15">
      <c r="A401" s="5"/>
      <c r="B401" s="3"/>
      <c r="C401" s="3"/>
      <c r="D401" s="3"/>
      <c r="E401" s="3"/>
      <c r="F401" s="3"/>
      <c r="G401" s="3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</row>
    <row r="402" spans="1:31" ht="14" x14ac:dyDescent="0.15">
      <c r="A402" s="5"/>
      <c r="B402" s="3"/>
      <c r="C402" s="3"/>
      <c r="D402" s="3"/>
      <c r="E402" s="3"/>
      <c r="F402" s="3"/>
      <c r="G402" s="3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</row>
    <row r="403" spans="1:31" ht="14" x14ac:dyDescent="0.15">
      <c r="A403" s="5"/>
      <c r="B403" s="3"/>
      <c r="C403" s="3"/>
      <c r="D403" s="3"/>
      <c r="E403" s="3"/>
      <c r="F403" s="3"/>
      <c r="G403" s="3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</row>
    <row r="404" spans="1:31" ht="14" x14ac:dyDescent="0.15">
      <c r="A404" s="5"/>
      <c r="B404" s="3"/>
      <c r="C404" s="3"/>
      <c r="D404" s="3"/>
      <c r="E404" s="3"/>
      <c r="F404" s="3"/>
      <c r="G404" s="3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</row>
    <row r="405" spans="1:31" ht="14" x14ac:dyDescent="0.15">
      <c r="A405" s="5"/>
      <c r="B405" s="3"/>
      <c r="C405" s="3"/>
      <c r="D405" s="3"/>
      <c r="E405" s="3"/>
      <c r="F405" s="3"/>
      <c r="G405" s="3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</row>
    <row r="406" spans="1:31" ht="14" x14ac:dyDescent="0.15">
      <c r="A406" s="5"/>
      <c r="B406" s="3"/>
      <c r="C406" s="3"/>
      <c r="D406" s="3"/>
      <c r="E406" s="3"/>
      <c r="F406" s="3"/>
      <c r="G406" s="3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</row>
    <row r="407" spans="1:31" ht="14" x14ac:dyDescent="0.15">
      <c r="A407" s="5"/>
      <c r="B407" s="3"/>
      <c r="C407" s="3"/>
      <c r="D407" s="3"/>
      <c r="E407" s="3"/>
      <c r="F407" s="3"/>
      <c r="G407" s="3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</row>
    <row r="408" spans="1:31" ht="14" x14ac:dyDescent="0.15">
      <c r="A408" s="5"/>
      <c r="B408" s="3"/>
      <c r="C408" s="3"/>
      <c r="D408" s="3"/>
      <c r="E408" s="3"/>
      <c r="F408" s="3"/>
      <c r="G408" s="3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</row>
    <row r="409" spans="1:31" ht="14" x14ac:dyDescent="0.15">
      <c r="A409" s="5"/>
      <c r="B409" s="3"/>
      <c r="C409" s="3"/>
      <c r="D409" s="3"/>
      <c r="E409" s="3"/>
      <c r="F409" s="3"/>
      <c r="G409" s="3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</row>
    <row r="410" spans="1:31" ht="14" x14ac:dyDescent="0.15">
      <c r="A410" s="5"/>
      <c r="B410" s="3"/>
      <c r="C410" s="3"/>
      <c r="D410" s="3"/>
      <c r="E410" s="3"/>
      <c r="F410" s="3"/>
      <c r="G410" s="3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</row>
    <row r="411" spans="1:31" ht="14" x14ac:dyDescent="0.15">
      <c r="A411" s="5"/>
      <c r="B411" s="3"/>
      <c r="C411" s="3"/>
      <c r="D411" s="3"/>
      <c r="E411" s="3"/>
      <c r="F411" s="3"/>
      <c r="G411" s="3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</row>
    <row r="412" spans="1:31" ht="14" x14ac:dyDescent="0.15">
      <c r="A412" s="5"/>
      <c r="B412" s="3"/>
      <c r="C412" s="3"/>
      <c r="D412" s="3"/>
      <c r="E412" s="3"/>
      <c r="F412" s="3"/>
      <c r="G412" s="3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</row>
    <row r="413" spans="1:31" ht="14" x14ac:dyDescent="0.15">
      <c r="A413" s="5"/>
      <c r="B413" s="3"/>
      <c r="C413" s="3"/>
      <c r="D413" s="3"/>
      <c r="E413" s="3"/>
      <c r="F413" s="3"/>
      <c r="G413" s="3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</row>
    <row r="414" spans="1:31" ht="14" x14ac:dyDescent="0.15">
      <c r="A414" s="5"/>
      <c r="B414" s="3"/>
      <c r="C414" s="3"/>
      <c r="D414" s="3"/>
      <c r="E414" s="3"/>
      <c r="F414" s="3"/>
      <c r="G414" s="3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</row>
    <row r="415" spans="1:31" ht="14" x14ac:dyDescent="0.15">
      <c r="A415" s="5"/>
      <c r="B415" s="3"/>
      <c r="C415" s="3"/>
      <c r="D415" s="3"/>
      <c r="E415" s="3"/>
      <c r="F415" s="3"/>
      <c r="G415" s="3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</row>
    <row r="416" spans="1:31" ht="14" x14ac:dyDescent="0.15">
      <c r="A416" s="5"/>
      <c r="B416" s="3"/>
      <c r="C416" s="3"/>
      <c r="D416" s="3"/>
      <c r="E416" s="3"/>
      <c r="F416" s="3"/>
      <c r="G416" s="3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</row>
    <row r="417" spans="1:31" ht="14" x14ac:dyDescent="0.15">
      <c r="A417" s="5"/>
      <c r="B417" s="3"/>
      <c r="C417" s="3"/>
      <c r="D417" s="3"/>
      <c r="E417" s="3"/>
      <c r="F417" s="3"/>
      <c r="G417" s="3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</row>
    <row r="418" spans="1:31" ht="14" x14ac:dyDescent="0.15">
      <c r="A418" s="5"/>
      <c r="B418" s="3"/>
      <c r="C418" s="3"/>
      <c r="D418" s="3"/>
      <c r="E418" s="3"/>
      <c r="F418" s="3"/>
      <c r="G418" s="3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</row>
    <row r="419" spans="1:31" ht="14" x14ac:dyDescent="0.15">
      <c r="A419" s="5"/>
      <c r="B419" s="3"/>
      <c r="C419" s="3"/>
      <c r="D419" s="3"/>
      <c r="E419" s="3"/>
      <c r="F419" s="3"/>
      <c r="G419" s="3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</row>
    <row r="420" spans="1:31" ht="14" x14ac:dyDescent="0.15">
      <c r="A420" s="5"/>
      <c r="B420" s="3"/>
      <c r="C420" s="3"/>
      <c r="D420" s="3"/>
      <c r="E420" s="3"/>
      <c r="F420" s="3"/>
      <c r="G420" s="3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</row>
    <row r="421" spans="1:31" ht="14" x14ac:dyDescent="0.15">
      <c r="A421" s="5"/>
      <c r="B421" s="3"/>
      <c r="C421" s="3"/>
      <c r="D421" s="3"/>
      <c r="E421" s="3"/>
      <c r="F421" s="3"/>
      <c r="G421" s="3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</row>
    <row r="422" spans="1:31" ht="14" x14ac:dyDescent="0.15">
      <c r="A422" s="5"/>
      <c r="B422" s="3"/>
      <c r="C422" s="3"/>
      <c r="D422" s="3"/>
      <c r="E422" s="3"/>
      <c r="F422" s="3"/>
      <c r="G422" s="3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</row>
    <row r="423" spans="1:31" ht="14" x14ac:dyDescent="0.15">
      <c r="A423" s="5"/>
      <c r="B423" s="3"/>
      <c r="C423" s="3"/>
      <c r="D423" s="3"/>
      <c r="E423" s="3"/>
      <c r="F423" s="3"/>
      <c r="G423" s="3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</row>
    <row r="424" spans="1:31" ht="14" x14ac:dyDescent="0.15">
      <c r="A424" s="5"/>
      <c r="B424" s="3"/>
      <c r="C424" s="3"/>
      <c r="D424" s="3"/>
      <c r="E424" s="3"/>
      <c r="F424" s="3"/>
      <c r="G424" s="3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</row>
    <row r="425" spans="1:31" ht="14" x14ac:dyDescent="0.15">
      <c r="A425" s="5"/>
      <c r="B425" s="3"/>
      <c r="C425" s="3"/>
      <c r="D425" s="3"/>
      <c r="E425" s="3"/>
      <c r="F425" s="3"/>
      <c r="G425" s="3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</row>
    <row r="426" spans="1:31" ht="14" x14ac:dyDescent="0.15">
      <c r="A426" s="5"/>
      <c r="B426" s="3"/>
      <c r="C426" s="3"/>
      <c r="D426" s="3"/>
      <c r="E426" s="3"/>
      <c r="F426" s="3"/>
      <c r="G426" s="3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</row>
    <row r="427" spans="1:31" ht="14" x14ac:dyDescent="0.15">
      <c r="A427" s="5"/>
      <c r="B427" s="3"/>
      <c r="C427" s="3"/>
      <c r="D427" s="3"/>
      <c r="E427" s="3"/>
      <c r="F427" s="3"/>
      <c r="G427" s="3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</row>
    <row r="428" spans="1:31" ht="14" x14ac:dyDescent="0.15">
      <c r="A428" s="5"/>
      <c r="B428" s="3"/>
      <c r="C428" s="3"/>
      <c r="D428" s="3"/>
      <c r="E428" s="3"/>
      <c r="F428" s="3"/>
      <c r="G428" s="3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</row>
    <row r="429" spans="1:31" ht="14" x14ac:dyDescent="0.15">
      <c r="A429" s="5"/>
      <c r="B429" s="3"/>
      <c r="C429" s="3"/>
      <c r="D429" s="3"/>
      <c r="E429" s="3"/>
      <c r="F429" s="3"/>
      <c r="G429" s="3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</row>
    <row r="430" spans="1:31" ht="14" x14ac:dyDescent="0.15">
      <c r="A430" s="5"/>
      <c r="B430" s="3"/>
      <c r="C430" s="3"/>
      <c r="D430" s="3"/>
      <c r="E430" s="3"/>
      <c r="F430" s="3"/>
      <c r="G430" s="3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</row>
    <row r="431" spans="1:31" ht="14" x14ac:dyDescent="0.15">
      <c r="A431" s="5"/>
      <c r="B431" s="3"/>
      <c r="C431" s="3"/>
      <c r="D431" s="3"/>
      <c r="E431" s="3"/>
      <c r="F431" s="3"/>
      <c r="G431" s="3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</row>
    <row r="432" spans="1:31" ht="14" x14ac:dyDescent="0.15">
      <c r="A432" s="5"/>
      <c r="B432" s="3"/>
      <c r="C432" s="3"/>
      <c r="D432" s="3"/>
      <c r="E432" s="3"/>
      <c r="F432" s="3"/>
      <c r="G432" s="3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</row>
    <row r="433" spans="1:31" ht="14" x14ac:dyDescent="0.15">
      <c r="A433" s="5"/>
      <c r="B433" s="3"/>
      <c r="C433" s="3"/>
      <c r="D433" s="3"/>
      <c r="E433" s="3"/>
      <c r="F433" s="3"/>
      <c r="G433" s="3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</row>
    <row r="434" spans="1:31" ht="14" x14ac:dyDescent="0.15">
      <c r="A434" s="5"/>
      <c r="B434" s="3"/>
      <c r="C434" s="3"/>
      <c r="D434" s="3"/>
      <c r="E434" s="3"/>
      <c r="F434" s="3"/>
      <c r="G434" s="3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</row>
    <row r="435" spans="1:31" ht="14" x14ac:dyDescent="0.15">
      <c r="A435" s="5"/>
      <c r="B435" s="3"/>
      <c r="C435" s="3"/>
      <c r="D435" s="3"/>
      <c r="E435" s="3"/>
      <c r="F435" s="3"/>
      <c r="G435" s="3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</row>
    <row r="436" spans="1:31" ht="14" x14ac:dyDescent="0.15">
      <c r="A436" s="5"/>
      <c r="B436" s="3"/>
      <c r="C436" s="3"/>
      <c r="D436" s="3"/>
      <c r="E436" s="3"/>
      <c r="F436" s="3"/>
      <c r="G436" s="3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</row>
    <row r="437" spans="1:31" ht="14" x14ac:dyDescent="0.15">
      <c r="A437" s="5"/>
      <c r="B437" s="3"/>
      <c r="C437" s="3"/>
      <c r="D437" s="3"/>
      <c r="E437" s="3"/>
      <c r="F437" s="3"/>
      <c r="G437" s="3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</row>
    <row r="438" spans="1:31" ht="14" x14ac:dyDescent="0.15">
      <c r="A438" s="5"/>
      <c r="B438" s="3"/>
      <c r="C438" s="3"/>
      <c r="D438" s="3"/>
      <c r="E438" s="3"/>
      <c r="F438" s="3"/>
      <c r="G438" s="3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</row>
    <row r="439" spans="1:31" ht="14" x14ac:dyDescent="0.15">
      <c r="A439" s="5"/>
      <c r="B439" s="3"/>
      <c r="C439" s="3"/>
      <c r="D439" s="3"/>
      <c r="E439" s="3"/>
      <c r="F439" s="3"/>
      <c r="G439" s="3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</row>
    <row r="440" spans="1:31" ht="14" x14ac:dyDescent="0.15">
      <c r="A440" s="5"/>
      <c r="B440" s="3"/>
      <c r="C440" s="3"/>
      <c r="D440" s="3"/>
      <c r="E440" s="3"/>
      <c r="F440" s="3"/>
      <c r="G440" s="3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</row>
    <row r="441" spans="1:31" ht="14" x14ac:dyDescent="0.15">
      <c r="A441" s="5"/>
      <c r="B441" s="3"/>
      <c r="C441" s="3"/>
      <c r="D441" s="3"/>
      <c r="E441" s="3"/>
      <c r="F441" s="3"/>
      <c r="G441" s="3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</row>
    <row r="442" spans="1:31" ht="14" x14ac:dyDescent="0.15">
      <c r="A442" s="5"/>
      <c r="B442" s="3"/>
      <c r="C442" s="3"/>
      <c r="D442" s="3"/>
      <c r="E442" s="3"/>
      <c r="F442" s="3"/>
      <c r="G442" s="3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</row>
    <row r="443" spans="1:31" ht="14" x14ac:dyDescent="0.15">
      <c r="A443" s="5"/>
      <c r="B443" s="3"/>
      <c r="C443" s="3"/>
      <c r="D443" s="3"/>
      <c r="E443" s="3"/>
      <c r="F443" s="3"/>
      <c r="G443" s="3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</row>
    <row r="444" spans="1:31" ht="14" x14ac:dyDescent="0.15">
      <c r="A444" s="5"/>
      <c r="B444" s="3"/>
      <c r="C444" s="3"/>
      <c r="D444" s="3"/>
      <c r="E444" s="3"/>
      <c r="F444" s="3"/>
      <c r="G444" s="3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</row>
    <row r="445" spans="1:31" ht="14" x14ac:dyDescent="0.15">
      <c r="A445" s="5"/>
      <c r="B445" s="3"/>
      <c r="C445" s="3"/>
      <c r="D445" s="3"/>
      <c r="E445" s="3"/>
      <c r="F445" s="3"/>
      <c r="G445" s="3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</row>
    <row r="446" spans="1:31" ht="14" x14ac:dyDescent="0.15">
      <c r="A446" s="5"/>
      <c r="B446" s="3"/>
      <c r="C446" s="3"/>
      <c r="D446" s="3"/>
      <c r="E446" s="3"/>
      <c r="F446" s="3"/>
      <c r="G446" s="3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</row>
    <row r="447" spans="1:31" ht="14" x14ac:dyDescent="0.15">
      <c r="A447" s="5"/>
      <c r="B447" s="3"/>
      <c r="C447" s="3"/>
      <c r="D447" s="3"/>
      <c r="E447" s="3"/>
      <c r="F447" s="3"/>
      <c r="G447" s="3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</row>
    <row r="448" spans="1:31" ht="14" x14ac:dyDescent="0.15">
      <c r="A448" s="5"/>
      <c r="B448" s="3"/>
      <c r="C448" s="3"/>
      <c r="D448" s="3"/>
      <c r="E448" s="3"/>
      <c r="F448" s="3"/>
      <c r="G448" s="3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</row>
    <row r="449" spans="1:31" ht="14" x14ac:dyDescent="0.15">
      <c r="A449" s="5"/>
      <c r="B449" s="3"/>
      <c r="C449" s="3"/>
      <c r="D449" s="3"/>
      <c r="E449" s="3"/>
      <c r="F449" s="3"/>
      <c r="G449" s="3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</row>
    <row r="450" spans="1:31" ht="14" x14ac:dyDescent="0.15">
      <c r="A450" s="5"/>
      <c r="B450" s="3"/>
      <c r="C450" s="3"/>
      <c r="D450" s="3"/>
      <c r="E450" s="3"/>
      <c r="F450" s="3"/>
      <c r="G450" s="3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</row>
    <row r="451" spans="1:31" ht="14" x14ac:dyDescent="0.15">
      <c r="A451" s="5"/>
      <c r="B451" s="3"/>
      <c r="C451" s="3"/>
      <c r="D451" s="3"/>
      <c r="E451" s="3"/>
      <c r="F451" s="3"/>
      <c r="G451" s="3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</row>
    <row r="452" spans="1:31" ht="14" x14ac:dyDescent="0.15">
      <c r="A452" s="5"/>
      <c r="B452" s="3"/>
      <c r="C452" s="3"/>
      <c r="D452" s="3"/>
      <c r="E452" s="3"/>
      <c r="F452" s="3"/>
      <c r="G452" s="3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</row>
    <row r="453" spans="1:31" ht="14" x14ac:dyDescent="0.15">
      <c r="A453" s="5"/>
      <c r="B453" s="3"/>
      <c r="C453" s="3"/>
      <c r="D453" s="3"/>
      <c r="E453" s="3"/>
      <c r="F453" s="3"/>
      <c r="G453" s="3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</row>
    <row r="454" spans="1:31" ht="14" x14ac:dyDescent="0.15">
      <c r="A454" s="5"/>
      <c r="B454" s="3"/>
      <c r="C454" s="3"/>
      <c r="D454" s="3"/>
      <c r="E454" s="3"/>
      <c r="F454" s="3"/>
      <c r="G454" s="3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</row>
    <row r="455" spans="1:31" ht="14" x14ac:dyDescent="0.15">
      <c r="A455" s="5"/>
      <c r="B455" s="3"/>
      <c r="C455" s="3"/>
      <c r="D455" s="3"/>
      <c r="E455" s="3"/>
      <c r="F455" s="3"/>
      <c r="G455" s="3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</row>
    <row r="456" spans="1:31" ht="14" x14ac:dyDescent="0.15">
      <c r="A456" s="5"/>
      <c r="B456" s="3"/>
      <c r="C456" s="3"/>
      <c r="D456" s="3"/>
      <c r="E456" s="3"/>
      <c r="F456" s="3"/>
      <c r="G456" s="3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</row>
    <row r="457" spans="1:31" ht="14" x14ac:dyDescent="0.15">
      <c r="A457" s="5"/>
      <c r="B457" s="3"/>
      <c r="C457" s="3"/>
      <c r="D457" s="3"/>
      <c r="E457" s="3"/>
      <c r="F457" s="3"/>
      <c r="G457" s="3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</row>
    <row r="458" spans="1:31" ht="14" x14ac:dyDescent="0.15">
      <c r="A458" s="5"/>
      <c r="B458" s="3"/>
      <c r="C458" s="3"/>
      <c r="D458" s="3"/>
      <c r="E458" s="3"/>
      <c r="F458" s="3"/>
      <c r="G458" s="3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</row>
    <row r="459" spans="1:31" ht="14" x14ac:dyDescent="0.15">
      <c r="A459" s="5"/>
      <c r="B459" s="3"/>
      <c r="C459" s="3"/>
      <c r="D459" s="3"/>
      <c r="E459" s="3"/>
      <c r="F459" s="3"/>
      <c r="G459" s="3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</row>
    <row r="460" spans="1:31" ht="14" x14ac:dyDescent="0.15">
      <c r="A460" s="5"/>
      <c r="B460" s="3"/>
      <c r="C460" s="3"/>
      <c r="D460" s="3"/>
      <c r="E460" s="3"/>
      <c r="F460" s="3"/>
      <c r="G460" s="3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</row>
    <row r="461" spans="1:31" ht="14" x14ac:dyDescent="0.15">
      <c r="A461" s="5"/>
      <c r="B461" s="3"/>
      <c r="C461" s="3"/>
      <c r="D461" s="3"/>
      <c r="E461" s="3"/>
      <c r="F461" s="3"/>
      <c r="G461" s="3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</row>
    <row r="462" spans="1:31" ht="14" x14ac:dyDescent="0.15">
      <c r="A462" s="5"/>
      <c r="B462" s="3"/>
      <c r="C462" s="3"/>
      <c r="D462" s="3"/>
      <c r="E462" s="3"/>
      <c r="F462" s="3"/>
      <c r="G462" s="3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</row>
    <row r="463" spans="1:31" ht="14" x14ac:dyDescent="0.15">
      <c r="A463" s="5"/>
      <c r="B463" s="3"/>
      <c r="C463" s="3"/>
      <c r="D463" s="3"/>
      <c r="E463" s="3"/>
      <c r="F463" s="3"/>
      <c r="G463" s="3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</row>
    <row r="464" spans="1:31" ht="14" x14ac:dyDescent="0.15">
      <c r="A464" s="5"/>
      <c r="B464" s="3"/>
      <c r="C464" s="3"/>
      <c r="D464" s="3"/>
      <c r="E464" s="3"/>
      <c r="F464" s="3"/>
      <c r="G464" s="3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</row>
    <row r="465" spans="1:31" ht="14" x14ac:dyDescent="0.15">
      <c r="A465" s="5"/>
      <c r="B465" s="3"/>
      <c r="C465" s="3"/>
      <c r="D465" s="3"/>
      <c r="E465" s="3"/>
      <c r="F465" s="3"/>
      <c r="G465" s="3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</row>
    <row r="466" spans="1:31" ht="14" x14ac:dyDescent="0.15">
      <c r="A466" s="5"/>
      <c r="B466" s="3"/>
      <c r="C466" s="3"/>
      <c r="D466" s="3"/>
      <c r="E466" s="3"/>
      <c r="F466" s="3"/>
      <c r="G466" s="3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</row>
    <row r="467" spans="1:31" ht="14" x14ac:dyDescent="0.15">
      <c r="A467" s="5"/>
      <c r="B467" s="3"/>
      <c r="C467" s="3"/>
      <c r="D467" s="3"/>
      <c r="E467" s="3"/>
      <c r="F467" s="3"/>
      <c r="G467" s="3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</row>
    <row r="468" spans="1:31" ht="14" x14ac:dyDescent="0.15">
      <c r="A468" s="5"/>
      <c r="B468" s="3"/>
      <c r="C468" s="3"/>
      <c r="D468" s="3"/>
      <c r="E468" s="3"/>
      <c r="F468" s="3"/>
      <c r="G468" s="3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</row>
    <row r="469" spans="1:31" ht="14" x14ac:dyDescent="0.15">
      <c r="A469" s="5"/>
      <c r="B469" s="3"/>
      <c r="C469" s="3"/>
      <c r="D469" s="3"/>
      <c r="E469" s="3"/>
      <c r="F469" s="3"/>
      <c r="G469" s="3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</row>
    <row r="470" spans="1:31" ht="14" x14ac:dyDescent="0.15">
      <c r="A470" s="5"/>
      <c r="B470" s="3"/>
      <c r="C470" s="3"/>
      <c r="D470" s="3"/>
      <c r="E470" s="3"/>
      <c r="F470" s="3"/>
      <c r="G470" s="3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</row>
    <row r="471" spans="1:31" ht="14" x14ac:dyDescent="0.15">
      <c r="A471" s="5"/>
      <c r="B471" s="3"/>
      <c r="C471" s="3"/>
      <c r="D471" s="3"/>
      <c r="E471" s="3"/>
      <c r="F471" s="3"/>
      <c r="G471" s="3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</row>
    <row r="472" spans="1:31" ht="14" x14ac:dyDescent="0.15">
      <c r="A472" s="5"/>
      <c r="B472" s="3"/>
      <c r="C472" s="3"/>
      <c r="D472" s="3"/>
      <c r="E472" s="3"/>
      <c r="F472" s="3"/>
      <c r="G472" s="3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</row>
    <row r="473" spans="1:31" ht="14" x14ac:dyDescent="0.15">
      <c r="A473" s="5"/>
      <c r="B473" s="3"/>
      <c r="C473" s="3"/>
      <c r="D473" s="3"/>
      <c r="E473" s="3"/>
      <c r="F473" s="3"/>
      <c r="G473" s="3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</row>
    <row r="474" spans="1:31" ht="14" x14ac:dyDescent="0.15">
      <c r="A474" s="5"/>
      <c r="B474" s="3"/>
      <c r="C474" s="3"/>
      <c r="D474" s="3"/>
      <c r="E474" s="3"/>
      <c r="F474" s="3"/>
      <c r="G474" s="3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</row>
    <row r="475" spans="1:31" ht="14" x14ac:dyDescent="0.15">
      <c r="A475" s="5"/>
      <c r="B475" s="3"/>
      <c r="C475" s="3"/>
      <c r="D475" s="3"/>
      <c r="E475" s="3"/>
      <c r="F475" s="3"/>
      <c r="G475" s="3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</row>
    <row r="476" spans="1:31" ht="14" x14ac:dyDescent="0.15">
      <c r="A476" s="5"/>
      <c r="B476" s="3"/>
      <c r="C476" s="3"/>
      <c r="D476" s="3"/>
      <c r="E476" s="3"/>
      <c r="F476" s="3"/>
      <c r="G476" s="3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</row>
    <row r="477" spans="1:31" ht="14" x14ac:dyDescent="0.15">
      <c r="A477" s="5"/>
      <c r="B477" s="3"/>
      <c r="C477" s="3"/>
      <c r="D477" s="3"/>
      <c r="E477" s="3"/>
      <c r="F477" s="3"/>
      <c r="G477" s="3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</row>
    <row r="478" spans="1:31" ht="14" x14ac:dyDescent="0.15">
      <c r="A478" s="5"/>
      <c r="B478" s="3"/>
      <c r="C478" s="3"/>
      <c r="D478" s="3"/>
      <c r="E478" s="3"/>
      <c r="F478" s="3"/>
      <c r="G478" s="3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</row>
    <row r="479" spans="1:31" ht="14" x14ac:dyDescent="0.15">
      <c r="A479" s="5"/>
      <c r="B479" s="3"/>
      <c r="C479" s="3"/>
      <c r="D479" s="3"/>
      <c r="E479" s="3"/>
      <c r="F479" s="3"/>
      <c r="G479" s="3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</row>
    <row r="480" spans="1:31" ht="14" x14ac:dyDescent="0.15">
      <c r="A480" s="5"/>
      <c r="B480" s="3"/>
      <c r="C480" s="3"/>
      <c r="D480" s="3"/>
      <c r="E480" s="3"/>
      <c r="F480" s="3"/>
      <c r="G480" s="3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</row>
    <row r="481" spans="1:31" ht="14" x14ac:dyDescent="0.15">
      <c r="A481" s="5"/>
      <c r="B481" s="3"/>
      <c r="C481" s="3"/>
      <c r="D481" s="3"/>
      <c r="E481" s="3"/>
      <c r="F481" s="3"/>
      <c r="G481" s="3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</row>
    <row r="482" spans="1:31" ht="14" x14ac:dyDescent="0.15">
      <c r="A482" s="5"/>
      <c r="B482" s="3"/>
      <c r="C482" s="3"/>
      <c r="D482" s="3"/>
      <c r="E482" s="3"/>
      <c r="F482" s="3"/>
      <c r="G482" s="3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</row>
    <row r="483" spans="1:31" ht="14" x14ac:dyDescent="0.15">
      <c r="A483" s="5"/>
      <c r="B483" s="3"/>
      <c r="C483" s="3"/>
      <c r="D483" s="3"/>
      <c r="E483" s="3"/>
      <c r="F483" s="3"/>
      <c r="G483" s="3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</row>
    <row r="484" spans="1:31" ht="14" x14ac:dyDescent="0.15">
      <c r="A484" s="5"/>
      <c r="B484" s="3"/>
      <c r="C484" s="3"/>
      <c r="D484" s="3"/>
      <c r="E484" s="3"/>
      <c r="F484" s="3"/>
      <c r="G484" s="3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</row>
    <row r="485" spans="1:31" ht="14" x14ac:dyDescent="0.15">
      <c r="A485" s="5"/>
      <c r="B485" s="3"/>
      <c r="C485" s="3"/>
      <c r="D485" s="3"/>
      <c r="E485" s="3"/>
      <c r="F485" s="3"/>
      <c r="G485" s="3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</row>
    <row r="486" spans="1:31" ht="14" x14ac:dyDescent="0.15">
      <c r="A486" s="5"/>
      <c r="B486" s="3"/>
      <c r="C486" s="3"/>
      <c r="D486" s="3"/>
      <c r="E486" s="3"/>
      <c r="F486" s="3"/>
      <c r="G486" s="3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</row>
    <row r="487" spans="1:31" ht="14" x14ac:dyDescent="0.15">
      <c r="A487" s="5"/>
      <c r="B487" s="3"/>
      <c r="C487" s="3"/>
      <c r="D487" s="3"/>
      <c r="E487" s="3"/>
      <c r="F487" s="3"/>
      <c r="G487" s="3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</row>
    <row r="488" spans="1:31" ht="14" x14ac:dyDescent="0.15">
      <c r="A488" s="5"/>
      <c r="B488" s="3"/>
      <c r="C488" s="3"/>
      <c r="D488" s="3"/>
      <c r="E488" s="3"/>
      <c r="F488" s="3"/>
      <c r="G488" s="3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</row>
    <row r="489" spans="1:31" ht="14" x14ac:dyDescent="0.15">
      <c r="A489" s="5"/>
      <c r="B489" s="3"/>
      <c r="C489" s="3"/>
      <c r="D489" s="3"/>
      <c r="E489" s="3"/>
      <c r="F489" s="3"/>
      <c r="G489" s="3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</row>
    <row r="490" spans="1:31" ht="14" x14ac:dyDescent="0.15">
      <c r="A490" s="5"/>
      <c r="B490" s="3"/>
      <c r="C490" s="3"/>
      <c r="D490" s="3"/>
      <c r="E490" s="3"/>
      <c r="F490" s="3"/>
      <c r="G490" s="3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</row>
    <row r="491" spans="1:31" ht="14" x14ac:dyDescent="0.15">
      <c r="A491" s="5"/>
      <c r="B491" s="3"/>
      <c r="C491" s="3"/>
      <c r="D491" s="3"/>
      <c r="E491" s="3"/>
      <c r="F491" s="3"/>
      <c r="G491" s="3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</row>
    <row r="492" spans="1:31" ht="14" x14ac:dyDescent="0.15">
      <c r="A492" s="5"/>
      <c r="B492" s="3"/>
      <c r="C492" s="3"/>
      <c r="D492" s="3"/>
      <c r="E492" s="3"/>
      <c r="F492" s="3"/>
      <c r="G492" s="3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</row>
    <row r="493" spans="1:31" ht="14" x14ac:dyDescent="0.15">
      <c r="A493" s="5"/>
      <c r="B493" s="3"/>
      <c r="C493" s="3"/>
      <c r="D493" s="3"/>
      <c r="E493" s="3"/>
      <c r="F493" s="3"/>
      <c r="G493" s="3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</row>
    <row r="494" spans="1:31" ht="14" x14ac:dyDescent="0.15">
      <c r="A494" s="5"/>
      <c r="B494" s="3"/>
      <c r="C494" s="3"/>
      <c r="D494" s="3"/>
      <c r="E494" s="3"/>
      <c r="F494" s="3"/>
      <c r="G494" s="3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</row>
    <row r="495" spans="1:31" ht="14" x14ac:dyDescent="0.15">
      <c r="A495" s="5"/>
      <c r="B495" s="3"/>
      <c r="C495" s="3"/>
      <c r="D495" s="3"/>
      <c r="E495" s="3"/>
      <c r="F495" s="3"/>
      <c r="G495" s="3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</row>
    <row r="496" spans="1:31" ht="14" x14ac:dyDescent="0.15">
      <c r="A496" s="5"/>
      <c r="B496" s="3"/>
      <c r="C496" s="3"/>
      <c r="D496" s="3"/>
      <c r="E496" s="3"/>
      <c r="F496" s="3"/>
      <c r="G496" s="3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</row>
    <row r="497" spans="1:31" ht="14" x14ac:dyDescent="0.15">
      <c r="A497" s="5"/>
      <c r="B497" s="3"/>
      <c r="C497" s="3"/>
      <c r="D497" s="3"/>
      <c r="E497" s="3"/>
      <c r="F497" s="3"/>
      <c r="G497" s="3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</row>
    <row r="498" spans="1:31" ht="14" x14ac:dyDescent="0.15">
      <c r="A498" s="5"/>
      <c r="B498" s="3"/>
      <c r="C498" s="3"/>
      <c r="D498" s="3"/>
      <c r="E498" s="3"/>
      <c r="F498" s="3"/>
      <c r="G498" s="3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</row>
    <row r="499" spans="1:31" ht="14" x14ac:dyDescent="0.15">
      <c r="A499" s="5"/>
      <c r="B499" s="3"/>
      <c r="C499" s="3"/>
      <c r="D499" s="3"/>
      <c r="E499" s="3"/>
      <c r="F499" s="3"/>
      <c r="G499" s="3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</row>
    <row r="500" spans="1:31" ht="14" x14ac:dyDescent="0.15">
      <c r="A500" s="5"/>
      <c r="B500" s="3"/>
      <c r="C500" s="3"/>
      <c r="D500" s="3"/>
      <c r="E500" s="3"/>
      <c r="F500" s="3"/>
      <c r="G500" s="3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</row>
    <row r="501" spans="1:31" ht="14" x14ac:dyDescent="0.15">
      <c r="A501" s="5"/>
      <c r="B501" s="3"/>
      <c r="C501" s="3"/>
      <c r="D501" s="3"/>
      <c r="E501" s="3"/>
      <c r="F501" s="3"/>
      <c r="G501" s="3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</row>
    <row r="502" spans="1:31" ht="14" x14ac:dyDescent="0.15">
      <c r="A502" s="5"/>
      <c r="B502" s="3"/>
      <c r="C502" s="3"/>
      <c r="D502" s="3"/>
      <c r="E502" s="3"/>
      <c r="F502" s="3"/>
      <c r="G502" s="3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</row>
    <row r="503" spans="1:31" ht="14" x14ac:dyDescent="0.15">
      <c r="A503" s="5"/>
      <c r="B503" s="3"/>
      <c r="C503" s="3"/>
      <c r="D503" s="3"/>
      <c r="E503" s="3"/>
      <c r="F503" s="3"/>
      <c r="G503" s="3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</row>
    <row r="504" spans="1:31" ht="14" x14ac:dyDescent="0.15">
      <c r="A504" s="5"/>
      <c r="B504" s="3"/>
      <c r="C504" s="3"/>
      <c r="D504" s="3"/>
      <c r="E504" s="3"/>
      <c r="F504" s="3"/>
      <c r="G504" s="3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</row>
    <row r="505" spans="1:31" ht="14" x14ac:dyDescent="0.15">
      <c r="A505" s="5"/>
      <c r="B505" s="3"/>
      <c r="C505" s="3"/>
      <c r="D505" s="3"/>
      <c r="E505" s="3"/>
      <c r="F505" s="3"/>
      <c r="G505" s="3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</row>
    <row r="506" spans="1:31" ht="14" x14ac:dyDescent="0.15">
      <c r="A506" s="5"/>
      <c r="B506" s="3"/>
      <c r="C506" s="3"/>
      <c r="D506" s="3"/>
      <c r="E506" s="3"/>
      <c r="F506" s="3"/>
      <c r="G506" s="3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</row>
    <row r="507" spans="1:31" ht="14" x14ac:dyDescent="0.15">
      <c r="A507" s="5"/>
      <c r="B507" s="3"/>
      <c r="C507" s="3"/>
      <c r="D507" s="3"/>
      <c r="E507" s="3"/>
      <c r="F507" s="3"/>
      <c r="G507" s="3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</row>
    <row r="508" spans="1:31" ht="14" x14ac:dyDescent="0.15">
      <c r="A508" s="5"/>
      <c r="B508" s="3"/>
      <c r="C508" s="3"/>
      <c r="D508" s="3"/>
      <c r="E508" s="3"/>
      <c r="F508" s="3"/>
      <c r="G508" s="3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</row>
    <row r="509" spans="1:31" ht="14" x14ac:dyDescent="0.15">
      <c r="A509" s="5"/>
      <c r="B509" s="3"/>
      <c r="C509" s="3"/>
      <c r="D509" s="3"/>
      <c r="E509" s="3"/>
      <c r="F509" s="3"/>
      <c r="G509" s="3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</row>
    <row r="510" spans="1:31" ht="14" x14ac:dyDescent="0.15">
      <c r="A510" s="5"/>
      <c r="B510" s="3"/>
      <c r="C510" s="3"/>
      <c r="D510" s="3"/>
      <c r="E510" s="3"/>
      <c r="F510" s="3"/>
      <c r="G510" s="3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</row>
    <row r="511" spans="1:31" ht="14" x14ac:dyDescent="0.15">
      <c r="A511" s="5"/>
      <c r="B511" s="3"/>
      <c r="C511" s="3"/>
      <c r="D511" s="3"/>
      <c r="E511" s="3"/>
      <c r="F511" s="3"/>
      <c r="G511" s="3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</row>
    <row r="512" spans="1:31" ht="14" x14ac:dyDescent="0.15">
      <c r="A512" s="5"/>
      <c r="B512" s="3"/>
      <c r="C512" s="3"/>
      <c r="D512" s="3"/>
      <c r="E512" s="3"/>
      <c r="F512" s="3"/>
      <c r="G512" s="3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</row>
    <row r="513" spans="1:31" ht="14" x14ac:dyDescent="0.15">
      <c r="A513" s="5"/>
      <c r="B513" s="3"/>
      <c r="C513" s="3"/>
      <c r="D513" s="3"/>
      <c r="E513" s="3"/>
      <c r="F513" s="3"/>
      <c r="G513" s="3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</row>
    <row r="514" spans="1:31" ht="14" x14ac:dyDescent="0.15">
      <c r="A514" s="5"/>
      <c r="B514" s="3"/>
      <c r="C514" s="3"/>
      <c r="D514" s="3"/>
      <c r="E514" s="3"/>
      <c r="F514" s="3"/>
      <c r="G514" s="3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</row>
    <row r="515" spans="1:31" ht="14" x14ac:dyDescent="0.15">
      <c r="A515" s="5"/>
      <c r="B515" s="3"/>
      <c r="C515" s="3"/>
      <c r="D515" s="3"/>
      <c r="E515" s="3"/>
      <c r="F515" s="3"/>
      <c r="G515" s="3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</row>
    <row r="516" spans="1:31" ht="14" x14ac:dyDescent="0.15">
      <c r="A516" s="5"/>
      <c r="B516" s="3"/>
      <c r="C516" s="3"/>
      <c r="D516" s="3"/>
      <c r="E516" s="3"/>
      <c r="F516" s="3"/>
      <c r="G516" s="3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</row>
    <row r="517" spans="1:31" ht="14" x14ac:dyDescent="0.15">
      <c r="A517" s="5"/>
      <c r="B517" s="3"/>
      <c r="C517" s="3"/>
      <c r="D517" s="3"/>
      <c r="E517" s="3"/>
      <c r="F517" s="3"/>
      <c r="G517" s="3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</row>
    <row r="518" spans="1:31" ht="14" x14ac:dyDescent="0.15">
      <c r="A518" s="5"/>
      <c r="B518" s="3"/>
      <c r="C518" s="3"/>
      <c r="D518" s="3"/>
      <c r="E518" s="3"/>
      <c r="F518" s="3"/>
      <c r="G518" s="3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</row>
    <row r="519" spans="1:31" ht="14" x14ac:dyDescent="0.15">
      <c r="A519" s="5"/>
      <c r="B519" s="3"/>
      <c r="C519" s="3"/>
      <c r="D519" s="3"/>
      <c r="E519" s="3"/>
      <c r="F519" s="3"/>
      <c r="G519" s="3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</row>
    <row r="520" spans="1:31" ht="14" x14ac:dyDescent="0.15">
      <c r="A520" s="5"/>
      <c r="B520" s="3"/>
      <c r="C520" s="3"/>
      <c r="D520" s="3"/>
      <c r="E520" s="3"/>
      <c r="F520" s="3"/>
      <c r="G520" s="3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</row>
    <row r="521" spans="1:31" ht="14" x14ac:dyDescent="0.15">
      <c r="A521" s="5"/>
      <c r="B521" s="3"/>
      <c r="C521" s="3"/>
      <c r="D521" s="3"/>
      <c r="E521" s="3"/>
      <c r="F521" s="3"/>
      <c r="G521" s="3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</row>
    <row r="522" spans="1:31" ht="14" x14ac:dyDescent="0.15">
      <c r="A522" s="5"/>
      <c r="B522" s="3"/>
      <c r="C522" s="3"/>
      <c r="D522" s="3"/>
      <c r="E522" s="3"/>
      <c r="F522" s="3"/>
      <c r="G522" s="3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</row>
    <row r="523" spans="1:31" ht="14" x14ac:dyDescent="0.15">
      <c r="A523" s="5"/>
      <c r="B523" s="3"/>
      <c r="C523" s="3"/>
      <c r="D523" s="3"/>
      <c r="E523" s="3"/>
      <c r="F523" s="3"/>
      <c r="G523" s="3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</row>
    <row r="524" spans="1:31" ht="14" x14ac:dyDescent="0.15">
      <c r="A524" s="5"/>
      <c r="B524" s="3"/>
      <c r="C524" s="3"/>
      <c r="D524" s="3"/>
      <c r="E524" s="3"/>
      <c r="F524" s="3"/>
      <c r="G524" s="3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</row>
    <row r="525" spans="1:31" ht="14" x14ac:dyDescent="0.15">
      <c r="A525" s="5"/>
      <c r="B525" s="3"/>
      <c r="C525" s="3"/>
      <c r="D525" s="3"/>
      <c r="E525" s="3"/>
      <c r="F525" s="3"/>
      <c r="G525" s="3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</row>
    <row r="526" spans="1:31" ht="14" x14ac:dyDescent="0.15">
      <c r="A526" s="5"/>
      <c r="B526" s="3"/>
      <c r="C526" s="3"/>
      <c r="D526" s="3"/>
      <c r="E526" s="3"/>
      <c r="F526" s="3"/>
      <c r="G526" s="3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</row>
    <row r="527" spans="1:31" ht="14" x14ac:dyDescent="0.15">
      <c r="A527" s="5"/>
      <c r="B527" s="3"/>
      <c r="C527" s="3"/>
      <c r="D527" s="3"/>
      <c r="E527" s="3"/>
      <c r="F527" s="3"/>
      <c r="G527" s="3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</row>
    <row r="528" spans="1:31" ht="14" x14ac:dyDescent="0.15">
      <c r="A528" s="5"/>
      <c r="B528" s="3"/>
      <c r="C528" s="3"/>
      <c r="D528" s="3"/>
      <c r="E528" s="3"/>
      <c r="F528" s="3"/>
      <c r="G528" s="3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</row>
    <row r="529" spans="1:31" ht="14" x14ac:dyDescent="0.15">
      <c r="A529" s="5"/>
      <c r="B529" s="3"/>
      <c r="C529" s="3"/>
      <c r="D529" s="3"/>
      <c r="E529" s="3"/>
      <c r="F529" s="3"/>
      <c r="G529" s="3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</row>
    <row r="530" spans="1:31" ht="14" x14ac:dyDescent="0.15">
      <c r="A530" s="5"/>
      <c r="B530" s="3"/>
      <c r="C530" s="3"/>
      <c r="D530" s="3"/>
      <c r="E530" s="3"/>
      <c r="F530" s="3"/>
      <c r="G530" s="3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</row>
    <row r="531" spans="1:31" ht="14" x14ac:dyDescent="0.15">
      <c r="A531" s="5"/>
      <c r="B531" s="3"/>
      <c r="C531" s="3"/>
      <c r="D531" s="3"/>
      <c r="E531" s="3"/>
      <c r="F531" s="3"/>
      <c r="G531" s="3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</row>
    <row r="532" spans="1:31" ht="14" x14ac:dyDescent="0.15">
      <c r="A532" s="5"/>
      <c r="B532" s="3"/>
      <c r="C532" s="3"/>
      <c r="D532" s="3"/>
      <c r="E532" s="3"/>
      <c r="F532" s="3"/>
      <c r="G532" s="3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</row>
    <row r="533" spans="1:31" ht="14" x14ac:dyDescent="0.15">
      <c r="A533" s="5"/>
      <c r="B533" s="3"/>
      <c r="C533" s="3"/>
      <c r="D533" s="3"/>
      <c r="E533" s="3"/>
      <c r="F533" s="3"/>
      <c r="G533" s="3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</row>
    <row r="534" spans="1:31" ht="14" x14ac:dyDescent="0.15">
      <c r="A534" s="5"/>
      <c r="B534" s="3"/>
      <c r="C534" s="3"/>
      <c r="D534" s="3"/>
      <c r="E534" s="3"/>
      <c r="F534" s="3"/>
      <c r="G534" s="3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</row>
    <row r="535" spans="1:31" ht="14" x14ac:dyDescent="0.15">
      <c r="A535" s="5"/>
      <c r="B535" s="3"/>
      <c r="C535" s="3"/>
      <c r="D535" s="3"/>
      <c r="E535" s="3"/>
      <c r="F535" s="3"/>
      <c r="G535" s="3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</row>
    <row r="536" spans="1:31" ht="14" x14ac:dyDescent="0.15">
      <c r="A536" s="5"/>
      <c r="B536" s="3"/>
      <c r="C536" s="3"/>
      <c r="D536" s="3"/>
      <c r="E536" s="3"/>
      <c r="F536" s="3"/>
      <c r="G536" s="3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</row>
    <row r="537" spans="1:31" ht="14" x14ac:dyDescent="0.15">
      <c r="A537" s="5"/>
      <c r="B537" s="3"/>
      <c r="C537" s="3"/>
      <c r="D537" s="3"/>
      <c r="E537" s="3"/>
      <c r="F537" s="3"/>
      <c r="G537" s="3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</row>
    <row r="538" spans="1:31" ht="14" x14ac:dyDescent="0.15">
      <c r="A538" s="5"/>
      <c r="B538" s="3"/>
      <c r="C538" s="3"/>
      <c r="D538" s="3"/>
      <c r="E538" s="3"/>
      <c r="F538" s="3"/>
      <c r="G538" s="3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</row>
    <row r="539" spans="1:31" ht="14" x14ac:dyDescent="0.15">
      <c r="A539" s="5"/>
      <c r="B539" s="3"/>
      <c r="C539" s="3"/>
      <c r="D539" s="3"/>
      <c r="E539" s="3"/>
      <c r="F539" s="3"/>
      <c r="G539" s="3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</row>
    <row r="540" spans="1:31" ht="14" x14ac:dyDescent="0.15">
      <c r="A540" s="5"/>
      <c r="B540" s="3"/>
      <c r="C540" s="3"/>
      <c r="D540" s="3"/>
      <c r="E540" s="3"/>
      <c r="F540" s="3"/>
      <c r="G540" s="3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</row>
    <row r="541" spans="1:31" ht="14" x14ac:dyDescent="0.15">
      <c r="A541" s="5"/>
      <c r="B541" s="3"/>
      <c r="C541" s="3"/>
      <c r="D541" s="3"/>
      <c r="E541" s="3"/>
      <c r="F541" s="3"/>
      <c r="G541" s="3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</row>
    <row r="542" spans="1:31" ht="14" x14ac:dyDescent="0.15">
      <c r="A542" s="5"/>
      <c r="B542" s="3"/>
      <c r="C542" s="3"/>
      <c r="D542" s="3"/>
      <c r="E542" s="3"/>
      <c r="F542" s="3"/>
      <c r="G542" s="3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</row>
    <row r="543" spans="1:31" ht="14" x14ac:dyDescent="0.15">
      <c r="A543" s="5"/>
      <c r="B543" s="3"/>
      <c r="C543" s="3"/>
      <c r="D543" s="3"/>
      <c r="E543" s="3"/>
      <c r="F543" s="3"/>
      <c r="G543" s="3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</row>
    <row r="544" spans="1:31" ht="14" x14ac:dyDescent="0.15">
      <c r="A544" s="5"/>
      <c r="B544" s="3"/>
      <c r="C544" s="3"/>
      <c r="D544" s="3"/>
      <c r="E544" s="3"/>
      <c r="F544" s="3"/>
      <c r="G544" s="3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</row>
    <row r="545" spans="1:31" ht="14" x14ac:dyDescent="0.15">
      <c r="A545" s="5"/>
      <c r="B545" s="3"/>
      <c r="C545" s="3"/>
      <c r="D545" s="3"/>
      <c r="E545" s="3"/>
      <c r="F545" s="3"/>
      <c r="G545" s="3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</row>
    <row r="546" spans="1:31" ht="14" x14ac:dyDescent="0.15">
      <c r="A546" s="5"/>
      <c r="B546" s="3"/>
      <c r="C546" s="3"/>
      <c r="D546" s="3"/>
      <c r="E546" s="3"/>
      <c r="F546" s="3"/>
      <c r="G546" s="3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</row>
    <row r="547" spans="1:31" ht="14" x14ac:dyDescent="0.15">
      <c r="A547" s="5"/>
      <c r="B547" s="3"/>
      <c r="C547" s="3"/>
      <c r="D547" s="3"/>
      <c r="E547" s="3"/>
      <c r="F547" s="3"/>
      <c r="G547" s="3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</row>
    <row r="548" spans="1:31" ht="14" x14ac:dyDescent="0.15">
      <c r="A548" s="5"/>
      <c r="B548" s="3"/>
      <c r="C548" s="3"/>
      <c r="D548" s="3"/>
      <c r="E548" s="3"/>
      <c r="F548" s="3"/>
      <c r="G548" s="3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</row>
    <row r="549" spans="1:31" ht="14" x14ac:dyDescent="0.15">
      <c r="A549" s="5"/>
      <c r="B549" s="3"/>
      <c r="C549" s="3"/>
      <c r="D549" s="3"/>
      <c r="E549" s="3"/>
      <c r="F549" s="3"/>
      <c r="G549" s="3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</row>
    <row r="550" spans="1:31" ht="14" x14ac:dyDescent="0.15">
      <c r="A550" s="5"/>
      <c r="B550" s="3"/>
      <c r="C550" s="3"/>
      <c r="D550" s="3"/>
      <c r="E550" s="3"/>
      <c r="F550" s="3"/>
      <c r="G550" s="3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</row>
    <row r="551" spans="1:31" ht="14" x14ac:dyDescent="0.15">
      <c r="A551" s="5"/>
      <c r="B551" s="3"/>
      <c r="C551" s="3"/>
      <c r="D551" s="3"/>
      <c r="E551" s="3"/>
      <c r="F551" s="3"/>
      <c r="G551" s="3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</row>
    <row r="552" spans="1:31" ht="14" x14ac:dyDescent="0.15">
      <c r="A552" s="5"/>
      <c r="B552" s="3"/>
      <c r="C552" s="3"/>
      <c r="D552" s="3"/>
      <c r="E552" s="3"/>
      <c r="F552" s="3"/>
      <c r="G552" s="3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</row>
    <row r="553" spans="1:31" ht="14" x14ac:dyDescent="0.15">
      <c r="A553" s="5"/>
      <c r="B553" s="3"/>
      <c r="C553" s="3"/>
      <c r="D553" s="3"/>
      <c r="E553" s="3"/>
      <c r="F553" s="3"/>
      <c r="G553" s="3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</row>
    <row r="554" spans="1:31" ht="14" x14ac:dyDescent="0.15">
      <c r="A554" s="5"/>
      <c r="B554" s="3"/>
      <c r="C554" s="3"/>
      <c r="D554" s="3"/>
      <c r="E554" s="3"/>
      <c r="F554" s="3"/>
      <c r="G554" s="3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</row>
    <row r="555" spans="1:31" ht="14" x14ac:dyDescent="0.15">
      <c r="A555" s="5"/>
      <c r="B555" s="3"/>
      <c r="C555" s="3"/>
      <c r="D555" s="3"/>
      <c r="E555" s="3"/>
      <c r="F555" s="3"/>
      <c r="G555" s="3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</row>
    <row r="556" spans="1:31" ht="14" x14ac:dyDescent="0.15">
      <c r="A556" s="5"/>
      <c r="B556" s="3"/>
      <c r="C556" s="3"/>
      <c r="D556" s="3"/>
      <c r="E556" s="3"/>
      <c r="F556" s="3"/>
      <c r="G556" s="3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</row>
    <row r="557" spans="1:31" ht="14" x14ac:dyDescent="0.15">
      <c r="A557" s="5"/>
      <c r="B557" s="3"/>
      <c r="C557" s="3"/>
      <c r="D557" s="3"/>
      <c r="E557" s="3"/>
      <c r="F557" s="3"/>
      <c r="G557" s="3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</row>
    <row r="558" spans="1:31" ht="14" x14ac:dyDescent="0.15">
      <c r="A558" s="5"/>
      <c r="B558" s="3"/>
      <c r="C558" s="3"/>
      <c r="D558" s="3"/>
      <c r="E558" s="3"/>
      <c r="F558" s="3"/>
      <c r="G558" s="3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</row>
    <row r="559" spans="1:31" ht="14" x14ac:dyDescent="0.15">
      <c r="A559" s="5"/>
      <c r="B559" s="3"/>
      <c r="C559" s="3"/>
      <c r="D559" s="3"/>
      <c r="E559" s="3"/>
      <c r="F559" s="3"/>
      <c r="G559" s="3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</row>
    <row r="560" spans="1:31" ht="14" x14ac:dyDescent="0.15">
      <c r="A560" s="5"/>
      <c r="B560" s="3"/>
      <c r="C560" s="3"/>
      <c r="D560" s="3"/>
      <c r="E560" s="3"/>
      <c r="F560" s="3"/>
      <c r="G560" s="3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</row>
    <row r="561" spans="1:31" ht="14" x14ac:dyDescent="0.15">
      <c r="A561" s="5"/>
      <c r="B561" s="3"/>
      <c r="C561" s="3"/>
      <c r="D561" s="3"/>
      <c r="E561" s="3"/>
      <c r="F561" s="3"/>
      <c r="G561" s="3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</row>
    <row r="562" spans="1:31" ht="14" x14ac:dyDescent="0.15">
      <c r="A562" s="5"/>
      <c r="B562" s="3"/>
      <c r="C562" s="3"/>
      <c r="D562" s="3"/>
      <c r="E562" s="3"/>
      <c r="F562" s="3"/>
      <c r="G562" s="3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</row>
    <row r="563" spans="1:31" ht="14" x14ac:dyDescent="0.15">
      <c r="A563" s="5"/>
      <c r="B563" s="3"/>
      <c r="C563" s="3"/>
      <c r="D563" s="3"/>
      <c r="E563" s="3"/>
      <c r="F563" s="3"/>
      <c r="G563" s="3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</row>
    <row r="564" spans="1:31" ht="14" x14ac:dyDescent="0.15">
      <c r="A564" s="5"/>
      <c r="B564" s="3"/>
      <c r="C564" s="3"/>
      <c r="D564" s="3"/>
      <c r="E564" s="3"/>
      <c r="F564" s="3"/>
      <c r="G564" s="3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</row>
    <row r="565" spans="1:31" ht="14" x14ac:dyDescent="0.15">
      <c r="A565" s="5"/>
      <c r="B565" s="3"/>
      <c r="C565" s="3"/>
      <c r="D565" s="3"/>
      <c r="E565" s="3"/>
      <c r="F565" s="3"/>
      <c r="G565" s="3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</row>
    <row r="566" spans="1:31" ht="14" x14ac:dyDescent="0.15">
      <c r="A566" s="5"/>
      <c r="B566" s="3"/>
      <c r="C566" s="3"/>
      <c r="D566" s="3"/>
      <c r="E566" s="3"/>
      <c r="F566" s="3"/>
      <c r="G566" s="3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</row>
    <row r="567" spans="1:31" ht="14" x14ac:dyDescent="0.15">
      <c r="A567" s="5"/>
      <c r="B567" s="3"/>
      <c r="C567" s="3"/>
      <c r="D567" s="3"/>
      <c r="E567" s="3"/>
      <c r="F567" s="3"/>
      <c r="G567" s="3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</row>
    <row r="568" spans="1:31" ht="14" x14ac:dyDescent="0.15">
      <c r="A568" s="5"/>
      <c r="B568" s="3"/>
      <c r="C568" s="3"/>
      <c r="D568" s="3"/>
      <c r="E568" s="3"/>
      <c r="F568" s="3"/>
      <c r="G568" s="3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</row>
    <row r="569" spans="1:31" ht="14" x14ac:dyDescent="0.15">
      <c r="A569" s="5"/>
      <c r="B569" s="3"/>
      <c r="C569" s="3"/>
      <c r="D569" s="3"/>
      <c r="E569" s="3"/>
      <c r="F569" s="3"/>
      <c r="G569" s="3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</row>
    <row r="570" spans="1:31" ht="14" x14ac:dyDescent="0.15">
      <c r="A570" s="5"/>
      <c r="B570" s="3"/>
      <c r="C570" s="3"/>
      <c r="D570" s="3"/>
      <c r="E570" s="3"/>
      <c r="F570" s="3"/>
      <c r="G570" s="3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</row>
    <row r="571" spans="1:31" ht="14" x14ac:dyDescent="0.15">
      <c r="A571" s="5"/>
      <c r="B571" s="3"/>
      <c r="C571" s="3"/>
      <c r="D571" s="3"/>
      <c r="E571" s="3"/>
      <c r="F571" s="3"/>
      <c r="G571" s="3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</row>
    <row r="572" spans="1:31" ht="14" x14ac:dyDescent="0.15">
      <c r="A572" s="5"/>
      <c r="B572" s="3"/>
      <c r="C572" s="3"/>
      <c r="D572" s="3"/>
      <c r="E572" s="3"/>
      <c r="F572" s="3"/>
      <c r="G572" s="3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</row>
    <row r="573" spans="1:31" ht="14" x14ac:dyDescent="0.15">
      <c r="A573" s="5"/>
      <c r="B573" s="3"/>
      <c r="C573" s="3"/>
      <c r="D573" s="3"/>
      <c r="E573" s="3"/>
      <c r="F573" s="3"/>
      <c r="G573" s="3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</row>
    <row r="574" spans="1:31" ht="14" x14ac:dyDescent="0.15">
      <c r="A574" s="5"/>
      <c r="B574" s="3"/>
      <c r="C574" s="3"/>
      <c r="D574" s="3"/>
      <c r="E574" s="3"/>
      <c r="F574" s="3"/>
      <c r="G574" s="3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</row>
    <row r="575" spans="1:31" ht="14" x14ac:dyDescent="0.15">
      <c r="A575" s="5"/>
      <c r="B575" s="3"/>
      <c r="C575" s="3"/>
      <c r="D575" s="3"/>
      <c r="E575" s="3"/>
      <c r="F575" s="3"/>
      <c r="G575" s="3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</row>
    <row r="576" spans="1:31" ht="14" x14ac:dyDescent="0.15">
      <c r="A576" s="5"/>
      <c r="B576" s="3"/>
      <c r="C576" s="3"/>
      <c r="D576" s="3"/>
      <c r="E576" s="3"/>
      <c r="F576" s="3"/>
      <c r="G576" s="3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</row>
    <row r="577" spans="1:31" ht="14" x14ac:dyDescent="0.15">
      <c r="A577" s="5"/>
      <c r="B577" s="3"/>
      <c r="C577" s="3"/>
      <c r="D577" s="3"/>
      <c r="E577" s="3"/>
      <c r="F577" s="3"/>
      <c r="G577" s="3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</row>
    <row r="578" spans="1:31" ht="14" x14ac:dyDescent="0.15">
      <c r="A578" s="5"/>
      <c r="B578" s="3"/>
      <c r="C578" s="3"/>
      <c r="D578" s="3"/>
      <c r="E578" s="3"/>
      <c r="F578" s="3"/>
      <c r="G578" s="3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</row>
    <row r="579" spans="1:31" ht="14" x14ac:dyDescent="0.15">
      <c r="A579" s="5"/>
      <c r="B579" s="3"/>
      <c r="C579" s="3"/>
      <c r="D579" s="3"/>
      <c r="E579" s="3"/>
      <c r="F579" s="3"/>
      <c r="G579" s="3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</row>
    <row r="580" spans="1:31" ht="14" x14ac:dyDescent="0.15">
      <c r="A580" s="5"/>
      <c r="B580" s="3"/>
      <c r="C580" s="3"/>
      <c r="D580" s="3"/>
      <c r="E580" s="3"/>
      <c r="F580" s="3"/>
      <c r="G580" s="3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</row>
    <row r="581" spans="1:31" ht="14" x14ac:dyDescent="0.15">
      <c r="A581" s="5"/>
      <c r="B581" s="3"/>
      <c r="C581" s="3"/>
      <c r="D581" s="3"/>
      <c r="E581" s="3"/>
      <c r="F581" s="3"/>
      <c r="G581" s="3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</row>
    <row r="582" spans="1:31" ht="14" x14ac:dyDescent="0.15">
      <c r="A582" s="5"/>
      <c r="B582" s="3"/>
      <c r="C582" s="3"/>
      <c r="D582" s="3"/>
      <c r="E582" s="3"/>
      <c r="F582" s="3"/>
      <c r="G582" s="3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</row>
    <row r="583" spans="1:31" ht="14" x14ac:dyDescent="0.15">
      <c r="A583" s="5"/>
      <c r="B583" s="3"/>
      <c r="C583" s="3"/>
      <c r="D583" s="3"/>
      <c r="E583" s="3"/>
      <c r="F583" s="3"/>
      <c r="G583" s="3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</row>
    <row r="584" spans="1:31" ht="14" x14ac:dyDescent="0.15">
      <c r="A584" s="5"/>
      <c r="B584" s="3"/>
      <c r="C584" s="3"/>
      <c r="D584" s="3"/>
      <c r="E584" s="3"/>
      <c r="F584" s="3"/>
      <c r="G584" s="3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</row>
    <row r="585" spans="1:31" ht="14" x14ac:dyDescent="0.15">
      <c r="A585" s="5"/>
      <c r="B585" s="3"/>
      <c r="C585" s="3"/>
      <c r="D585" s="3"/>
      <c r="E585" s="3"/>
      <c r="F585" s="3"/>
      <c r="G585" s="3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</row>
    <row r="586" spans="1:31" ht="14" x14ac:dyDescent="0.15">
      <c r="A586" s="5"/>
      <c r="B586" s="3"/>
      <c r="C586" s="3"/>
      <c r="D586" s="3"/>
      <c r="E586" s="3"/>
      <c r="F586" s="3"/>
      <c r="G586" s="3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</row>
    <row r="587" spans="1:31" ht="14" x14ac:dyDescent="0.15">
      <c r="A587" s="5"/>
      <c r="B587" s="3"/>
      <c r="C587" s="3"/>
      <c r="D587" s="3"/>
      <c r="E587" s="3"/>
      <c r="F587" s="3"/>
      <c r="G587" s="3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</row>
    <row r="588" spans="1:31" ht="14" x14ac:dyDescent="0.15">
      <c r="A588" s="5"/>
      <c r="B588" s="3"/>
      <c r="C588" s="3"/>
      <c r="D588" s="3"/>
      <c r="E588" s="3"/>
      <c r="F588" s="3"/>
      <c r="G588" s="3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</row>
    <row r="589" spans="1:31" ht="14" x14ac:dyDescent="0.15">
      <c r="A589" s="5"/>
      <c r="B589" s="3"/>
      <c r="C589" s="3"/>
      <c r="D589" s="3"/>
      <c r="E589" s="3"/>
      <c r="F589" s="3"/>
      <c r="G589" s="3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</row>
    <row r="590" spans="1:31" ht="14" x14ac:dyDescent="0.15">
      <c r="A590" s="5"/>
      <c r="B590" s="3"/>
      <c r="C590" s="3"/>
      <c r="D590" s="3"/>
      <c r="E590" s="3"/>
      <c r="F590" s="3"/>
      <c r="G590" s="3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</row>
    <row r="591" spans="1:31" ht="14" x14ac:dyDescent="0.15">
      <c r="A591" s="5"/>
      <c r="B591" s="3"/>
      <c r="C591" s="3"/>
      <c r="D591" s="3"/>
      <c r="E591" s="3"/>
      <c r="F591" s="3"/>
      <c r="G591" s="3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</row>
    <row r="592" spans="1:31" ht="14" x14ac:dyDescent="0.15">
      <c r="A592" s="5"/>
      <c r="B592" s="3"/>
      <c r="C592" s="3"/>
      <c r="D592" s="3"/>
      <c r="E592" s="3"/>
      <c r="F592" s="3"/>
      <c r="G592" s="3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</row>
    <row r="593" spans="1:31" ht="14" x14ac:dyDescent="0.15">
      <c r="A593" s="5"/>
      <c r="B593" s="3"/>
      <c r="C593" s="3"/>
      <c r="D593" s="3"/>
      <c r="E593" s="3"/>
      <c r="F593" s="3"/>
      <c r="G593" s="3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</row>
    <row r="594" spans="1:31" ht="14" x14ac:dyDescent="0.15">
      <c r="A594" s="5"/>
      <c r="B594" s="3"/>
      <c r="C594" s="3"/>
      <c r="D594" s="3"/>
      <c r="E594" s="3"/>
      <c r="F594" s="3"/>
      <c r="G594" s="3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</row>
    <row r="595" spans="1:31" ht="14" x14ac:dyDescent="0.15">
      <c r="A595" s="5"/>
      <c r="B595" s="3"/>
      <c r="C595" s="3"/>
      <c r="D595" s="3"/>
      <c r="E595" s="3"/>
      <c r="F595" s="3"/>
      <c r="G595" s="3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</row>
    <row r="596" spans="1:31" ht="14" x14ac:dyDescent="0.15">
      <c r="A596" s="5"/>
      <c r="B596" s="3"/>
      <c r="C596" s="3"/>
      <c r="D596" s="3"/>
      <c r="E596" s="3"/>
      <c r="F596" s="3"/>
      <c r="G596" s="3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</row>
    <row r="597" spans="1:31" ht="14" x14ac:dyDescent="0.15">
      <c r="A597" s="5"/>
      <c r="B597" s="3"/>
      <c r="C597" s="3"/>
      <c r="D597" s="3"/>
      <c r="E597" s="3"/>
      <c r="F597" s="3"/>
      <c r="G597" s="3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</row>
    <row r="598" spans="1:31" ht="14" x14ac:dyDescent="0.15">
      <c r="A598" s="5"/>
      <c r="B598" s="3"/>
      <c r="C598" s="3"/>
      <c r="D598" s="3"/>
      <c r="E598" s="3"/>
      <c r="F598" s="3"/>
      <c r="G598" s="3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</row>
    <row r="599" spans="1:31" ht="14" x14ac:dyDescent="0.15">
      <c r="A599" s="5"/>
      <c r="B599" s="3"/>
      <c r="C599" s="3"/>
      <c r="D599" s="3"/>
      <c r="E599" s="3"/>
      <c r="F599" s="3"/>
      <c r="G599" s="3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</row>
    <row r="600" spans="1:31" ht="14" x14ac:dyDescent="0.15">
      <c r="A600" s="5"/>
      <c r="B600" s="3"/>
      <c r="C600" s="3"/>
      <c r="D600" s="3"/>
      <c r="E600" s="3"/>
      <c r="F600" s="3"/>
      <c r="G600" s="3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</row>
    <row r="601" spans="1:31" ht="14" x14ac:dyDescent="0.15">
      <c r="A601" s="5"/>
      <c r="B601" s="3"/>
      <c r="C601" s="3"/>
      <c r="D601" s="3"/>
      <c r="E601" s="3"/>
      <c r="F601" s="3"/>
      <c r="G601" s="3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</row>
    <row r="602" spans="1:31" ht="14" x14ac:dyDescent="0.15">
      <c r="A602" s="5"/>
      <c r="B602" s="3"/>
      <c r="C602" s="3"/>
      <c r="D602" s="3"/>
      <c r="E602" s="3"/>
      <c r="F602" s="3"/>
      <c r="G602" s="3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</row>
    <row r="603" spans="1:31" ht="14" x14ac:dyDescent="0.15">
      <c r="A603" s="5"/>
      <c r="B603" s="3"/>
      <c r="C603" s="3"/>
      <c r="D603" s="3"/>
      <c r="E603" s="3"/>
      <c r="F603" s="3"/>
      <c r="G603" s="3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</row>
    <row r="604" spans="1:31" ht="14" x14ac:dyDescent="0.15">
      <c r="A604" s="5"/>
      <c r="B604" s="3"/>
      <c r="C604" s="3"/>
      <c r="D604" s="3"/>
      <c r="E604" s="3"/>
      <c r="F604" s="3"/>
      <c r="G604" s="3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</row>
    <row r="605" spans="1:31" ht="14" x14ac:dyDescent="0.15">
      <c r="A605" s="5"/>
      <c r="B605" s="3"/>
      <c r="C605" s="3"/>
      <c r="D605" s="3"/>
      <c r="E605" s="3"/>
      <c r="F605" s="3"/>
      <c r="G605" s="3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</row>
    <row r="606" spans="1:31" ht="14" x14ac:dyDescent="0.15">
      <c r="A606" s="5"/>
      <c r="B606" s="3"/>
      <c r="C606" s="3"/>
      <c r="D606" s="3"/>
      <c r="E606" s="3"/>
      <c r="F606" s="3"/>
      <c r="G606" s="3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</row>
    <row r="607" spans="1:31" ht="14" x14ac:dyDescent="0.15">
      <c r="A607" s="5"/>
      <c r="B607" s="3"/>
      <c r="C607" s="3"/>
      <c r="D607" s="3"/>
      <c r="E607" s="3"/>
      <c r="F607" s="3"/>
      <c r="G607" s="3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</row>
    <row r="608" spans="1:31" ht="14" x14ac:dyDescent="0.15">
      <c r="A608" s="5"/>
      <c r="B608" s="3"/>
      <c r="C608" s="3"/>
      <c r="D608" s="3"/>
      <c r="E608" s="3"/>
      <c r="F608" s="3"/>
      <c r="G608" s="3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</row>
    <row r="609" spans="1:31" ht="14" x14ac:dyDescent="0.15">
      <c r="A609" s="5"/>
      <c r="B609" s="3"/>
      <c r="C609" s="3"/>
      <c r="D609" s="3"/>
      <c r="E609" s="3"/>
      <c r="F609" s="3"/>
      <c r="G609" s="3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</row>
    <row r="610" spans="1:31" ht="14" x14ac:dyDescent="0.15">
      <c r="A610" s="5"/>
      <c r="B610" s="3"/>
      <c r="C610" s="3"/>
      <c r="D610" s="3"/>
      <c r="E610" s="3"/>
      <c r="F610" s="3"/>
      <c r="G610" s="3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</row>
    <row r="611" spans="1:31" ht="14" x14ac:dyDescent="0.15">
      <c r="A611" s="5"/>
      <c r="B611" s="3"/>
      <c r="C611" s="3"/>
      <c r="D611" s="3"/>
      <c r="E611" s="3"/>
      <c r="F611" s="3"/>
      <c r="G611" s="3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</row>
    <row r="612" spans="1:31" ht="14" x14ac:dyDescent="0.15">
      <c r="A612" s="5"/>
      <c r="B612" s="3"/>
      <c r="C612" s="3"/>
      <c r="D612" s="3"/>
      <c r="E612" s="3"/>
      <c r="F612" s="3"/>
      <c r="G612" s="3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</row>
    <row r="613" spans="1:31" ht="14" x14ac:dyDescent="0.15">
      <c r="A613" s="5"/>
      <c r="B613" s="3"/>
      <c r="C613" s="3"/>
      <c r="D613" s="3"/>
      <c r="E613" s="3"/>
      <c r="F613" s="3"/>
      <c r="G613" s="3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</row>
    <row r="614" spans="1:31" ht="14" x14ac:dyDescent="0.15">
      <c r="A614" s="5"/>
      <c r="B614" s="3"/>
      <c r="C614" s="3"/>
      <c r="D614" s="3"/>
      <c r="E614" s="3"/>
      <c r="F614" s="3"/>
      <c r="G614" s="3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</row>
    <row r="615" spans="1:31" ht="14" x14ac:dyDescent="0.15">
      <c r="A615" s="5"/>
      <c r="B615" s="3"/>
      <c r="C615" s="3"/>
      <c r="D615" s="3"/>
      <c r="E615" s="3"/>
      <c r="F615" s="3"/>
      <c r="G615" s="3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</row>
    <row r="616" spans="1:31" ht="14" x14ac:dyDescent="0.15">
      <c r="A616" s="5"/>
      <c r="B616" s="3"/>
      <c r="C616" s="3"/>
      <c r="D616" s="3"/>
      <c r="E616" s="3"/>
      <c r="F616" s="3"/>
      <c r="G616" s="3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</row>
    <row r="617" spans="1:31" ht="14" x14ac:dyDescent="0.15">
      <c r="A617" s="5"/>
      <c r="B617" s="3"/>
      <c r="C617" s="3"/>
      <c r="D617" s="3"/>
      <c r="E617" s="3"/>
      <c r="F617" s="3"/>
      <c r="G617" s="3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</row>
    <row r="618" spans="1:31" ht="14" x14ac:dyDescent="0.15">
      <c r="A618" s="5"/>
      <c r="B618" s="3"/>
      <c r="C618" s="3"/>
      <c r="D618" s="3"/>
      <c r="E618" s="3"/>
      <c r="F618" s="3"/>
      <c r="G618" s="3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</row>
    <row r="619" spans="1:31" ht="14" x14ac:dyDescent="0.15">
      <c r="A619" s="5"/>
      <c r="B619" s="3"/>
      <c r="C619" s="3"/>
      <c r="D619" s="3"/>
      <c r="E619" s="3"/>
      <c r="F619" s="3"/>
      <c r="G619" s="3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</row>
    <row r="620" spans="1:31" ht="14" x14ac:dyDescent="0.15">
      <c r="A620" s="5"/>
      <c r="B620" s="3"/>
      <c r="C620" s="3"/>
      <c r="D620" s="3"/>
      <c r="E620" s="3"/>
      <c r="F620" s="3"/>
      <c r="G620" s="3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</row>
    <row r="621" spans="1:31" ht="14" x14ac:dyDescent="0.15">
      <c r="A621" s="5"/>
      <c r="B621" s="3"/>
      <c r="C621" s="3"/>
      <c r="D621" s="3"/>
      <c r="E621" s="3"/>
      <c r="F621" s="3"/>
      <c r="G621" s="3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</row>
    <row r="622" spans="1:31" ht="14" x14ac:dyDescent="0.15">
      <c r="A622" s="5"/>
      <c r="B622" s="3"/>
      <c r="C622" s="3"/>
      <c r="D622" s="3"/>
      <c r="E622" s="3"/>
      <c r="F622" s="3"/>
      <c r="G622" s="3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</row>
    <row r="623" spans="1:31" ht="14" x14ac:dyDescent="0.15">
      <c r="A623" s="5"/>
      <c r="B623" s="3"/>
      <c r="C623" s="3"/>
      <c r="D623" s="3"/>
      <c r="E623" s="3"/>
      <c r="F623" s="3"/>
      <c r="G623" s="3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</row>
    <row r="624" spans="1:31" ht="14" x14ac:dyDescent="0.15">
      <c r="A624" s="5"/>
      <c r="B624" s="3"/>
      <c r="C624" s="3"/>
      <c r="D624" s="3"/>
      <c r="E624" s="3"/>
      <c r="F624" s="3"/>
      <c r="G624" s="3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</row>
    <row r="625" spans="1:31" ht="14" x14ac:dyDescent="0.15">
      <c r="A625" s="5"/>
      <c r="B625" s="3"/>
      <c r="C625" s="3"/>
      <c r="D625" s="3"/>
      <c r="E625" s="3"/>
      <c r="F625" s="3"/>
      <c r="G625" s="3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</row>
    <row r="626" spans="1:31" ht="14" x14ac:dyDescent="0.15">
      <c r="A626" s="5"/>
      <c r="B626" s="3"/>
      <c r="C626" s="3"/>
      <c r="D626" s="3"/>
      <c r="E626" s="3"/>
      <c r="F626" s="3"/>
      <c r="G626" s="3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</row>
    <row r="627" spans="1:31" ht="14" x14ac:dyDescent="0.15">
      <c r="A627" s="5"/>
      <c r="B627" s="3"/>
      <c r="C627" s="3"/>
      <c r="D627" s="3"/>
      <c r="E627" s="3"/>
      <c r="F627" s="3"/>
      <c r="G627" s="3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</row>
    <row r="628" spans="1:31" ht="14" x14ac:dyDescent="0.15">
      <c r="A628" s="5"/>
      <c r="B628" s="3"/>
      <c r="C628" s="3"/>
      <c r="D628" s="3"/>
      <c r="E628" s="3"/>
      <c r="F628" s="3"/>
      <c r="G628" s="3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</row>
    <row r="629" spans="1:31" ht="14" x14ac:dyDescent="0.15">
      <c r="A629" s="5"/>
      <c r="B629" s="3"/>
      <c r="C629" s="3"/>
      <c r="D629" s="3"/>
      <c r="E629" s="3"/>
      <c r="F629" s="3"/>
      <c r="G629" s="3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</row>
    <row r="630" spans="1:31" ht="14" x14ac:dyDescent="0.15">
      <c r="A630" s="5"/>
      <c r="B630" s="3"/>
      <c r="C630" s="3"/>
      <c r="D630" s="3"/>
      <c r="E630" s="3"/>
      <c r="F630" s="3"/>
      <c r="G630" s="3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</row>
    <row r="631" spans="1:31" ht="14" x14ac:dyDescent="0.15">
      <c r="A631" s="5"/>
      <c r="B631" s="3"/>
      <c r="C631" s="3"/>
      <c r="D631" s="3"/>
      <c r="E631" s="3"/>
      <c r="F631" s="3"/>
      <c r="G631" s="3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</row>
    <row r="632" spans="1:31" ht="14" x14ac:dyDescent="0.15">
      <c r="A632" s="5"/>
      <c r="B632" s="3"/>
      <c r="C632" s="3"/>
      <c r="D632" s="3"/>
      <c r="E632" s="3"/>
      <c r="F632" s="3"/>
      <c r="G632" s="3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</row>
    <row r="633" spans="1:31" ht="14" x14ac:dyDescent="0.15">
      <c r="A633" s="5"/>
      <c r="B633" s="3"/>
      <c r="C633" s="3"/>
      <c r="D633" s="3"/>
      <c r="E633" s="3"/>
      <c r="F633" s="3"/>
      <c r="G633" s="3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</row>
    <row r="634" spans="1:31" ht="14" x14ac:dyDescent="0.15">
      <c r="A634" s="5"/>
      <c r="B634" s="3"/>
      <c r="C634" s="3"/>
      <c r="D634" s="3"/>
      <c r="E634" s="3"/>
      <c r="F634" s="3"/>
      <c r="G634" s="3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</row>
    <row r="635" spans="1:31" ht="14" x14ac:dyDescent="0.15">
      <c r="A635" s="5"/>
      <c r="B635" s="3"/>
      <c r="C635" s="3"/>
      <c r="D635" s="3"/>
      <c r="E635" s="3"/>
      <c r="F635" s="3"/>
      <c r="G635" s="3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</row>
    <row r="636" spans="1:31" ht="14" x14ac:dyDescent="0.15">
      <c r="A636" s="5"/>
      <c r="B636" s="3"/>
      <c r="C636" s="3"/>
      <c r="D636" s="3"/>
      <c r="E636" s="3"/>
      <c r="F636" s="3"/>
      <c r="G636" s="3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</row>
    <row r="637" spans="1:31" ht="14" x14ac:dyDescent="0.15">
      <c r="A637" s="5"/>
      <c r="B637" s="3"/>
      <c r="C637" s="3"/>
      <c r="D637" s="3"/>
      <c r="E637" s="3"/>
      <c r="F637" s="3"/>
      <c r="G637" s="3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</row>
    <row r="638" spans="1:31" ht="14" x14ac:dyDescent="0.15">
      <c r="A638" s="5"/>
      <c r="B638" s="3"/>
      <c r="C638" s="3"/>
      <c r="D638" s="3"/>
      <c r="E638" s="3"/>
      <c r="F638" s="3"/>
      <c r="G638" s="3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</row>
    <row r="639" spans="1:31" ht="14" x14ac:dyDescent="0.15">
      <c r="A639" s="5"/>
      <c r="B639" s="3"/>
      <c r="C639" s="3"/>
      <c r="D639" s="3"/>
      <c r="E639" s="3"/>
      <c r="F639" s="3"/>
      <c r="G639" s="3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</row>
    <row r="640" spans="1:31" ht="14" x14ac:dyDescent="0.15">
      <c r="A640" s="5"/>
      <c r="B640" s="3"/>
      <c r="C640" s="3"/>
      <c r="D640" s="3"/>
      <c r="E640" s="3"/>
      <c r="F640" s="3"/>
      <c r="G640" s="3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</row>
    <row r="641" spans="1:31" ht="14" x14ac:dyDescent="0.15">
      <c r="A641" s="5"/>
      <c r="B641" s="3"/>
      <c r="C641" s="3"/>
      <c r="D641" s="3"/>
      <c r="E641" s="3"/>
      <c r="F641" s="3"/>
      <c r="G641" s="3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</row>
    <row r="642" spans="1:31" ht="14" x14ac:dyDescent="0.15">
      <c r="A642" s="5"/>
      <c r="B642" s="3"/>
      <c r="C642" s="3"/>
      <c r="D642" s="3"/>
      <c r="E642" s="3"/>
      <c r="F642" s="3"/>
      <c r="G642" s="3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</row>
    <row r="643" spans="1:31" ht="14" x14ac:dyDescent="0.15">
      <c r="A643" s="5"/>
      <c r="B643" s="3"/>
      <c r="C643" s="3"/>
      <c r="D643" s="3"/>
      <c r="E643" s="3"/>
      <c r="F643" s="3"/>
      <c r="G643" s="3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</row>
    <row r="644" spans="1:31" ht="14" x14ac:dyDescent="0.15">
      <c r="A644" s="5"/>
      <c r="B644" s="3"/>
      <c r="C644" s="3"/>
      <c r="D644" s="3"/>
      <c r="E644" s="3"/>
      <c r="F644" s="3"/>
      <c r="G644" s="3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</row>
    <row r="645" spans="1:31" ht="14" x14ac:dyDescent="0.15">
      <c r="A645" s="5"/>
      <c r="B645" s="3"/>
      <c r="C645" s="3"/>
      <c r="D645" s="3"/>
      <c r="E645" s="3"/>
      <c r="F645" s="3"/>
      <c r="G645" s="3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</row>
    <row r="646" spans="1:31" ht="14" x14ac:dyDescent="0.15">
      <c r="A646" s="5"/>
      <c r="B646" s="3"/>
      <c r="C646" s="3"/>
      <c r="D646" s="3"/>
      <c r="E646" s="3"/>
      <c r="F646" s="3"/>
      <c r="G646" s="3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</row>
    <row r="647" spans="1:31" ht="14" x14ac:dyDescent="0.15">
      <c r="A647" s="5"/>
      <c r="B647" s="3"/>
      <c r="C647" s="3"/>
      <c r="D647" s="3"/>
      <c r="E647" s="3"/>
      <c r="F647" s="3"/>
      <c r="G647" s="3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</row>
    <row r="648" spans="1:31" ht="14" x14ac:dyDescent="0.15">
      <c r="A648" s="5"/>
      <c r="B648" s="3"/>
      <c r="C648" s="3"/>
      <c r="D648" s="3"/>
      <c r="E648" s="3"/>
      <c r="F648" s="3"/>
      <c r="G648" s="3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</row>
    <row r="649" spans="1:31" ht="14" x14ac:dyDescent="0.15">
      <c r="A649" s="5"/>
      <c r="B649" s="3"/>
      <c r="C649" s="3"/>
      <c r="D649" s="3"/>
      <c r="E649" s="3"/>
      <c r="F649" s="3"/>
      <c r="G649" s="3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</row>
    <row r="650" spans="1:31" ht="14" x14ac:dyDescent="0.15">
      <c r="A650" s="5"/>
      <c r="B650" s="3"/>
      <c r="C650" s="3"/>
      <c r="D650" s="3"/>
      <c r="E650" s="3"/>
      <c r="F650" s="3"/>
      <c r="G650" s="3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</row>
    <row r="651" spans="1:31" ht="14" x14ac:dyDescent="0.15">
      <c r="A651" s="5"/>
      <c r="B651" s="3"/>
      <c r="C651" s="3"/>
      <c r="D651" s="3"/>
      <c r="E651" s="3"/>
      <c r="F651" s="3"/>
      <c r="G651" s="3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</row>
    <row r="652" spans="1:31" ht="14" x14ac:dyDescent="0.15">
      <c r="A652" s="5"/>
      <c r="B652" s="3"/>
      <c r="C652" s="3"/>
      <c r="D652" s="3"/>
      <c r="E652" s="3"/>
      <c r="F652" s="3"/>
      <c r="G652" s="3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</row>
    <row r="653" spans="1:31" ht="14" x14ac:dyDescent="0.15">
      <c r="A653" s="5"/>
      <c r="B653" s="3"/>
      <c r="C653" s="3"/>
      <c r="D653" s="3"/>
      <c r="E653" s="3"/>
      <c r="F653" s="3"/>
      <c r="G653" s="3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</row>
    <row r="654" spans="1:31" ht="14" x14ac:dyDescent="0.15">
      <c r="A654" s="5"/>
      <c r="B654" s="3"/>
      <c r="C654" s="3"/>
      <c r="D654" s="3"/>
      <c r="E654" s="3"/>
      <c r="F654" s="3"/>
      <c r="G654" s="3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</row>
    <row r="655" spans="1:31" ht="14" x14ac:dyDescent="0.15">
      <c r="A655" s="5"/>
      <c r="B655" s="3"/>
      <c r="C655" s="3"/>
      <c r="D655" s="3"/>
      <c r="E655" s="3"/>
      <c r="F655" s="3"/>
      <c r="G655" s="3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</row>
    <row r="656" spans="1:31" ht="14" x14ac:dyDescent="0.15">
      <c r="A656" s="5"/>
      <c r="B656" s="3"/>
      <c r="C656" s="3"/>
      <c r="D656" s="3"/>
      <c r="E656" s="3"/>
      <c r="F656" s="3"/>
      <c r="G656" s="3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</row>
    <row r="657" spans="1:31" ht="14" x14ac:dyDescent="0.15">
      <c r="A657" s="5"/>
      <c r="B657" s="3"/>
      <c r="C657" s="3"/>
      <c r="D657" s="3"/>
      <c r="E657" s="3"/>
      <c r="F657" s="3"/>
      <c r="G657" s="3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</row>
    <row r="658" spans="1:31" ht="14" x14ac:dyDescent="0.15">
      <c r="A658" s="5"/>
      <c r="B658" s="3"/>
      <c r="C658" s="3"/>
      <c r="D658" s="3"/>
      <c r="E658" s="3"/>
      <c r="F658" s="3"/>
      <c r="G658" s="3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</row>
    <row r="659" spans="1:31" ht="14" x14ac:dyDescent="0.15">
      <c r="A659" s="5"/>
      <c r="B659" s="3"/>
      <c r="C659" s="3"/>
      <c r="D659" s="3"/>
      <c r="E659" s="3"/>
      <c r="F659" s="3"/>
      <c r="G659" s="3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</row>
    <row r="660" spans="1:31" ht="14" x14ac:dyDescent="0.15">
      <c r="A660" s="5"/>
      <c r="B660" s="3"/>
      <c r="C660" s="3"/>
      <c r="D660" s="3"/>
      <c r="E660" s="3"/>
      <c r="F660" s="3"/>
      <c r="G660" s="3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</row>
    <row r="661" spans="1:31" ht="14" x14ac:dyDescent="0.15">
      <c r="A661" s="5"/>
      <c r="B661" s="3"/>
      <c r="C661" s="3"/>
      <c r="D661" s="3"/>
      <c r="E661" s="3"/>
      <c r="F661" s="3"/>
      <c r="G661" s="3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</row>
    <row r="662" spans="1:31" ht="14" x14ac:dyDescent="0.15">
      <c r="A662" s="5"/>
      <c r="B662" s="3"/>
      <c r="C662" s="3"/>
      <c r="D662" s="3"/>
      <c r="E662" s="3"/>
      <c r="F662" s="3"/>
      <c r="G662" s="3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</row>
    <row r="663" spans="1:31" ht="14" x14ac:dyDescent="0.15">
      <c r="A663" s="5"/>
      <c r="B663" s="3"/>
      <c r="C663" s="3"/>
      <c r="D663" s="3"/>
      <c r="E663" s="3"/>
      <c r="F663" s="3"/>
      <c r="G663" s="3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</row>
    <row r="664" spans="1:31" ht="14" x14ac:dyDescent="0.15">
      <c r="A664" s="5"/>
      <c r="B664" s="3"/>
      <c r="C664" s="3"/>
      <c r="D664" s="3"/>
      <c r="E664" s="3"/>
      <c r="F664" s="3"/>
      <c r="G664" s="3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</row>
    <row r="665" spans="1:31" ht="14" x14ac:dyDescent="0.15">
      <c r="A665" s="5"/>
      <c r="B665" s="3"/>
      <c r="C665" s="3"/>
      <c r="D665" s="3"/>
      <c r="E665" s="3"/>
      <c r="F665" s="3"/>
      <c r="G665" s="3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</row>
    <row r="666" spans="1:31" ht="14" x14ac:dyDescent="0.15">
      <c r="A666" s="5"/>
      <c r="B666" s="3"/>
      <c r="C666" s="3"/>
      <c r="D666" s="3"/>
      <c r="E666" s="3"/>
      <c r="F666" s="3"/>
      <c r="G666" s="3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</row>
    <row r="667" spans="1:31" ht="14" x14ac:dyDescent="0.15">
      <c r="A667" s="5"/>
      <c r="B667" s="3"/>
      <c r="C667" s="3"/>
      <c r="D667" s="3"/>
      <c r="E667" s="3"/>
      <c r="F667" s="3"/>
      <c r="G667" s="3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</row>
    <row r="668" spans="1:31" ht="14" x14ac:dyDescent="0.15">
      <c r="A668" s="5"/>
      <c r="B668" s="3"/>
      <c r="C668" s="3"/>
      <c r="D668" s="3"/>
      <c r="E668" s="3"/>
      <c r="F668" s="3"/>
      <c r="G668" s="3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</row>
    <row r="669" spans="1:31" ht="14" x14ac:dyDescent="0.15">
      <c r="A669" s="5"/>
      <c r="B669" s="3"/>
      <c r="C669" s="3"/>
      <c r="D669" s="3"/>
      <c r="E669" s="3"/>
      <c r="F669" s="3"/>
      <c r="G669" s="3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</row>
    <row r="670" spans="1:31" ht="14" x14ac:dyDescent="0.15">
      <c r="A670" s="5"/>
      <c r="B670" s="3"/>
      <c r="C670" s="3"/>
      <c r="D670" s="3"/>
      <c r="E670" s="3"/>
      <c r="F670" s="3"/>
      <c r="G670" s="3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</row>
    <row r="671" spans="1:31" ht="14" x14ac:dyDescent="0.15">
      <c r="A671" s="5"/>
      <c r="B671" s="3"/>
      <c r="C671" s="3"/>
      <c r="D671" s="3"/>
      <c r="E671" s="3"/>
      <c r="F671" s="3"/>
      <c r="G671" s="3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</row>
    <row r="672" spans="1:31" ht="14" x14ac:dyDescent="0.15">
      <c r="A672" s="5"/>
      <c r="B672" s="3"/>
      <c r="C672" s="3"/>
      <c r="D672" s="3"/>
      <c r="E672" s="3"/>
      <c r="F672" s="3"/>
      <c r="G672" s="3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</row>
    <row r="673" spans="1:31" ht="14" x14ac:dyDescent="0.15">
      <c r="A673" s="5"/>
      <c r="B673" s="3"/>
      <c r="C673" s="3"/>
      <c r="D673" s="3"/>
      <c r="E673" s="3"/>
      <c r="F673" s="3"/>
      <c r="G673" s="3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</row>
    <row r="674" spans="1:31" ht="14" x14ac:dyDescent="0.15">
      <c r="A674" s="5"/>
      <c r="B674" s="3"/>
      <c r="C674" s="3"/>
      <c r="D674" s="3"/>
      <c r="E674" s="3"/>
      <c r="F674" s="3"/>
      <c r="G674" s="3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</row>
    <row r="675" spans="1:31" ht="14" x14ac:dyDescent="0.15">
      <c r="A675" s="5"/>
      <c r="B675" s="3"/>
      <c r="C675" s="3"/>
      <c r="D675" s="3"/>
      <c r="E675" s="3"/>
      <c r="F675" s="3"/>
      <c r="G675" s="3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</row>
    <row r="676" spans="1:31" ht="14" x14ac:dyDescent="0.15">
      <c r="A676" s="5"/>
      <c r="B676" s="3"/>
      <c r="C676" s="3"/>
      <c r="D676" s="3"/>
      <c r="E676" s="3"/>
      <c r="F676" s="3"/>
      <c r="G676" s="3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</row>
    <row r="677" spans="1:31" ht="14" x14ac:dyDescent="0.15">
      <c r="A677" s="5"/>
      <c r="B677" s="3"/>
      <c r="C677" s="3"/>
      <c r="D677" s="3"/>
      <c r="E677" s="3"/>
      <c r="F677" s="3"/>
      <c r="G677" s="3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</row>
    <row r="678" spans="1:31" ht="14" x14ac:dyDescent="0.15">
      <c r="A678" s="5"/>
      <c r="B678" s="3"/>
      <c r="C678" s="3"/>
      <c r="D678" s="3"/>
      <c r="E678" s="3"/>
      <c r="F678" s="3"/>
      <c r="G678" s="3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</row>
    <row r="679" spans="1:31" ht="14" x14ac:dyDescent="0.15">
      <c r="A679" s="5"/>
      <c r="B679" s="3"/>
      <c r="C679" s="3"/>
      <c r="D679" s="3"/>
      <c r="E679" s="3"/>
      <c r="F679" s="3"/>
      <c r="G679" s="3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</row>
    <row r="680" spans="1:31" ht="14" x14ac:dyDescent="0.15">
      <c r="A680" s="5"/>
      <c r="B680" s="3"/>
      <c r="C680" s="3"/>
      <c r="D680" s="3"/>
      <c r="E680" s="3"/>
      <c r="F680" s="3"/>
      <c r="G680" s="3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</row>
    <row r="681" spans="1:31" ht="14" x14ac:dyDescent="0.15">
      <c r="A681" s="5"/>
      <c r="B681" s="3"/>
      <c r="C681" s="3"/>
      <c r="D681" s="3"/>
      <c r="E681" s="3"/>
      <c r="F681" s="3"/>
      <c r="G681" s="3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</row>
    <row r="682" spans="1:31" ht="14" x14ac:dyDescent="0.15">
      <c r="A682" s="5"/>
      <c r="B682" s="3"/>
      <c r="C682" s="3"/>
      <c r="D682" s="3"/>
      <c r="E682" s="3"/>
      <c r="F682" s="3"/>
      <c r="G682" s="3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</row>
    <row r="683" spans="1:31" ht="14" x14ac:dyDescent="0.15">
      <c r="A683" s="5"/>
      <c r="B683" s="3"/>
      <c r="C683" s="3"/>
      <c r="D683" s="3"/>
      <c r="E683" s="3"/>
      <c r="F683" s="3"/>
      <c r="G683" s="3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</row>
    <row r="684" spans="1:31" ht="14" x14ac:dyDescent="0.15">
      <c r="A684" s="5"/>
      <c r="B684" s="3"/>
      <c r="C684" s="3"/>
      <c r="D684" s="3"/>
      <c r="E684" s="3"/>
      <c r="F684" s="3"/>
      <c r="G684" s="3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</row>
    <row r="685" spans="1:31" ht="14" x14ac:dyDescent="0.15">
      <c r="A685" s="5"/>
      <c r="B685" s="3"/>
      <c r="C685" s="3"/>
      <c r="D685" s="3"/>
      <c r="E685" s="3"/>
      <c r="F685" s="3"/>
      <c r="G685" s="3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</row>
    <row r="686" spans="1:31" ht="14" x14ac:dyDescent="0.15">
      <c r="A686" s="5"/>
      <c r="B686" s="3"/>
      <c r="C686" s="3"/>
      <c r="D686" s="3"/>
      <c r="E686" s="3"/>
      <c r="F686" s="3"/>
      <c r="G686" s="3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</row>
    <row r="687" spans="1:31" ht="14" x14ac:dyDescent="0.15">
      <c r="A687" s="5"/>
      <c r="B687" s="3"/>
      <c r="C687" s="3"/>
      <c r="D687" s="3"/>
      <c r="E687" s="3"/>
      <c r="F687" s="3"/>
      <c r="G687" s="3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</row>
    <row r="688" spans="1:31" ht="14" x14ac:dyDescent="0.15">
      <c r="A688" s="5"/>
      <c r="B688" s="3"/>
      <c r="C688" s="3"/>
      <c r="D688" s="3"/>
      <c r="E688" s="3"/>
      <c r="F688" s="3"/>
      <c r="G688" s="3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</row>
    <row r="689" spans="1:31" ht="14" x14ac:dyDescent="0.15">
      <c r="A689" s="5"/>
      <c r="B689" s="3"/>
      <c r="C689" s="3"/>
      <c r="D689" s="3"/>
      <c r="E689" s="3"/>
      <c r="F689" s="3"/>
      <c r="G689" s="3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</row>
    <row r="690" spans="1:31" ht="14" x14ac:dyDescent="0.15">
      <c r="A690" s="5"/>
      <c r="B690" s="3"/>
      <c r="C690" s="3"/>
      <c r="D690" s="3"/>
      <c r="E690" s="3"/>
      <c r="F690" s="3"/>
      <c r="G690" s="3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</row>
    <row r="691" spans="1:31" ht="14" x14ac:dyDescent="0.15">
      <c r="A691" s="5"/>
      <c r="B691" s="3"/>
      <c r="C691" s="3"/>
      <c r="D691" s="3"/>
      <c r="E691" s="3"/>
      <c r="F691" s="3"/>
      <c r="G691" s="3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</row>
    <row r="692" spans="1:31" ht="14" x14ac:dyDescent="0.15">
      <c r="A692" s="5"/>
      <c r="B692" s="3"/>
      <c r="C692" s="3"/>
      <c r="D692" s="3"/>
      <c r="E692" s="3"/>
      <c r="F692" s="3"/>
      <c r="G692" s="3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</row>
    <row r="693" spans="1:31" ht="14" x14ac:dyDescent="0.15">
      <c r="A693" s="5"/>
      <c r="B693" s="3"/>
      <c r="C693" s="3"/>
      <c r="D693" s="3"/>
      <c r="E693" s="3"/>
      <c r="F693" s="3"/>
      <c r="G693" s="3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</row>
    <row r="694" spans="1:31" ht="14" x14ac:dyDescent="0.15">
      <c r="A694" s="5"/>
      <c r="B694" s="3"/>
      <c r="C694" s="3"/>
      <c r="D694" s="3"/>
      <c r="E694" s="3"/>
      <c r="F694" s="3"/>
      <c r="G694" s="3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</row>
    <row r="695" spans="1:31" ht="14" x14ac:dyDescent="0.15">
      <c r="A695" s="5"/>
      <c r="B695" s="3"/>
      <c r="C695" s="3"/>
      <c r="D695" s="3"/>
      <c r="E695" s="3"/>
      <c r="F695" s="3"/>
      <c r="G695" s="3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</row>
    <row r="696" spans="1:31" ht="14" x14ac:dyDescent="0.15">
      <c r="A696" s="5"/>
      <c r="B696" s="3"/>
      <c r="C696" s="3"/>
      <c r="D696" s="3"/>
      <c r="E696" s="3"/>
      <c r="F696" s="3"/>
      <c r="G696" s="3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</row>
    <row r="697" spans="1:31" ht="14" x14ac:dyDescent="0.15">
      <c r="A697" s="5"/>
      <c r="B697" s="3"/>
      <c r="C697" s="3"/>
      <c r="D697" s="3"/>
      <c r="E697" s="3"/>
      <c r="F697" s="3"/>
      <c r="G697" s="3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</row>
    <row r="698" spans="1:31" ht="14" x14ac:dyDescent="0.15">
      <c r="A698" s="5"/>
      <c r="B698" s="3"/>
      <c r="C698" s="3"/>
      <c r="D698" s="3"/>
      <c r="E698" s="3"/>
      <c r="F698" s="3"/>
      <c r="G698" s="3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</row>
    <row r="699" spans="1:31" ht="14" x14ac:dyDescent="0.15">
      <c r="A699" s="5"/>
      <c r="B699" s="3"/>
      <c r="C699" s="3"/>
      <c r="D699" s="3"/>
      <c r="E699" s="3"/>
      <c r="F699" s="3"/>
      <c r="G699" s="3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</row>
    <row r="700" spans="1:31" ht="14" x14ac:dyDescent="0.15">
      <c r="A700" s="5"/>
      <c r="B700" s="3"/>
      <c r="C700" s="3"/>
      <c r="D700" s="3"/>
      <c r="E700" s="3"/>
      <c r="F700" s="3"/>
      <c r="G700" s="3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</row>
    <row r="701" spans="1:31" ht="14" x14ac:dyDescent="0.15">
      <c r="A701" s="5"/>
      <c r="B701" s="3"/>
      <c r="C701" s="3"/>
      <c r="D701" s="3"/>
      <c r="E701" s="3"/>
      <c r="F701" s="3"/>
      <c r="G701" s="3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</row>
    <row r="702" spans="1:31" ht="14" x14ac:dyDescent="0.15">
      <c r="A702" s="5"/>
      <c r="B702" s="3"/>
      <c r="C702" s="3"/>
      <c r="D702" s="3"/>
      <c r="E702" s="3"/>
      <c r="F702" s="3"/>
      <c r="G702" s="3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</row>
    <row r="703" spans="1:31" ht="14" x14ac:dyDescent="0.15">
      <c r="A703" s="5"/>
      <c r="B703" s="3"/>
      <c r="C703" s="3"/>
      <c r="D703" s="3"/>
      <c r="E703" s="3"/>
      <c r="F703" s="3"/>
      <c r="G703" s="3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</row>
    <row r="704" spans="1:31" ht="14" x14ac:dyDescent="0.15">
      <c r="A704" s="5"/>
      <c r="B704" s="3"/>
      <c r="C704" s="3"/>
      <c r="D704" s="3"/>
      <c r="E704" s="3"/>
      <c r="F704" s="3"/>
      <c r="G704" s="3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</row>
    <row r="705" spans="1:31" ht="14" x14ac:dyDescent="0.15">
      <c r="A705" s="5"/>
      <c r="B705" s="3"/>
      <c r="C705" s="3"/>
      <c r="D705" s="3"/>
      <c r="E705" s="3"/>
      <c r="F705" s="3"/>
      <c r="G705" s="3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</row>
    <row r="706" spans="1:31" ht="14" x14ac:dyDescent="0.15">
      <c r="A706" s="5"/>
      <c r="B706" s="3"/>
      <c r="C706" s="3"/>
      <c r="D706" s="3"/>
      <c r="E706" s="3"/>
      <c r="F706" s="3"/>
      <c r="G706" s="3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</row>
    <row r="707" spans="1:31" ht="14" x14ac:dyDescent="0.15">
      <c r="A707" s="5"/>
      <c r="B707" s="3"/>
      <c r="C707" s="3"/>
      <c r="D707" s="3"/>
      <c r="E707" s="3"/>
      <c r="F707" s="3"/>
      <c r="G707" s="3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</row>
    <row r="708" spans="1:31" ht="14" x14ac:dyDescent="0.15">
      <c r="A708" s="5"/>
      <c r="B708" s="3"/>
      <c r="C708" s="3"/>
      <c r="D708" s="3"/>
      <c r="E708" s="3"/>
      <c r="F708" s="3"/>
      <c r="G708" s="3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</row>
    <row r="709" spans="1:31" ht="14" x14ac:dyDescent="0.15">
      <c r="A709" s="5"/>
      <c r="B709" s="3"/>
      <c r="C709" s="3"/>
      <c r="D709" s="3"/>
      <c r="E709" s="3"/>
      <c r="F709" s="3"/>
      <c r="G709" s="3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</row>
    <row r="710" spans="1:31" ht="14" x14ac:dyDescent="0.15">
      <c r="A710" s="5"/>
      <c r="B710" s="3"/>
      <c r="C710" s="3"/>
      <c r="D710" s="3"/>
      <c r="E710" s="3"/>
      <c r="F710" s="3"/>
      <c r="G710" s="3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</row>
    <row r="711" spans="1:31" ht="14" x14ac:dyDescent="0.15">
      <c r="A711" s="5"/>
      <c r="B711" s="3"/>
      <c r="C711" s="3"/>
      <c r="D711" s="3"/>
      <c r="E711" s="3"/>
      <c r="F711" s="3"/>
      <c r="G711" s="3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</row>
    <row r="712" spans="1:31" ht="14" x14ac:dyDescent="0.15">
      <c r="A712" s="5"/>
      <c r="B712" s="3"/>
      <c r="C712" s="3"/>
      <c r="D712" s="3"/>
      <c r="E712" s="3"/>
      <c r="F712" s="3"/>
      <c r="G712" s="3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</row>
    <row r="713" spans="1:31" ht="14" x14ac:dyDescent="0.15">
      <c r="A713" s="5"/>
      <c r="B713" s="3"/>
      <c r="C713" s="3"/>
      <c r="D713" s="3"/>
      <c r="E713" s="3"/>
      <c r="F713" s="3"/>
      <c r="G713" s="3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</row>
    <row r="714" spans="1:31" ht="14" x14ac:dyDescent="0.15">
      <c r="A714" s="5"/>
      <c r="B714" s="3"/>
      <c r="C714" s="3"/>
      <c r="D714" s="3"/>
      <c r="E714" s="3"/>
      <c r="F714" s="3"/>
      <c r="G714" s="3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</row>
    <row r="715" spans="1:31" ht="14" x14ac:dyDescent="0.15">
      <c r="A715" s="5"/>
      <c r="B715" s="3"/>
      <c r="C715" s="3"/>
      <c r="D715" s="3"/>
      <c r="E715" s="3"/>
      <c r="F715" s="3"/>
      <c r="G715" s="3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</row>
    <row r="716" spans="1:31" ht="14" x14ac:dyDescent="0.15">
      <c r="A716" s="5"/>
      <c r="B716" s="3"/>
      <c r="C716" s="3"/>
      <c r="D716" s="3"/>
      <c r="E716" s="3"/>
      <c r="F716" s="3"/>
      <c r="G716" s="3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</row>
    <row r="717" spans="1:31" ht="14" x14ac:dyDescent="0.15">
      <c r="A717" s="5"/>
      <c r="B717" s="3"/>
      <c r="C717" s="3"/>
      <c r="D717" s="3"/>
      <c r="E717" s="3"/>
      <c r="F717" s="3"/>
      <c r="G717" s="3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</row>
    <row r="718" spans="1:31" ht="14" x14ac:dyDescent="0.15">
      <c r="A718" s="5"/>
      <c r="B718" s="3"/>
      <c r="C718" s="3"/>
      <c r="D718" s="3"/>
      <c r="E718" s="3"/>
      <c r="F718" s="3"/>
      <c r="G718" s="3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</row>
    <row r="719" spans="1:31" ht="14" x14ac:dyDescent="0.15">
      <c r="A719" s="5"/>
      <c r="B719" s="3"/>
      <c r="C719" s="3"/>
      <c r="D719" s="3"/>
      <c r="E719" s="3"/>
      <c r="F719" s="3"/>
      <c r="G719" s="3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</row>
    <row r="720" spans="1:31" ht="14" x14ac:dyDescent="0.15">
      <c r="A720" s="5"/>
      <c r="B720" s="3"/>
      <c r="C720" s="3"/>
      <c r="D720" s="3"/>
      <c r="E720" s="3"/>
      <c r="F720" s="3"/>
      <c r="G720" s="3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</row>
    <row r="721" spans="1:31" ht="14" x14ac:dyDescent="0.15">
      <c r="A721" s="5"/>
      <c r="B721" s="3"/>
      <c r="C721" s="3"/>
      <c r="D721" s="3"/>
      <c r="E721" s="3"/>
      <c r="F721" s="3"/>
      <c r="G721" s="3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</row>
    <row r="722" spans="1:31" ht="14" x14ac:dyDescent="0.15">
      <c r="A722" s="5"/>
      <c r="B722" s="3"/>
      <c r="C722" s="3"/>
      <c r="D722" s="3"/>
      <c r="E722" s="3"/>
      <c r="F722" s="3"/>
      <c r="G722" s="3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</row>
    <row r="723" spans="1:31" ht="14" x14ac:dyDescent="0.15">
      <c r="A723" s="5"/>
      <c r="B723" s="3"/>
      <c r="C723" s="3"/>
      <c r="D723" s="3"/>
      <c r="E723" s="3"/>
      <c r="F723" s="3"/>
      <c r="G723" s="3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</row>
    <row r="724" spans="1:31" ht="14" x14ac:dyDescent="0.15">
      <c r="A724" s="5"/>
      <c r="B724" s="3"/>
      <c r="C724" s="3"/>
      <c r="D724" s="3"/>
      <c r="E724" s="3"/>
      <c r="F724" s="3"/>
      <c r="G724" s="3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</row>
    <row r="725" spans="1:31" ht="14" x14ac:dyDescent="0.15">
      <c r="A725" s="5"/>
      <c r="B725" s="3"/>
      <c r="C725" s="3"/>
      <c r="D725" s="3"/>
      <c r="E725" s="3"/>
      <c r="F725" s="3"/>
      <c r="G725" s="3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</row>
    <row r="726" spans="1:31" ht="14" x14ac:dyDescent="0.15">
      <c r="A726" s="5"/>
      <c r="B726" s="3"/>
      <c r="C726" s="3"/>
      <c r="D726" s="3"/>
      <c r="E726" s="3"/>
      <c r="F726" s="3"/>
      <c r="G726" s="3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</row>
    <row r="727" spans="1:31" ht="14" x14ac:dyDescent="0.15">
      <c r="A727" s="5"/>
      <c r="B727" s="3"/>
      <c r="C727" s="3"/>
      <c r="D727" s="3"/>
      <c r="E727" s="3"/>
      <c r="F727" s="3"/>
      <c r="G727" s="3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</row>
    <row r="728" spans="1:31" ht="14" x14ac:dyDescent="0.15">
      <c r="A728" s="5"/>
      <c r="B728" s="3"/>
      <c r="C728" s="3"/>
      <c r="D728" s="3"/>
      <c r="E728" s="3"/>
      <c r="F728" s="3"/>
      <c r="G728" s="3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</row>
    <row r="729" spans="1:31" ht="14" x14ac:dyDescent="0.15">
      <c r="A729" s="5"/>
      <c r="B729" s="3"/>
      <c r="C729" s="3"/>
      <c r="D729" s="3"/>
      <c r="E729" s="3"/>
      <c r="F729" s="3"/>
      <c r="G729" s="3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</row>
    <row r="730" spans="1:31" ht="14" x14ac:dyDescent="0.15">
      <c r="A730" s="5"/>
      <c r="B730" s="3"/>
      <c r="C730" s="3"/>
      <c r="D730" s="3"/>
      <c r="E730" s="3"/>
      <c r="F730" s="3"/>
      <c r="G730" s="3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</row>
    <row r="731" spans="1:31" ht="14" x14ac:dyDescent="0.15">
      <c r="A731" s="5"/>
      <c r="B731" s="3"/>
      <c r="C731" s="3"/>
      <c r="D731" s="3"/>
      <c r="E731" s="3"/>
      <c r="F731" s="3"/>
      <c r="G731" s="3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</row>
    <row r="732" spans="1:31" ht="14" x14ac:dyDescent="0.15">
      <c r="A732" s="5"/>
      <c r="B732" s="3"/>
      <c r="C732" s="3"/>
      <c r="D732" s="3"/>
      <c r="E732" s="3"/>
      <c r="F732" s="3"/>
      <c r="G732" s="3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</row>
    <row r="733" spans="1:31" ht="14" x14ac:dyDescent="0.15">
      <c r="A733" s="5"/>
      <c r="B733" s="3"/>
      <c r="C733" s="3"/>
      <c r="D733" s="3"/>
      <c r="E733" s="3"/>
      <c r="F733" s="3"/>
      <c r="G733" s="3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</row>
    <row r="734" spans="1:31" ht="14" x14ac:dyDescent="0.15">
      <c r="A734" s="5"/>
      <c r="B734" s="3"/>
      <c r="C734" s="3"/>
      <c r="D734" s="3"/>
      <c r="E734" s="3"/>
      <c r="F734" s="3"/>
      <c r="G734" s="3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</row>
    <row r="735" spans="1:31" ht="14" x14ac:dyDescent="0.15">
      <c r="A735" s="5"/>
      <c r="B735" s="3"/>
      <c r="C735" s="3"/>
      <c r="D735" s="3"/>
      <c r="E735" s="3"/>
      <c r="F735" s="3"/>
      <c r="G735" s="3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</row>
    <row r="736" spans="1:31" ht="14" x14ac:dyDescent="0.15">
      <c r="A736" s="5"/>
      <c r="B736" s="3"/>
      <c r="C736" s="3"/>
      <c r="D736" s="3"/>
      <c r="E736" s="3"/>
      <c r="F736" s="3"/>
      <c r="G736" s="3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</row>
    <row r="737" spans="1:31" ht="14" x14ac:dyDescent="0.15">
      <c r="A737" s="5"/>
      <c r="B737" s="3"/>
      <c r="C737" s="3"/>
      <c r="D737" s="3"/>
      <c r="E737" s="3"/>
      <c r="F737" s="3"/>
      <c r="G737" s="3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</row>
    <row r="738" spans="1:31" ht="14" x14ac:dyDescent="0.15">
      <c r="A738" s="5"/>
      <c r="B738" s="3"/>
      <c r="C738" s="3"/>
      <c r="D738" s="3"/>
      <c r="E738" s="3"/>
      <c r="F738" s="3"/>
      <c r="G738" s="3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</row>
    <row r="739" spans="1:31" ht="14" x14ac:dyDescent="0.15">
      <c r="A739" s="5"/>
      <c r="B739" s="3"/>
      <c r="C739" s="3"/>
      <c r="D739" s="3"/>
      <c r="E739" s="3"/>
      <c r="F739" s="3"/>
      <c r="G739" s="3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</row>
    <row r="740" spans="1:31" ht="14" x14ac:dyDescent="0.15">
      <c r="A740" s="5"/>
      <c r="B740" s="3"/>
      <c r="C740" s="3"/>
      <c r="D740" s="3"/>
      <c r="E740" s="3"/>
      <c r="F740" s="3"/>
      <c r="G740" s="3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</row>
    <row r="741" spans="1:31" ht="14" x14ac:dyDescent="0.15">
      <c r="A741" s="5"/>
      <c r="B741" s="3"/>
      <c r="C741" s="3"/>
      <c r="D741" s="3"/>
      <c r="E741" s="3"/>
      <c r="F741" s="3"/>
      <c r="G741" s="3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</row>
    <row r="742" spans="1:31" ht="14" x14ac:dyDescent="0.15">
      <c r="A742" s="5"/>
      <c r="B742" s="3"/>
      <c r="C742" s="3"/>
      <c r="D742" s="3"/>
      <c r="E742" s="3"/>
      <c r="F742" s="3"/>
      <c r="G742" s="3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</row>
    <row r="743" spans="1:31" ht="14" x14ac:dyDescent="0.15">
      <c r="A743" s="5"/>
      <c r="B743" s="3"/>
      <c r="C743" s="3"/>
      <c r="D743" s="3"/>
      <c r="E743" s="3"/>
      <c r="F743" s="3"/>
      <c r="G743" s="3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</row>
    <row r="744" spans="1:31" ht="14" x14ac:dyDescent="0.15">
      <c r="A744" s="5"/>
      <c r="B744" s="3"/>
      <c r="C744" s="3"/>
      <c r="D744" s="3"/>
      <c r="E744" s="3"/>
      <c r="F744" s="3"/>
      <c r="G744" s="3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</row>
    <row r="745" spans="1:31" ht="14" x14ac:dyDescent="0.15">
      <c r="A745" s="5"/>
      <c r="B745" s="3"/>
      <c r="C745" s="3"/>
      <c r="D745" s="3"/>
      <c r="E745" s="3"/>
      <c r="F745" s="3"/>
      <c r="G745" s="3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</row>
    <row r="746" spans="1:31" ht="14" x14ac:dyDescent="0.15">
      <c r="A746" s="5"/>
      <c r="B746" s="3"/>
      <c r="C746" s="3"/>
      <c r="D746" s="3"/>
      <c r="E746" s="3"/>
      <c r="F746" s="3"/>
      <c r="G746" s="3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</row>
    <row r="747" spans="1:31" ht="14" x14ac:dyDescent="0.15">
      <c r="A747" s="5"/>
      <c r="B747" s="3"/>
      <c r="C747" s="3"/>
      <c r="D747" s="3"/>
      <c r="E747" s="3"/>
      <c r="F747" s="3"/>
      <c r="G747" s="3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</row>
    <row r="748" spans="1:31" ht="14" x14ac:dyDescent="0.15">
      <c r="A748" s="5"/>
      <c r="B748" s="3"/>
      <c r="C748" s="3"/>
      <c r="D748" s="3"/>
      <c r="E748" s="3"/>
      <c r="F748" s="3"/>
      <c r="G748" s="3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</row>
    <row r="749" spans="1:31" ht="14" x14ac:dyDescent="0.15">
      <c r="A749" s="5"/>
      <c r="B749" s="3"/>
      <c r="C749" s="3"/>
      <c r="D749" s="3"/>
      <c r="E749" s="3"/>
      <c r="F749" s="3"/>
      <c r="G749" s="3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</row>
    <row r="750" spans="1:31" ht="14" x14ac:dyDescent="0.15">
      <c r="A750" s="5"/>
      <c r="B750" s="3"/>
      <c r="C750" s="3"/>
      <c r="D750" s="3"/>
      <c r="E750" s="3"/>
      <c r="F750" s="3"/>
      <c r="G750" s="3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</row>
    <row r="751" spans="1:31" ht="14" x14ac:dyDescent="0.15">
      <c r="A751" s="5"/>
      <c r="B751" s="3"/>
      <c r="C751" s="3"/>
      <c r="D751" s="3"/>
      <c r="E751" s="3"/>
      <c r="F751" s="3"/>
      <c r="G751" s="3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</row>
    <row r="752" spans="1:31" ht="14" x14ac:dyDescent="0.15">
      <c r="A752" s="5"/>
      <c r="B752" s="3"/>
      <c r="C752" s="3"/>
      <c r="D752" s="3"/>
      <c r="E752" s="3"/>
      <c r="F752" s="3"/>
      <c r="G752" s="3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</row>
    <row r="753" spans="1:31" ht="14" x14ac:dyDescent="0.15">
      <c r="A753" s="5"/>
      <c r="B753" s="3"/>
      <c r="C753" s="3"/>
      <c r="D753" s="3"/>
      <c r="E753" s="3"/>
      <c r="F753" s="3"/>
      <c r="G753" s="3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</row>
    <row r="754" spans="1:31" ht="14" x14ac:dyDescent="0.15">
      <c r="A754" s="5"/>
      <c r="B754" s="3"/>
      <c r="C754" s="3"/>
      <c r="D754" s="3"/>
      <c r="E754" s="3"/>
      <c r="F754" s="3"/>
      <c r="G754" s="3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</row>
    <row r="755" spans="1:31" ht="14" x14ac:dyDescent="0.15">
      <c r="A755" s="5"/>
      <c r="B755" s="3"/>
      <c r="C755" s="3"/>
      <c r="D755" s="3"/>
      <c r="E755" s="3"/>
      <c r="F755" s="3"/>
      <c r="G755" s="3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</row>
    <row r="756" spans="1:31" ht="14" x14ac:dyDescent="0.15">
      <c r="A756" s="5"/>
      <c r="B756" s="3"/>
      <c r="C756" s="3"/>
      <c r="D756" s="3"/>
      <c r="E756" s="3"/>
      <c r="F756" s="3"/>
      <c r="G756" s="3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</row>
    <row r="757" spans="1:31" ht="14" x14ac:dyDescent="0.15">
      <c r="A757" s="5"/>
      <c r="B757" s="3"/>
      <c r="C757" s="3"/>
      <c r="D757" s="3"/>
      <c r="E757" s="3"/>
      <c r="F757" s="3"/>
      <c r="G757" s="3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</row>
    <row r="758" spans="1:31" ht="14" x14ac:dyDescent="0.15">
      <c r="A758" s="5"/>
      <c r="B758" s="3"/>
      <c r="C758" s="3"/>
      <c r="D758" s="3"/>
      <c r="E758" s="3"/>
      <c r="F758" s="3"/>
      <c r="G758" s="3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</row>
    <row r="759" spans="1:31" ht="14" x14ac:dyDescent="0.15">
      <c r="A759" s="5"/>
      <c r="B759" s="3"/>
      <c r="C759" s="3"/>
      <c r="D759" s="3"/>
      <c r="E759" s="3"/>
      <c r="F759" s="3"/>
      <c r="G759" s="3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</row>
    <row r="760" spans="1:31" ht="14" x14ac:dyDescent="0.15">
      <c r="A760" s="5"/>
      <c r="B760" s="3"/>
      <c r="C760" s="3"/>
      <c r="D760" s="3"/>
      <c r="E760" s="3"/>
      <c r="F760" s="3"/>
      <c r="G760" s="3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</row>
    <row r="761" spans="1:31" ht="14" x14ac:dyDescent="0.15">
      <c r="A761" s="5"/>
      <c r="B761" s="3"/>
      <c r="C761" s="3"/>
      <c r="D761" s="3"/>
      <c r="E761" s="3"/>
      <c r="F761" s="3"/>
      <c r="G761" s="3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</row>
    <row r="762" spans="1:31" ht="14" x14ac:dyDescent="0.15">
      <c r="A762" s="5"/>
      <c r="B762" s="3"/>
      <c r="C762" s="3"/>
      <c r="D762" s="3"/>
      <c r="E762" s="3"/>
      <c r="F762" s="3"/>
      <c r="G762" s="3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</row>
    <row r="763" spans="1:31" ht="14" x14ac:dyDescent="0.15">
      <c r="A763" s="5"/>
      <c r="B763" s="3"/>
      <c r="C763" s="3"/>
      <c r="D763" s="3"/>
      <c r="E763" s="3"/>
      <c r="F763" s="3"/>
      <c r="G763" s="3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</row>
    <row r="764" spans="1:31" ht="14" x14ac:dyDescent="0.15">
      <c r="A764" s="5"/>
      <c r="B764" s="3"/>
      <c r="C764" s="3"/>
      <c r="D764" s="3"/>
      <c r="E764" s="3"/>
      <c r="F764" s="3"/>
      <c r="G764" s="3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</row>
    <row r="765" spans="1:31" ht="14" x14ac:dyDescent="0.15">
      <c r="A765" s="5"/>
      <c r="B765" s="3"/>
      <c r="C765" s="3"/>
      <c r="D765" s="3"/>
      <c r="E765" s="3"/>
      <c r="F765" s="3"/>
      <c r="G765" s="3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</row>
    <row r="766" spans="1:31" ht="14" x14ac:dyDescent="0.15">
      <c r="A766" s="5"/>
      <c r="B766" s="3"/>
      <c r="C766" s="3"/>
      <c r="D766" s="3"/>
      <c r="E766" s="3"/>
      <c r="F766" s="3"/>
      <c r="G766" s="3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</row>
    <row r="767" spans="1:31" ht="14" x14ac:dyDescent="0.15">
      <c r="A767" s="5"/>
      <c r="B767" s="3"/>
      <c r="C767" s="3"/>
      <c r="D767" s="3"/>
      <c r="E767" s="3"/>
      <c r="F767" s="3"/>
      <c r="G767" s="3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</row>
    <row r="768" spans="1:31" ht="14" x14ac:dyDescent="0.15">
      <c r="A768" s="5"/>
      <c r="B768" s="3"/>
      <c r="C768" s="3"/>
      <c r="D768" s="3"/>
      <c r="E768" s="3"/>
      <c r="F768" s="3"/>
      <c r="G768" s="3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</row>
    <row r="769" spans="1:31" ht="14" x14ac:dyDescent="0.15">
      <c r="A769" s="5"/>
      <c r="B769" s="3"/>
      <c r="C769" s="3"/>
      <c r="D769" s="3"/>
      <c r="E769" s="3"/>
      <c r="F769" s="3"/>
      <c r="G769" s="3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</row>
    <row r="770" spans="1:31" ht="14" x14ac:dyDescent="0.15">
      <c r="A770" s="5"/>
      <c r="B770" s="3"/>
      <c r="C770" s="3"/>
      <c r="D770" s="3"/>
      <c r="E770" s="3"/>
      <c r="F770" s="3"/>
      <c r="G770" s="3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</row>
    <row r="771" spans="1:31" ht="14" x14ac:dyDescent="0.15">
      <c r="A771" s="5"/>
      <c r="B771" s="3"/>
      <c r="C771" s="3"/>
      <c r="D771" s="3"/>
      <c r="E771" s="3"/>
      <c r="F771" s="3"/>
      <c r="G771" s="3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</row>
    <row r="772" spans="1:31" ht="14" x14ac:dyDescent="0.15">
      <c r="A772" s="5"/>
      <c r="B772" s="3"/>
      <c r="C772" s="3"/>
      <c r="D772" s="3"/>
      <c r="E772" s="3"/>
      <c r="F772" s="3"/>
      <c r="G772" s="3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</row>
    <row r="773" spans="1:31" ht="14" x14ac:dyDescent="0.15">
      <c r="A773" s="5"/>
      <c r="B773" s="3"/>
      <c r="C773" s="3"/>
      <c r="D773" s="3"/>
      <c r="E773" s="3"/>
      <c r="F773" s="3"/>
      <c r="G773" s="3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</row>
    <row r="774" spans="1:31" ht="14" x14ac:dyDescent="0.15">
      <c r="A774" s="5"/>
      <c r="B774" s="3"/>
      <c r="C774" s="3"/>
      <c r="D774" s="3"/>
      <c r="E774" s="3"/>
      <c r="F774" s="3"/>
      <c r="G774" s="3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</row>
    <row r="775" spans="1:31" ht="14" x14ac:dyDescent="0.15">
      <c r="A775" s="5"/>
      <c r="B775" s="3"/>
      <c r="C775" s="3"/>
      <c r="D775" s="3"/>
      <c r="E775" s="3"/>
      <c r="F775" s="3"/>
      <c r="G775" s="3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</row>
    <row r="776" spans="1:31" ht="14" x14ac:dyDescent="0.15">
      <c r="A776" s="5"/>
      <c r="B776" s="3"/>
      <c r="C776" s="3"/>
      <c r="D776" s="3"/>
      <c r="E776" s="3"/>
      <c r="F776" s="3"/>
      <c r="G776" s="3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</row>
    <row r="777" spans="1:31" ht="14" x14ac:dyDescent="0.15">
      <c r="A777" s="5"/>
      <c r="B777" s="3"/>
      <c r="C777" s="3"/>
      <c r="D777" s="3"/>
      <c r="E777" s="3"/>
      <c r="F777" s="3"/>
      <c r="G777" s="3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</row>
    <row r="778" spans="1:31" ht="14" x14ac:dyDescent="0.15">
      <c r="A778" s="5"/>
      <c r="B778" s="3"/>
      <c r="C778" s="3"/>
      <c r="D778" s="3"/>
      <c r="E778" s="3"/>
      <c r="F778" s="3"/>
      <c r="G778" s="3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</row>
    <row r="779" spans="1:31" ht="14" x14ac:dyDescent="0.15">
      <c r="A779" s="5"/>
      <c r="B779" s="3"/>
      <c r="C779" s="3"/>
      <c r="D779" s="3"/>
      <c r="E779" s="3"/>
      <c r="F779" s="3"/>
      <c r="G779" s="3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</row>
    <row r="780" spans="1:31" ht="14" x14ac:dyDescent="0.15">
      <c r="A780" s="5"/>
      <c r="B780" s="3"/>
      <c r="C780" s="3"/>
      <c r="D780" s="3"/>
      <c r="E780" s="3"/>
      <c r="F780" s="3"/>
      <c r="G780" s="3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</row>
    <row r="781" spans="1:31" ht="14" x14ac:dyDescent="0.15">
      <c r="A781" s="5"/>
      <c r="B781" s="3"/>
      <c r="C781" s="3"/>
      <c r="D781" s="3"/>
      <c r="E781" s="3"/>
      <c r="F781" s="3"/>
      <c r="G781" s="3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</row>
    <row r="782" spans="1:31" ht="14" x14ac:dyDescent="0.15">
      <c r="A782" s="5"/>
      <c r="B782" s="3"/>
      <c r="C782" s="3"/>
      <c r="D782" s="3"/>
      <c r="E782" s="3"/>
      <c r="F782" s="3"/>
      <c r="G782" s="3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</row>
    <row r="783" spans="1:31" ht="14" x14ac:dyDescent="0.15">
      <c r="A783" s="5"/>
      <c r="B783" s="3"/>
      <c r="C783" s="3"/>
      <c r="D783" s="3"/>
      <c r="E783" s="3"/>
      <c r="F783" s="3"/>
      <c r="G783" s="3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</row>
    <row r="784" spans="1:31" ht="14" x14ac:dyDescent="0.15">
      <c r="A784" s="5"/>
      <c r="B784" s="3"/>
      <c r="C784" s="3"/>
      <c r="D784" s="3"/>
      <c r="E784" s="3"/>
      <c r="F784" s="3"/>
      <c r="G784" s="3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</row>
    <row r="785" spans="1:31" ht="14" x14ac:dyDescent="0.15">
      <c r="A785" s="5"/>
      <c r="B785" s="3"/>
      <c r="C785" s="3"/>
      <c r="D785" s="3"/>
      <c r="E785" s="3"/>
      <c r="F785" s="3"/>
      <c r="G785" s="3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</row>
    <row r="786" spans="1:31" ht="14" x14ac:dyDescent="0.15">
      <c r="A786" s="5"/>
      <c r="B786" s="3"/>
      <c r="C786" s="3"/>
      <c r="D786" s="3"/>
      <c r="E786" s="3"/>
      <c r="F786" s="3"/>
      <c r="G786" s="3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</row>
    <row r="787" spans="1:31" ht="14" x14ac:dyDescent="0.15">
      <c r="A787" s="5"/>
      <c r="B787" s="3"/>
      <c r="C787" s="3"/>
      <c r="D787" s="3"/>
      <c r="E787" s="3"/>
      <c r="F787" s="3"/>
      <c r="G787" s="3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</row>
    <row r="788" spans="1:31" ht="14" x14ac:dyDescent="0.15">
      <c r="A788" s="5"/>
      <c r="B788" s="3"/>
      <c r="C788" s="3"/>
      <c r="D788" s="3"/>
      <c r="E788" s="3"/>
      <c r="F788" s="3"/>
      <c r="G788" s="3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</row>
    <row r="789" spans="1:31" ht="14" x14ac:dyDescent="0.15">
      <c r="A789" s="5"/>
      <c r="B789" s="3"/>
      <c r="C789" s="3"/>
      <c r="D789" s="3"/>
      <c r="E789" s="3"/>
      <c r="F789" s="3"/>
      <c r="G789" s="3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</row>
    <row r="790" spans="1:31" ht="14" x14ac:dyDescent="0.15">
      <c r="A790" s="5"/>
      <c r="B790" s="3"/>
      <c r="C790" s="3"/>
      <c r="D790" s="3"/>
      <c r="E790" s="3"/>
      <c r="F790" s="3"/>
      <c r="G790" s="3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</row>
    <row r="791" spans="1:31" ht="14" x14ac:dyDescent="0.15">
      <c r="A791" s="5"/>
      <c r="B791" s="3"/>
      <c r="C791" s="3"/>
      <c r="D791" s="3"/>
      <c r="E791" s="3"/>
      <c r="F791" s="3"/>
      <c r="G791" s="3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</row>
    <row r="792" spans="1:31" ht="14" x14ac:dyDescent="0.15">
      <c r="A792" s="5"/>
      <c r="B792" s="3"/>
      <c r="C792" s="3"/>
      <c r="D792" s="3"/>
      <c r="E792" s="3"/>
      <c r="F792" s="3"/>
      <c r="G792" s="3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</row>
    <row r="793" spans="1:31" ht="14" x14ac:dyDescent="0.15">
      <c r="A793" s="5"/>
      <c r="B793" s="3"/>
      <c r="C793" s="3"/>
      <c r="D793" s="3"/>
      <c r="E793" s="3"/>
      <c r="F793" s="3"/>
      <c r="G793" s="3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</row>
    <row r="794" spans="1:31" ht="14" x14ac:dyDescent="0.15">
      <c r="A794" s="5"/>
      <c r="B794" s="3"/>
      <c r="C794" s="3"/>
      <c r="D794" s="3"/>
      <c r="E794" s="3"/>
      <c r="F794" s="3"/>
      <c r="G794" s="3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</row>
    <row r="795" spans="1:31" ht="14" x14ac:dyDescent="0.15">
      <c r="A795" s="5"/>
      <c r="B795" s="3"/>
      <c r="C795" s="3"/>
      <c r="D795" s="3"/>
      <c r="E795" s="3"/>
      <c r="F795" s="3"/>
      <c r="G795" s="3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</row>
    <row r="796" spans="1:31" ht="14" x14ac:dyDescent="0.15">
      <c r="A796" s="5"/>
      <c r="B796" s="3"/>
      <c r="C796" s="3"/>
      <c r="D796" s="3"/>
      <c r="E796" s="3"/>
      <c r="F796" s="3"/>
      <c r="G796" s="3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</row>
    <row r="797" spans="1:31" ht="14" x14ac:dyDescent="0.15">
      <c r="A797" s="5"/>
      <c r="B797" s="3"/>
      <c r="C797" s="3"/>
      <c r="D797" s="3"/>
      <c r="E797" s="3"/>
      <c r="F797" s="3"/>
      <c r="G797" s="3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</row>
    <row r="798" spans="1:31" ht="14" x14ac:dyDescent="0.15">
      <c r="A798" s="5"/>
      <c r="B798" s="3"/>
      <c r="C798" s="3"/>
      <c r="D798" s="3"/>
      <c r="E798" s="3"/>
      <c r="F798" s="3"/>
      <c r="G798" s="3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</row>
    <row r="799" spans="1:31" ht="14" x14ac:dyDescent="0.15">
      <c r="A799" s="5"/>
      <c r="B799" s="3"/>
      <c r="C799" s="3"/>
      <c r="D799" s="3"/>
      <c r="E799" s="3"/>
      <c r="F799" s="3"/>
      <c r="G799" s="3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</row>
    <row r="800" spans="1:31" ht="14" x14ac:dyDescent="0.15">
      <c r="A800" s="5"/>
      <c r="B800" s="3"/>
      <c r="C800" s="3"/>
      <c r="D800" s="3"/>
      <c r="E800" s="3"/>
      <c r="F800" s="3"/>
      <c r="G800" s="3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</row>
    <row r="801" spans="1:31" ht="14" x14ac:dyDescent="0.15">
      <c r="A801" s="5"/>
      <c r="B801" s="3"/>
      <c r="C801" s="3"/>
      <c r="D801" s="3"/>
      <c r="E801" s="3"/>
      <c r="F801" s="3"/>
      <c r="G801" s="3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</row>
    <row r="802" spans="1:31" ht="14" x14ac:dyDescent="0.15">
      <c r="A802" s="5"/>
      <c r="B802" s="3"/>
      <c r="C802" s="3"/>
      <c r="D802" s="3"/>
      <c r="E802" s="3"/>
      <c r="F802" s="3"/>
      <c r="G802" s="3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</row>
    <row r="803" spans="1:31" ht="14" x14ac:dyDescent="0.15">
      <c r="A803" s="5"/>
      <c r="B803" s="3"/>
      <c r="C803" s="3"/>
      <c r="D803" s="3"/>
      <c r="E803" s="3"/>
      <c r="F803" s="3"/>
      <c r="G803" s="3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</row>
    <row r="804" spans="1:31" ht="14" x14ac:dyDescent="0.15">
      <c r="A804" s="5"/>
      <c r="B804" s="3"/>
      <c r="C804" s="3"/>
      <c r="D804" s="3"/>
      <c r="E804" s="3"/>
      <c r="F804" s="3"/>
      <c r="G804" s="3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</row>
    <row r="805" spans="1:31" ht="14" x14ac:dyDescent="0.15">
      <c r="A805" s="5"/>
      <c r="B805" s="3"/>
      <c r="C805" s="3"/>
      <c r="D805" s="3"/>
      <c r="E805" s="3"/>
      <c r="F805" s="3"/>
      <c r="G805" s="3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</row>
    <row r="806" spans="1:31" ht="14" x14ac:dyDescent="0.15">
      <c r="A806" s="5"/>
      <c r="B806" s="3"/>
      <c r="C806" s="3"/>
      <c r="D806" s="3"/>
      <c r="E806" s="3"/>
      <c r="F806" s="3"/>
      <c r="G806" s="3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</row>
    <row r="807" spans="1:31" ht="14" x14ac:dyDescent="0.15">
      <c r="A807" s="5"/>
      <c r="B807" s="3"/>
      <c r="C807" s="3"/>
      <c r="D807" s="3"/>
      <c r="E807" s="3"/>
      <c r="F807" s="3"/>
      <c r="G807" s="3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</row>
    <row r="808" spans="1:31" ht="14" x14ac:dyDescent="0.15">
      <c r="A808" s="5"/>
      <c r="B808" s="3"/>
      <c r="C808" s="3"/>
      <c r="D808" s="3"/>
      <c r="E808" s="3"/>
      <c r="F808" s="3"/>
      <c r="G808" s="3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</row>
    <row r="809" spans="1:31" ht="14" x14ac:dyDescent="0.15">
      <c r="A809" s="5"/>
      <c r="B809" s="3"/>
      <c r="C809" s="3"/>
      <c r="D809" s="3"/>
      <c r="E809" s="3"/>
      <c r="F809" s="3"/>
      <c r="G809" s="3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</row>
    <row r="810" spans="1:31" ht="14" x14ac:dyDescent="0.15">
      <c r="A810" s="5"/>
      <c r="B810" s="3"/>
      <c r="C810" s="3"/>
      <c r="D810" s="3"/>
      <c r="E810" s="3"/>
      <c r="F810" s="3"/>
      <c r="G810" s="3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</row>
    <row r="811" spans="1:31" ht="14" x14ac:dyDescent="0.15">
      <c r="A811" s="5"/>
      <c r="B811" s="3"/>
      <c r="C811" s="3"/>
      <c r="D811" s="3"/>
      <c r="E811" s="3"/>
      <c r="F811" s="3"/>
      <c r="G811" s="3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</row>
    <row r="812" spans="1:31" ht="14" x14ac:dyDescent="0.15">
      <c r="A812" s="5"/>
      <c r="B812" s="3"/>
      <c r="C812" s="3"/>
      <c r="D812" s="3"/>
      <c r="E812" s="3"/>
      <c r="F812" s="3"/>
      <c r="G812" s="3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</row>
    <row r="813" spans="1:31" ht="14" x14ac:dyDescent="0.15">
      <c r="A813" s="5"/>
      <c r="B813" s="3"/>
      <c r="C813" s="3"/>
      <c r="D813" s="3"/>
      <c r="E813" s="3"/>
      <c r="F813" s="3"/>
      <c r="G813" s="3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</row>
    <row r="814" spans="1:31" ht="14" x14ac:dyDescent="0.15">
      <c r="A814" s="5"/>
      <c r="B814" s="3"/>
      <c r="C814" s="3"/>
      <c r="D814" s="3"/>
      <c r="E814" s="3"/>
      <c r="F814" s="3"/>
      <c r="G814" s="3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</row>
    <row r="815" spans="1:31" ht="14" x14ac:dyDescent="0.15">
      <c r="A815" s="5"/>
      <c r="B815" s="3"/>
      <c r="C815" s="3"/>
      <c r="D815" s="3"/>
      <c r="E815" s="3"/>
      <c r="F815" s="3"/>
      <c r="G815" s="3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</row>
    <row r="816" spans="1:31" ht="14" x14ac:dyDescent="0.15">
      <c r="A816" s="5"/>
      <c r="B816" s="3"/>
      <c r="C816" s="3"/>
      <c r="D816" s="3"/>
      <c r="E816" s="3"/>
      <c r="F816" s="3"/>
      <c r="G816" s="3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</row>
    <row r="817" spans="1:31" ht="14" x14ac:dyDescent="0.15">
      <c r="A817" s="5"/>
      <c r="B817" s="3"/>
      <c r="C817" s="3"/>
      <c r="D817" s="3"/>
      <c r="E817" s="3"/>
      <c r="F817" s="3"/>
      <c r="G817" s="3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</row>
    <row r="818" spans="1:31" ht="14" x14ac:dyDescent="0.15">
      <c r="A818" s="5"/>
      <c r="B818" s="3"/>
      <c r="C818" s="3"/>
      <c r="D818" s="3"/>
      <c r="E818" s="3"/>
      <c r="F818" s="3"/>
      <c r="G818" s="3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</row>
    <row r="819" spans="1:31" ht="14" x14ac:dyDescent="0.15">
      <c r="A819" s="5"/>
      <c r="B819" s="3"/>
      <c r="C819" s="3"/>
      <c r="D819" s="3"/>
      <c r="E819" s="3"/>
      <c r="F819" s="3"/>
      <c r="G819" s="3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</row>
    <row r="820" spans="1:31" ht="14" x14ac:dyDescent="0.15">
      <c r="A820" s="5"/>
      <c r="B820" s="3"/>
      <c r="C820" s="3"/>
      <c r="D820" s="3"/>
      <c r="E820" s="3"/>
      <c r="F820" s="3"/>
      <c r="G820" s="3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</row>
    <row r="821" spans="1:31" ht="14" x14ac:dyDescent="0.15">
      <c r="A821" s="5"/>
      <c r="B821" s="3"/>
      <c r="C821" s="3"/>
      <c r="D821" s="3"/>
      <c r="E821" s="3"/>
      <c r="F821" s="3"/>
      <c r="G821" s="3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</row>
    <row r="822" spans="1:31" ht="14" x14ac:dyDescent="0.15">
      <c r="A822" s="5"/>
      <c r="B822" s="3"/>
      <c r="C822" s="3"/>
      <c r="D822" s="3"/>
      <c r="E822" s="3"/>
      <c r="F822" s="3"/>
      <c r="G822" s="3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</row>
    <row r="823" spans="1:31" ht="14" x14ac:dyDescent="0.15">
      <c r="A823" s="5"/>
      <c r="B823" s="3"/>
      <c r="C823" s="3"/>
      <c r="D823" s="3"/>
      <c r="E823" s="3"/>
      <c r="F823" s="3"/>
      <c r="G823" s="3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</row>
    <row r="824" spans="1:31" ht="14" x14ac:dyDescent="0.15">
      <c r="A824" s="5"/>
      <c r="B824" s="3"/>
      <c r="C824" s="3"/>
      <c r="D824" s="3"/>
      <c r="E824" s="3"/>
      <c r="F824" s="3"/>
      <c r="G824" s="3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</row>
    <row r="825" spans="1:31" ht="14" x14ac:dyDescent="0.15">
      <c r="A825" s="5"/>
      <c r="B825" s="3"/>
      <c r="C825" s="3"/>
      <c r="D825" s="3"/>
      <c r="E825" s="3"/>
      <c r="F825" s="3"/>
      <c r="G825" s="3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</row>
    <row r="826" spans="1:31" ht="14" x14ac:dyDescent="0.15">
      <c r="A826" s="5"/>
      <c r="B826" s="3"/>
      <c r="C826" s="3"/>
      <c r="D826" s="3"/>
      <c r="E826" s="3"/>
      <c r="F826" s="3"/>
      <c r="G826" s="3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</row>
    <row r="827" spans="1:31" ht="14" x14ac:dyDescent="0.15">
      <c r="A827" s="5"/>
      <c r="B827" s="3"/>
      <c r="C827" s="3"/>
      <c r="D827" s="3"/>
      <c r="E827" s="3"/>
      <c r="F827" s="3"/>
      <c r="G827" s="3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</row>
    <row r="828" spans="1:31" ht="14" x14ac:dyDescent="0.15">
      <c r="A828" s="5"/>
      <c r="B828" s="3"/>
      <c r="C828" s="3"/>
      <c r="D828" s="3"/>
      <c r="E828" s="3"/>
      <c r="F828" s="3"/>
      <c r="G828" s="3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</row>
    <row r="829" spans="1:31" ht="14" x14ac:dyDescent="0.15">
      <c r="A829" s="5"/>
      <c r="B829" s="3"/>
      <c r="C829" s="3"/>
      <c r="D829" s="3"/>
      <c r="E829" s="3"/>
      <c r="F829" s="3"/>
      <c r="G829" s="3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</row>
    <row r="830" spans="1:31" ht="14" x14ac:dyDescent="0.15">
      <c r="A830" s="5"/>
      <c r="B830" s="3"/>
      <c r="C830" s="3"/>
      <c r="D830" s="3"/>
      <c r="E830" s="3"/>
      <c r="F830" s="3"/>
      <c r="G830" s="3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</row>
    <row r="831" spans="1:31" ht="14" x14ac:dyDescent="0.15">
      <c r="A831" s="5"/>
      <c r="B831" s="3"/>
      <c r="C831" s="3"/>
      <c r="D831" s="3"/>
      <c r="E831" s="3"/>
      <c r="F831" s="3"/>
      <c r="G831" s="3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</row>
    <row r="832" spans="1:31" ht="14" x14ac:dyDescent="0.15">
      <c r="A832" s="5"/>
      <c r="B832" s="3"/>
      <c r="C832" s="3"/>
      <c r="D832" s="3"/>
      <c r="E832" s="3"/>
      <c r="F832" s="3"/>
      <c r="G832" s="3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</row>
    <row r="833" spans="1:31" ht="14" x14ac:dyDescent="0.15">
      <c r="A833" s="5"/>
      <c r="B833" s="3"/>
      <c r="C833" s="3"/>
      <c r="D833" s="3"/>
      <c r="E833" s="3"/>
      <c r="F833" s="3"/>
      <c r="G833" s="3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</row>
    <row r="834" spans="1:31" ht="14" x14ac:dyDescent="0.15">
      <c r="A834" s="5"/>
      <c r="B834" s="3"/>
      <c r="C834" s="3"/>
      <c r="D834" s="3"/>
      <c r="E834" s="3"/>
      <c r="F834" s="3"/>
      <c r="G834" s="3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</row>
    <row r="835" spans="1:31" ht="14" x14ac:dyDescent="0.15">
      <c r="A835" s="5"/>
      <c r="B835" s="3"/>
      <c r="C835" s="3"/>
      <c r="D835" s="3"/>
      <c r="E835" s="3"/>
      <c r="F835" s="3"/>
      <c r="G835" s="3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</row>
    <row r="836" spans="1:31" ht="14" x14ac:dyDescent="0.15">
      <c r="A836" s="5"/>
      <c r="B836" s="3"/>
      <c r="C836" s="3"/>
      <c r="D836" s="3"/>
      <c r="E836" s="3"/>
      <c r="F836" s="3"/>
      <c r="G836" s="3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</row>
    <row r="837" spans="1:31" ht="14" x14ac:dyDescent="0.15">
      <c r="A837" s="5"/>
      <c r="B837" s="3"/>
      <c r="C837" s="3"/>
      <c r="D837" s="3"/>
      <c r="E837" s="3"/>
      <c r="F837" s="3"/>
      <c r="G837" s="3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</row>
    <row r="838" spans="1:31" ht="14" x14ac:dyDescent="0.15">
      <c r="A838" s="5"/>
      <c r="B838" s="3"/>
      <c r="C838" s="3"/>
      <c r="D838" s="3"/>
      <c r="E838" s="3"/>
      <c r="F838" s="3"/>
      <c r="G838" s="3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</row>
    <row r="839" spans="1:31" ht="14" x14ac:dyDescent="0.15">
      <c r="A839" s="5"/>
      <c r="B839" s="3"/>
      <c r="C839" s="3"/>
      <c r="D839" s="3"/>
      <c r="E839" s="3"/>
      <c r="F839" s="3"/>
      <c r="G839" s="3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</row>
    <row r="840" spans="1:31" ht="14" x14ac:dyDescent="0.15">
      <c r="A840" s="5"/>
      <c r="B840" s="3"/>
      <c r="C840" s="3"/>
      <c r="D840" s="3"/>
      <c r="E840" s="3"/>
      <c r="F840" s="3"/>
      <c r="G840" s="3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</row>
    <row r="841" spans="1:31" ht="14" x14ac:dyDescent="0.15">
      <c r="A841" s="5"/>
      <c r="B841" s="3"/>
      <c r="C841" s="3"/>
      <c r="D841" s="3"/>
      <c r="E841" s="3"/>
      <c r="F841" s="3"/>
      <c r="G841" s="3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</row>
    <row r="842" spans="1:31" ht="14" x14ac:dyDescent="0.15">
      <c r="A842" s="5"/>
      <c r="B842" s="3"/>
      <c r="C842" s="3"/>
      <c r="D842" s="3"/>
      <c r="E842" s="3"/>
      <c r="F842" s="3"/>
      <c r="G842" s="3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</row>
    <row r="843" spans="1:31" ht="14" x14ac:dyDescent="0.15">
      <c r="A843" s="5"/>
      <c r="B843" s="3"/>
      <c r="C843" s="3"/>
      <c r="D843" s="3"/>
      <c r="E843" s="3"/>
      <c r="F843" s="3"/>
      <c r="G843" s="3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</row>
    <row r="844" spans="1:31" ht="14" x14ac:dyDescent="0.15">
      <c r="A844" s="5"/>
      <c r="B844" s="3"/>
      <c r="C844" s="3"/>
      <c r="D844" s="3"/>
      <c r="E844" s="3"/>
      <c r="F844" s="3"/>
      <c r="G844" s="3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</row>
    <row r="845" spans="1:31" ht="14" x14ac:dyDescent="0.15">
      <c r="A845" s="5"/>
      <c r="B845" s="3"/>
      <c r="C845" s="3"/>
      <c r="D845" s="3"/>
      <c r="E845" s="3"/>
      <c r="F845" s="3"/>
      <c r="G845" s="3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</row>
    <row r="846" spans="1:31" ht="14" x14ac:dyDescent="0.15">
      <c r="A846" s="5"/>
      <c r="B846" s="3"/>
      <c r="C846" s="3"/>
      <c r="D846" s="3"/>
      <c r="E846" s="3"/>
      <c r="F846" s="3"/>
      <c r="G846" s="3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</row>
    <row r="847" spans="1:31" ht="14" x14ac:dyDescent="0.15">
      <c r="A847" s="5"/>
      <c r="B847" s="3"/>
      <c r="C847" s="3"/>
      <c r="D847" s="3"/>
      <c r="E847" s="3"/>
      <c r="F847" s="3"/>
      <c r="G847" s="3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</row>
    <row r="848" spans="1:31" ht="14" x14ac:dyDescent="0.15">
      <c r="A848" s="5"/>
      <c r="B848" s="3"/>
      <c r="C848" s="3"/>
      <c r="D848" s="3"/>
      <c r="E848" s="3"/>
      <c r="F848" s="3"/>
      <c r="G848" s="3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</row>
    <row r="849" spans="1:31" ht="14" x14ac:dyDescent="0.15">
      <c r="A849" s="5"/>
      <c r="B849" s="3"/>
      <c r="C849" s="3"/>
      <c r="D849" s="3"/>
      <c r="E849" s="3"/>
      <c r="F849" s="3"/>
      <c r="G849" s="3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</row>
    <row r="850" spans="1:31" ht="14" x14ac:dyDescent="0.15">
      <c r="A850" s="5"/>
      <c r="B850" s="3"/>
      <c r="C850" s="3"/>
      <c r="D850" s="3"/>
      <c r="E850" s="3"/>
      <c r="F850" s="3"/>
      <c r="G850" s="3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</row>
    <row r="851" spans="1:31" ht="14" x14ac:dyDescent="0.15">
      <c r="A851" s="5"/>
      <c r="B851" s="3"/>
      <c r="C851" s="3"/>
      <c r="D851" s="3"/>
      <c r="E851" s="3"/>
      <c r="F851" s="3"/>
      <c r="G851" s="3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</row>
    <row r="852" spans="1:31" ht="14" x14ac:dyDescent="0.15">
      <c r="A852" s="5"/>
      <c r="B852" s="3"/>
      <c r="C852" s="3"/>
      <c r="D852" s="3"/>
      <c r="E852" s="3"/>
      <c r="F852" s="3"/>
      <c r="G852" s="3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</row>
    <row r="853" spans="1:31" ht="14" x14ac:dyDescent="0.15">
      <c r="A853" s="5"/>
      <c r="B853" s="3"/>
      <c r="C853" s="3"/>
      <c r="D853" s="3"/>
      <c r="E853" s="3"/>
      <c r="F853" s="3"/>
      <c r="G853" s="3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</row>
    <row r="854" spans="1:31" ht="14" x14ac:dyDescent="0.15">
      <c r="A854" s="5"/>
      <c r="B854" s="3"/>
      <c r="C854" s="3"/>
      <c r="D854" s="3"/>
      <c r="E854" s="3"/>
      <c r="F854" s="3"/>
      <c r="G854" s="3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</row>
    <row r="855" spans="1:31" ht="14" x14ac:dyDescent="0.15">
      <c r="A855" s="5"/>
      <c r="B855" s="3"/>
      <c r="C855" s="3"/>
      <c r="D855" s="3"/>
      <c r="E855" s="3"/>
      <c r="F855" s="3"/>
      <c r="G855" s="3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</row>
    <row r="856" spans="1:31" ht="14" x14ac:dyDescent="0.15">
      <c r="A856" s="5"/>
      <c r="B856" s="3"/>
      <c r="C856" s="3"/>
      <c r="D856" s="3"/>
      <c r="E856" s="3"/>
      <c r="F856" s="3"/>
      <c r="G856" s="3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</row>
    <row r="857" spans="1:31" ht="14" x14ac:dyDescent="0.15">
      <c r="A857" s="5"/>
      <c r="B857" s="3"/>
      <c r="C857" s="3"/>
      <c r="D857" s="3"/>
      <c r="E857" s="3"/>
      <c r="F857" s="3"/>
      <c r="G857" s="3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</row>
    <row r="858" spans="1:31" ht="14" x14ac:dyDescent="0.15">
      <c r="A858" s="5"/>
      <c r="B858" s="3"/>
      <c r="C858" s="3"/>
      <c r="D858" s="3"/>
      <c r="E858" s="3"/>
      <c r="F858" s="3"/>
      <c r="G858" s="3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</row>
    <row r="859" spans="1:31" ht="14" x14ac:dyDescent="0.15">
      <c r="A859" s="5"/>
      <c r="B859" s="3"/>
      <c r="C859" s="3"/>
      <c r="D859" s="3"/>
      <c r="E859" s="3"/>
      <c r="F859" s="3"/>
      <c r="G859" s="3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</row>
    <row r="860" spans="1:31" ht="14" x14ac:dyDescent="0.15">
      <c r="A860" s="5"/>
      <c r="B860" s="3"/>
      <c r="C860" s="3"/>
      <c r="D860" s="3"/>
      <c r="E860" s="3"/>
      <c r="F860" s="3"/>
      <c r="G860" s="3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</row>
    <row r="861" spans="1:31" ht="14" x14ac:dyDescent="0.15">
      <c r="A861" s="5"/>
      <c r="B861" s="3"/>
      <c r="C861" s="3"/>
      <c r="D861" s="3"/>
      <c r="E861" s="3"/>
      <c r="F861" s="3"/>
      <c r="G861" s="3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</row>
    <row r="862" spans="1:31" ht="14" x14ac:dyDescent="0.15">
      <c r="A862" s="5"/>
      <c r="B862" s="3"/>
      <c r="C862" s="3"/>
      <c r="D862" s="3"/>
      <c r="E862" s="3"/>
      <c r="F862" s="3"/>
      <c r="G862" s="3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</row>
    <row r="863" spans="1:31" ht="14" x14ac:dyDescent="0.15">
      <c r="A863" s="5"/>
      <c r="B863" s="3"/>
      <c r="C863" s="3"/>
      <c r="D863" s="3"/>
      <c r="E863" s="3"/>
      <c r="F863" s="3"/>
      <c r="G863" s="3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</row>
    <row r="864" spans="1:31" ht="14" x14ac:dyDescent="0.15">
      <c r="A864" s="5"/>
      <c r="B864" s="3"/>
      <c r="C864" s="3"/>
      <c r="D864" s="3"/>
      <c r="E864" s="3"/>
      <c r="F864" s="3"/>
      <c r="G864" s="3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</row>
    <row r="865" spans="1:31" ht="14" x14ac:dyDescent="0.15">
      <c r="A865" s="5"/>
      <c r="B865" s="3"/>
      <c r="C865" s="3"/>
      <c r="D865" s="3"/>
      <c r="E865" s="3"/>
      <c r="F865" s="3"/>
      <c r="G865" s="3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</row>
    <row r="866" spans="1:31" ht="14" x14ac:dyDescent="0.15">
      <c r="A866" s="5"/>
      <c r="B866" s="3"/>
      <c r="C866" s="3"/>
      <c r="D866" s="3"/>
      <c r="E866" s="3"/>
      <c r="F866" s="3"/>
      <c r="G866" s="3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</row>
    <row r="867" spans="1:31" ht="14" x14ac:dyDescent="0.15">
      <c r="A867" s="5"/>
      <c r="B867" s="3"/>
      <c r="C867" s="3"/>
      <c r="D867" s="3"/>
      <c r="E867" s="3"/>
      <c r="F867" s="3"/>
      <c r="G867" s="3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</row>
    <row r="868" spans="1:31" ht="14" x14ac:dyDescent="0.15">
      <c r="A868" s="5"/>
      <c r="B868" s="3"/>
      <c r="C868" s="3"/>
      <c r="D868" s="3"/>
      <c r="E868" s="3"/>
      <c r="F868" s="3"/>
      <c r="G868" s="3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</row>
    <row r="869" spans="1:31" ht="14" x14ac:dyDescent="0.15">
      <c r="A869" s="5"/>
      <c r="B869" s="3"/>
      <c r="C869" s="3"/>
      <c r="D869" s="3"/>
      <c r="E869" s="3"/>
      <c r="F869" s="3"/>
      <c r="G869" s="3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</row>
    <row r="870" spans="1:31" ht="14" x14ac:dyDescent="0.15">
      <c r="A870" s="5"/>
      <c r="B870" s="3"/>
      <c r="C870" s="3"/>
      <c r="D870" s="3"/>
      <c r="E870" s="3"/>
      <c r="F870" s="3"/>
      <c r="G870" s="3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</row>
    <row r="871" spans="1:31" ht="14" x14ac:dyDescent="0.15">
      <c r="A871" s="5"/>
      <c r="B871" s="3"/>
      <c r="C871" s="3"/>
      <c r="D871" s="3"/>
      <c r="E871" s="3"/>
      <c r="F871" s="3"/>
      <c r="G871" s="3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</row>
    <row r="872" spans="1:31" ht="14" x14ac:dyDescent="0.15">
      <c r="A872" s="5"/>
      <c r="B872" s="3"/>
      <c r="C872" s="3"/>
      <c r="D872" s="3"/>
      <c r="E872" s="3"/>
      <c r="F872" s="3"/>
      <c r="G872" s="3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</row>
    <row r="873" spans="1:31" ht="14" x14ac:dyDescent="0.15">
      <c r="A873" s="5"/>
      <c r="B873" s="3"/>
      <c r="C873" s="3"/>
      <c r="D873" s="3"/>
      <c r="E873" s="3"/>
      <c r="F873" s="3"/>
      <c r="G873" s="3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</row>
    <row r="874" spans="1:31" ht="14" x14ac:dyDescent="0.15">
      <c r="A874" s="5"/>
      <c r="B874" s="3"/>
      <c r="C874" s="3"/>
      <c r="D874" s="3"/>
      <c r="E874" s="3"/>
      <c r="F874" s="3"/>
      <c r="G874" s="3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</row>
    <row r="875" spans="1:31" ht="14" x14ac:dyDescent="0.15">
      <c r="A875" s="5"/>
      <c r="B875" s="3"/>
      <c r="C875" s="3"/>
      <c r="D875" s="3"/>
      <c r="E875" s="3"/>
      <c r="F875" s="3"/>
      <c r="G875" s="3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</row>
    <row r="876" spans="1:31" ht="14" x14ac:dyDescent="0.15">
      <c r="A876" s="5"/>
      <c r="B876" s="3"/>
      <c r="C876" s="3"/>
      <c r="D876" s="3"/>
      <c r="E876" s="3"/>
      <c r="F876" s="3"/>
      <c r="G876" s="3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</row>
    <row r="877" spans="1:31" ht="14" x14ac:dyDescent="0.15">
      <c r="A877" s="5"/>
      <c r="B877" s="3"/>
      <c r="C877" s="3"/>
      <c r="D877" s="3"/>
      <c r="E877" s="3"/>
      <c r="F877" s="3"/>
      <c r="G877" s="3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</row>
    <row r="878" spans="1:31" ht="14" x14ac:dyDescent="0.15">
      <c r="A878" s="5"/>
      <c r="B878" s="3"/>
      <c r="C878" s="3"/>
      <c r="D878" s="3"/>
      <c r="E878" s="3"/>
      <c r="F878" s="3"/>
      <c r="G878" s="3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</row>
    <row r="879" spans="1:31" ht="14" x14ac:dyDescent="0.15">
      <c r="A879" s="5"/>
      <c r="B879" s="3"/>
      <c r="C879" s="3"/>
      <c r="D879" s="3"/>
      <c r="E879" s="3"/>
      <c r="F879" s="3"/>
      <c r="G879" s="3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</row>
    <row r="880" spans="1:31" ht="14" x14ac:dyDescent="0.15">
      <c r="A880" s="5"/>
      <c r="B880" s="3"/>
      <c r="C880" s="3"/>
      <c r="D880" s="3"/>
      <c r="E880" s="3"/>
      <c r="F880" s="3"/>
      <c r="G880" s="3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</row>
    <row r="881" spans="1:31" ht="14" x14ac:dyDescent="0.15">
      <c r="A881" s="5"/>
      <c r="B881" s="3"/>
      <c r="C881" s="3"/>
      <c r="D881" s="3"/>
      <c r="E881" s="3"/>
      <c r="F881" s="3"/>
      <c r="G881" s="3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</row>
    <row r="882" spans="1:31" ht="14" x14ac:dyDescent="0.15">
      <c r="A882" s="5"/>
      <c r="B882" s="3"/>
      <c r="C882" s="3"/>
      <c r="D882" s="3"/>
      <c r="E882" s="3"/>
      <c r="F882" s="3"/>
      <c r="G882" s="3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</row>
    <row r="883" spans="1:31" ht="14" x14ac:dyDescent="0.15">
      <c r="A883" s="5"/>
      <c r="B883" s="3"/>
      <c r="C883" s="3"/>
      <c r="D883" s="3"/>
      <c r="E883" s="3"/>
      <c r="F883" s="3"/>
      <c r="G883" s="3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</row>
    <row r="884" spans="1:31" ht="14" x14ac:dyDescent="0.15">
      <c r="A884" s="5"/>
      <c r="B884" s="3"/>
      <c r="C884" s="3"/>
      <c r="D884" s="3"/>
      <c r="E884" s="3"/>
      <c r="F884" s="3"/>
      <c r="G884" s="3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</row>
    <row r="885" spans="1:31" ht="14" x14ac:dyDescent="0.15">
      <c r="A885" s="5"/>
      <c r="B885" s="3"/>
      <c r="C885" s="3"/>
      <c r="D885" s="3"/>
      <c r="E885" s="3"/>
      <c r="F885" s="3"/>
      <c r="G885" s="3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</row>
    <row r="886" spans="1:31" ht="14" x14ac:dyDescent="0.15">
      <c r="A886" s="5"/>
      <c r="B886" s="3"/>
      <c r="C886" s="3"/>
      <c r="D886" s="3"/>
      <c r="E886" s="3"/>
      <c r="F886" s="3"/>
      <c r="G886" s="3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</row>
    <row r="887" spans="1:31" ht="14" x14ac:dyDescent="0.15">
      <c r="A887" s="5"/>
      <c r="B887" s="3"/>
      <c r="C887" s="3"/>
      <c r="D887" s="3"/>
      <c r="E887" s="3"/>
      <c r="F887" s="3"/>
      <c r="G887" s="3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</row>
    <row r="888" spans="1:31" ht="14" x14ac:dyDescent="0.15">
      <c r="A888" s="5"/>
      <c r="B888" s="3"/>
      <c r="C888" s="3"/>
      <c r="D888" s="3"/>
      <c r="E888" s="3"/>
      <c r="F888" s="3"/>
      <c r="G888" s="3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</row>
    <row r="889" spans="1:31" ht="14" x14ac:dyDescent="0.15">
      <c r="A889" s="5"/>
      <c r="B889" s="3"/>
      <c r="C889" s="3"/>
      <c r="D889" s="3"/>
      <c r="E889" s="3"/>
      <c r="F889" s="3"/>
      <c r="G889" s="3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</row>
    <row r="890" spans="1:31" ht="14" x14ac:dyDescent="0.15">
      <c r="A890" s="5"/>
      <c r="B890" s="3"/>
      <c r="C890" s="3"/>
      <c r="D890" s="3"/>
      <c r="E890" s="3"/>
      <c r="F890" s="3"/>
      <c r="G890" s="3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</row>
    <row r="891" spans="1:31" ht="14" x14ac:dyDescent="0.15">
      <c r="A891" s="5"/>
      <c r="B891" s="3"/>
      <c r="C891" s="3"/>
      <c r="D891" s="3"/>
      <c r="E891" s="3"/>
      <c r="F891" s="3"/>
      <c r="G891" s="3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</row>
    <row r="892" spans="1:31" ht="14" x14ac:dyDescent="0.15">
      <c r="A892" s="5"/>
      <c r="B892" s="3"/>
      <c r="C892" s="3"/>
      <c r="D892" s="3"/>
      <c r="E892" s="3"/>
      <c r="F892" s="3"/>
      <c r="G892" s="3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</row>
    <row r="893" spans="1:31" ht="14" x14ac:dyDescent="0.15">
      <c r="A893" s="5"/>
      <c r="B893" s="3"/>
      <c r="C893" s="3"/>
      <c r="D893" s="3"/>
      <c r="E893" s="3"/>
      <c r="F893" s="3"/>
      <c r="G893" s="3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</row>
    <row r="894" spans="1:31" ht="14" x14ac:dyDescent="0.15">
      <c r="A894" s="5"/>
      <c r="B894" s="3"/>
      <c r="C894" s="3"/>
      <c r="D894" s="3"/>
      <c r="E894" s="3"/>
      <c r="F894" s="3"/>
      <c r="G894" s="3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</row>
    <row r="895" spans="1:31" ht="14" x14ac:dyDescent="0.15">
      <c r="A895" s="5"/>
      <c r="B895" s="3"/>
      <c r="C895" s="3"/>
      <c r="D895" s="3"/>
      <c r="E895" s="3"/>
      <c r="F895" s="3"/>
      <c r="G895" s="3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</row>
    <row r="896" spans="1:31" ht="14" x14ac:dyDescent="0.15">
      <c r="A896" s="5"/>
      <c r="B896" s="3"/>
      <c r="C896" s="3"/>
      <c r="D896" s="3"/>
      <c r="E896" s="3"/>
      <c r="F896" s="3"/>
      <c r="G896" s="3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</row>
    <row r="897" spans="1:31" ht="14" x14ac:dyDescent="0.15">
      <c r="A897" s="5"/>
      <c r="B897" s="3"/>
      <c r="C897" s="3"/>
      <c r="D897" s="3"/>
      <c r="E897" s="3"/>
      <c r="F897" s="3"/>
      <c r="G897" s="3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</row>
    <row r="898" spans="1:31" ht="14" x14ac:dyDescent="0.15">
      <c r="A898" s="5"/>
      <c r="B898" s="3"/>
      <c r="C898" s="3"/>
      <c r="D898" s="3"/>
      <c r="E898" s="3"/>
      <c r="F898" s="3"/>
      <c r="G898" s="3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</row>
    <row r="899" spans="1:31" ht="14" x14ac:dyDescent="0.15">
      <c r="A899" s="5"/>
      <c r="B899" s="3"/>
      <c r="C899" s="3"/>
      <c r="D899" s="3"/>
      <c r="E899" s="3"/>
      <c r="F899" s="3"/>
      <c r="G899" s="3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</row>
    <row r="900" spans="1:31" ht="14" x14ac:dyDescent="0.15">
      <c r="A900" s="5"/>
      <c r="B900" s="3"/>
      <c r="C900" s="3"/>
      <c r="D900" s="3"/>
      <c r="E900" s="3"/>
      <c r="F900" s="3"/>
      <c r="G900" s="3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</row>
    <row r="901" spans="1:31" ht="14" x14ac:dyDescent="0.15">
      <c r="A901" s="5"/>
      <c r="B901" s="3"/>
      <c r="C901" s="3"/>
      <c r="D901" s="3"/>
      <c r="E901" s="3"/>
      <c r="F901" s="3"/>
      <c r="G901" s="3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</row>
    <row r="902" spans="1:31" ht="14" x14ac:dyDescent="0.15">
      <c r="A902" s="5"/>
      <c r="B902" s="3"/>
      <c r="C902" s="3"/>
      <c r="D902" s="3"/>
      <c r="E902" s="3"/>
      <c r="F902" s="3"/>
      <c r="G902" s="3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</row>
    <row r="903" spans="1:31" ht="14" x14ac:dyDescent="0.15">
      <c r="A903" s="5"/>
      <c r="B903" s="3"/>
      <c r="C903" s="3"/>
      <c r="D903" s="3"/>
      <c r="E903" s="3"/>
      <c r="F903" s="3"/>
      <c r="G903" s="3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</row>
    <row r="904" spans="1:31" ht="14" x14ac:dyDescent="0.15">
      <c r="A904" s="5"/>
      <c r="B904" s="3"/>
      <c r="C904" s="3"/>
      <c r="D904" s="3"/>
      <c r="E904" s="3"/>
      <c r="F904" s="3"/>
      <c r="G904" s="3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</row>
    <row r="905" spans="1:31" ht="14" x14ac:dyDescent="0.15">
      <c r="A905" s="5"/>
      <c r="B905" s="3"/>
      <c r="C905" s="3"/>
      <c r="D905" s="3"/>
      <c r="E905" s="3"/>
      <c r="F905" s="3"/>
      <c r="G905" s="3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</row>
    <row r="906" spans="1:31" ht="14" x14ac:dyDescent="0.15">
      <c r="A906" s="5"/>
      <c r="B906" s="3"/>
      <c r="C906" s="3"/>
      <c r="D906" s="3"/>
      <c r="E906" s="3"/>
      <c r="F906" s="3"/>
      <c r="G906" s="3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</row>
    <row r="907" spans="1:31" ht="14" x14ac:dyDescent="0.15">
      <c r="A907" s="5"/>
      <c r="B907" s="3"/>
      <c r="C907" s="3"/>
      <c r="D907" s="3"/>
      <c r="E907" s="3"/>
      <c r="F907" s="3"/>
      <c r="G907" s="3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</row>
    <row r="908" spans="1:31" ht="14" x14ac:dyDescent="0.15">
      <c r="A908" s="5"/>
      <c r="B908" s="3"/>
      <c r="C908" s="3"/>
      <c r="D908" s="3"/>
      <c r="E908" s="3"/>
      <c r="F908" s="3"/>
      <c r="G908" s="3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</row>
    <row r="909" spans="1:31" ht="14" x14ac:dyDescent="0.15">
      <c r="A909" s="5"/>
      <c r="B909" s="3"/>
      <c r="C909" s="3"/>
      <c r="D909" s="3"/>
      <c r="E909" s="3"/>
      <c r="F909" s="3"/>
      <c r="G909" s="3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</row>
    <row r="910" spans="1:31" ht="14" x14ac:dyDescent="0.15">
      <c r="A910" s="5"/>
      <c r="B910" s="3"/>
      <c r="C910" s="3"/>
      <c r="D910" s="3"/>
      <c r="E910" s="3"/>
      <c r="F910" s="3"/>
      <c r="G910" s="3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</row>
    <row r="911" spans="1:31" ht="14" x14ac:dyDescent="0.15">
      <c r="A911" s="5"/>
      <c r="B911" s="3"/>
      <c r="C911" s="3"/>
      <c r="D911" s="3"/>
      <c r="E911" s="3"/>
      <c r="F911" s="3"/>
      <c r="G911" s="3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</row>
    <row r="912" spans="1:31" ht="14" x14ac:dyDescent="0.15">
      <c r="A912" s="5"/>
      <c r="B912" s="3"/>
      <c r="C912" s="3"/>
      <c r="D912" s="3"/>
      <c r="E912" s="3"/>
      <c r="F912" s="3"/>
      <c r="G912" s="3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</row>
    <row r="913" spans="1:31" ht="14" x14ac:dyDescent="0.15">
      <c r="A913" s="5"/>
      <c r="B913" s="3"/>
      <c r="C913" s="3"/>
      <c r="D913" s="3"/>
      <c r="E913" s="3"/>
      <c r="F913" s="3"/>
      <c r="G913" s="3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</row>
    <row r="914" spans="1:31" ht="14" x14ac:dyDescent="0.15">
      <c r="A914" s="5"/>
      <c r="B914" s="3"/>
      <c r="C914" s="3"/>
      <c r="D914" s="3"/>
      <c r="E914" s="3"/>
      <c r="F914" s="3"/>
      <c r="G914" s="3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</row>
    <row r="915" spans="1:31" ht="14" x14ac:dyDescent="0.15">
      <c r="A915" s="5"/>
      <c r="B915" s="3"/>
      <c r="C915" s="3"/>
      <c r="D915" s="3"/>
      <c r="E915" s="3"/>
      <c r="F915" s="3"/>
      <c r="G915" s="3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</row>
    <row r="916" spans="1:31" ht="14" x14ac:dyDescent="0.15">
      <c r="A916" s="5"/>
      <c r="B916" s="3"/>
      <c r="C916" s="3"/>
      <c r="D916" s="3"/>
      <c r="E916" s="3"/>
      <c r="F916" s="3"/>
      <c r="G916" s="3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</row>
    <row r="917" spans="1:31" ht="14" x14ac:dyDescent="0.15">
      <c r="A917" s="5"/>
      <c r="B917" s="3"/>
      <c r="C917" s="3"/>
      <c r="D917" s="3"/>
      <c r="E917" s="3"/>
      <c r="F917" s="3"/>
      <c r="G917" s="3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</row>
    <row r="918" spans="1:31" ht="14" x14ac:dyDescent="0.15">
      <c r="A918" s="5"/>
      <c r="B918" s="3"/>
      <c r="C918" s="3"/>
      <c r="D918" s="3"/>
      <c r="E918" s="3"/>
      <c r="F918" s="3"/>
      <c r="G918" s="3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</row>
    <row r="919" spans="1:31" ht="14" x14ac:dyDescent="0.15">
      <c r="A919" s="5"/>
      <c r="B919" s="3"/>
      <c r="C919" s="3"/>
      <c r="D919" s="3"/>
      <c r="E919" s="3"/>
      <c r="F919" s="3"/>
      <c r="G919" s="3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</row>
    <row r="920" spans="1:31" ht="14" x14ac:dyDescent="0.15">
      <c r="A920" s="5"/>
      <c r="B920" s="3"/>
      <c r="C920" s="3"/>
      <c r="D920" s="3"/>
      <c r="E920" s="3"/>
      <c r="F920" s="3"/>
      <c r="G920" s="3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</row>
    <row r="921" spans="1:31" ht="14" x14ac:dyDescent="0.15">
      <c r="A921" s="5"/>
      <c r="B921" s="3"/>
      <c r="C921" s="3"/>
      <c r="D921" s="3"/>
      <c r="E921" s="3"/>
      <c r="F921" s="3"/>
      <c r="G921" s="3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</row>
    <row r="922" spans="1:31" ht="14" x14ac:dyDescent="0.15">
      <c r="A922" s="5"/>
      <c r="B922" s="3"/>
      <c r="C922" s="3"/>
      <c r="D922" s="3"/>
      <c r="E922" s="3"/>
      <c r="F922" s="3"/>
      <c r="G922" s="3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</row>
    <row r="923" spans="1:31" ht="14" x14ac:dyDescent="0.15">
      <c r="A923" s="5"/>
      <c r="B923" s="3"/>
      <c r="C923" s="3"/>
      <c r="D923" s="3"/>
      <c r="E923" s="3"/>
      <c r="F923" s="3"/>
      <c r="G923" s="3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</row>
    <row r="924" spans="1:31" ht="14" x14ac:dyDescent="0.15">
      <c r="A924" s="5"/>
      <c r="B924" s="3"/>
      <c r="C924" s="3"/>
      <c r="D924" s="3"/>
      <c r="E924" s="3"/>
      <c r="F924" s="3"/>
      <c r="G924" s="3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</row>
    <row r="925" spans="1:31" ht="14" x14ac:dyDescent="0.15">
      <c r="A925" s="5"/>
      <c r="B925" s="3"/>
      <c r="C925" s="3"/>
      <c r="D925" s="3"/>
      <c r="E925" s="3"/>
      <c r="F925" s="3"/>
      <c r="G925" s="3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</row>
    <row r="926" spans="1:31" ht="14" x14ac:dyDescent="0.15">
      <c r="A926" s="5"/>
      <c r="B926" s="3"/>
      <c r="C926" s="3"/>
      <c r="D926" s="3"/>
      <c r="E926" s="3"/>
      <c r="F926" s="3"/>
      <c r="G926" s="3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</row>
    <row r="927" spans="1:31" ht="14" x14ac:dyDescent="0.15">
      <c r="A927" s="5"/>
      <c r="B927" s="3"/>
      <c r="C927" s="3"/>
      <c r="D927" s="3"/>
      <c r="E927" s="3"/>
      <c r="F927" s="3"/>
      <c r="G927" s="3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</row>
    <row r="928" spans="1:31" ht="14" x14ac:dyDescent="0.15">
      <c r="A928" s="5"/>
      <c r="B928" s="3"/>
      <c r="C928" s="3"/>
      <c r="D928" s="3"/>
      <c r="E928" s="3"/>
      <c r="F928" s="3"/>
      <c r="G928" s="3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</row>
    <row r="929" spans="1:31" ht="14" x14ac:dyDescent="0.15">
      <c r="A929" s="5"/>
      <c r="B929" s="3"/>
      <c r="C929" s="3"/>
      <c r="D929" s="3"/>
      <c r="E929" s="3"/>
      <c r="F929" s="3"/>
      <c r="G929" s="3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</row>
    <row r="930" spans="1:31" ht="14" x14ac:dyDescent="0.15">
      <c r="A930" s="5"/>
      <c r="B930" s="3"/>
      <c r="C930" s="3"/>
      <c r="D930" s="3"/>
      <c r="E930" s="3"/>
      <c r="F930" s="3"/>
      <c r="G930" s="3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</row>
    <row r="931" spans="1:31" ht="14" x14ac:dyDescent="0.15">
      <c r="A931" s="5"/>
      <c r="B931" s="3"/>
      <c r="C931" s="3"/>
      <c r="D931" s="3"/>
      <c r="E931" s="3"/>
      <c r="F931" s="3"/>
      <c r="G931" s="3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</row>
    <row r="932" spans="1:31" ht="14" x14ac:dyDescent="0.15">
      <c r="A932" s="5"/>
      <c r="B932" s="3"/>
      <c r="C932" s="3"/>
      <c r="D932" s="3"/>
      <c r="E932" s="3"/>
      <c r="F932" s="3"/>
      <c r="G932" s="3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</row>
    <row r="933" spans="1:31" ht="14" x14ac:dyDescent="0.15">
      <c r="A933" s="5"/>
      <c r="B933" s="3"/>
      <c r="C933" s="3"/>
      <c r="D933" s="3"/>
      <c r="E933" s="3"/>
      <c r="F933" s="3"/>
      <c r="G933" s="3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</row>
    <row r="934" spans="1:31" ht="14" x14ac:dyDescent="0.15">
      <c r="A934" s="5"/>
      <c r="B934" s="3"/>
      <c r="C934" s="3"/>
      <c r="D934" s="3"/>
      <c r="E934" s="3"/>
      <c r="F934" s="3"/>
      <c r="G934" s="3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</row>
    <row r="935" spans="1:31" ht="14" x14ac:dyDescent="0.15">
      <c r="A935" s="5"/>
      <c r="B935" s="3"/>
      <c r="C935" s="3"/>
      <c r="D935" s="3"/>
      <c r="E935" s="3"/>
      <c r="F935" s="3"/>
      <c r="G935" s="3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</row>
    <row r="936" spans="1:31" ht="14" x14ac:dyDescent="0.15">
      <c r="A936" s="5"/>
      <c r="B936" s="3"/>
      <c r="C936" s="3"/>
      <c r="D936" s="3"/>
      <c r="E936" s="3"/>
      <c r="F936" s="3"/>
      <c r="G936" s="3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</row>
    <row r="937" spans="1:31" ht="14" x14ac:dyDescent="0.15">
      <c r="A937" s="5"/>
      <c r="B937" s="3"/>
      <c r="C937" s="3"/>
      <c r="D937" s="3"/>
      <c r="E937" s="3"/>
      <c r="F937" s="3"/>
      <c r="G937" s="3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</row>
    <row r="938" spans="1:31" ht="14" x14ac:dyDescent="0.15">
      <c r="A938" s="5"/>
      <c r="B938" s="3"/>
      <c r="C938" s="3"/>
      <c r="D938" s="3"/>
      <c r="E938" s="3"/>
      <c r="F938" s="3"/>
      <c r="G938" s="3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</row>
    <row r="939" spans="1:31" ht="14" x14ac:dyDescent="0.15">
      <c r="A939" s="5"/>
      <c r="B939" s="3"/>
      <c r="C939" s="3"/>
      <c r="D939" s="3"/>
      <c r="E939" s="3"/>
      <c r="F939" s="3"/>
      <c r="G939" s="3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</row>
    <row r="940" spans="1:31" ht="14" x14ac:dyDescent="0.15">
      <c r="A940" s="5"/>
      <c r="B940" s="3"/>
      <c r="C940" s="3"/>
      <c r="D940" s="3"/>
      <c r="E940" s="3"/>
      <c r="F940" s="3"/>
      <c r="G940" s="3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</row>
    <row r="941" spans="1:31" ht="14" x14ac:dyDescent="0.15">
      <c r="A941" s="5"/>
      <c r="B941" s="3"/>
      <c r="C941" s="3"/>
      <c r="D941" s="3"/>
      <c r="E941" s="3"/>
      <c r="F941" s="3"/>
      <c r="G941" s="3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</row>
    <row r="942" spans="1:31" ht="14" x14ac:dyDescent="0.15">
      <c r="A942" s="5"/>
      <c r="B942" s="3"/>
      <c r="C942" s="3"/>
      <c r="D942" s="3"/>
      <c r="E942" s="3"/>
      <c r="F942" s="3"/>
      <c r="G942" s="3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</row>
    <row r="943" spans="1:31" ht="14" x14ac:dyDescent="0.15">
      <c r="A943" s="5"/>
      <c r="B943" s="3"/>
      <c r="C943" s="3"/>
      <c r="D943" s="3"/>
      <c r="E943" s="3"/>
      <c r="F943" s="3"/>
      <c r="G943" s="3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</row>
    <row r="944" spans="1:31" ht="14" x14ac:dyDescent="0.15">
      <c r="A944" s="5"/>
      <c r="B944" s="3"/>
      <c r="C944" s="3"/>
      <c r="D944" s="3"/>
      <c r="E944" s="3"/>
      <c r="F944" s="3"/>
      <c r="G944" s="3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</row>
    <row r="945" spans="1:31" ht="14" x14ac:dyDescent="0.15">
      <c r="A945" s="5"/>
      <c r="B945" s="3"/>
      <c r="C945" s="3"/>
      <c r="D945" s="3"/>
      <c r="E945" s="3"/>
      <c r="F945" s="3"/>
      <c r="G945" s="3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</row>
    <row r="946" spans="1:31" ht="14" x14ac:dyDescent="0.15">
      <c r="A946" s="5"/>
      <c r="B946" s="3"/>
      <c r="C946" s="3"/>
      <c r="D946" s="3"/>
      <c r="E946" s="3"/>
      <c r="F946" s="3"/>
      <c r="G946" s="3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</row>
    <row r="947" spans="1:31" ht="14" x14ac:dyDescent="0.15">
      <c r="A947" s="5"/>
      <c r="B947" s="3"/>
      <c r="C947" s="3"/>
      <c r="D947" s="3"/>
      <c r="E947" s="3"/>
      <c r="F947" s="3"/>
      <c r="G947" s="3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</row>
    <row r="948" spans="1:31" ht="14" x14ac:dyDescent="0.15">
      <c r="A948" s="5"/>
      <c r="B948" s="3"/>
      <c r="C948" s="3"/>
      <c r="D948" s="3"/>
      <c r="E948" s="3"/>
      <c r="F948" s="3"/>
      <c r="G948" s="3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</row>
    <row r="949" spans="1:31" ht="14" x14ac:dyDescent="0.15">
      <c r="A949" s="5"/>
      <c r="B949" s="3"/>
      <c r="C949" s="3"/>
      <c r="D949" s="3"/>
      <c r="E949" s="3"/>
      <c r="F949" s="3"/>
      <c r="G949" s="3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</row>
    <row r="950" spans="1:31" ht="14" x14ac:dyDescent="0.15">
      <c r="A950" s="5"/>
      <c r="B950" s="3"/>
      <c r="C950" s="3"/>
      <c r="D950" s="3"/>
      <c r="E950" s="3"/>
      <c r="F950" s="3"/>
      <c r="G950" s="3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</row>
    <row r="951" spans="1:31" ht="14" x14ac:dyDescent="0.15">
      <c r="A951" s="5"/>
      <c r="B951" s="3"/>
      <c r="C951" s="3"/>
      <c r="D951" s="3"/>
      <c r="E951" s="3"/>
      <c r="F951" s="3"/>
      <c r="G951" s="3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</row>
    <row r="952" spans="1:31" ht="14" x14ac:dyDescent="0.15">
      <c r="A952" s="5"/>
      <c r="B952" s="3"/>
      <c r="C952" s="3"/>
      <c r="D952" s="3"/>
      <c r="E952" s="3"/>
      <c r="F952" s="3"/>
      <c r="G952" s="3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</row>
    <row r="953" spans="1:31" ht="14" x14ac:dyDescent="0.15">
      <c r="A953" s="5"/>
      <c r="B953" s="3"/>
      <c r="C953" s="3"/>
      <c r="D953" s="3"/>
      <c r="E953" s="3"/>
      <c r="F953" s="3"/>
      <c r="G953" s="3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</row>
    <row r="954" spans="1:31" ht="14" x14ac:dyDescent="0.15">
      <c r="A954" s="5"/>
      <c r="B954" s="3"/>
      <c r="C954" s="3"/>
      <c r="D954" s="3"/>
      <c r="E954" s="3"/>
      <c r="F954" s="3"/>
      <c r="G954" s="3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</row>
    <row r="955" spans="1:31" ht="14" x14ac:dyDescent="0.15">
      <c r="A955" s="5"/>
      <c r="B955" s="3"/>
      <c r="C955" s="3"/>
      <c r="D955" s="3"/>
      <c r="E955" s="3"/>
      <c r="F955" s="3"/>
      <c r="G955" s="3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</row>
    <row r="956" spans="1:31" ht="14" x14ac:dyDescent="0.15">
      <c r="A956" s="5"/>
      <c r="B956" s="3"/>
      <c r="C956" s="3"/>
      <c r="D956" s="3"/>
      <c r="E956" s="3"/>
      <c r="F956" s="3"/>
      <c r="G956" s="3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</row>
    <row r="957" spans="1:31" ht="14" x14ac:dyDescent="0.15">
      <c r="A957" s="5"/>
      <c r="B957" s="3"/>
      <c r="C957" s="3"/>
      <c r="D957" s="3"/>
      <c r="E957" s="3"/>
      <c r="F957" s="3"/>
      <c r="G957" s="3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</row>
    <row r="958" spans="1:31" ht="14" x14ac:dyDescent="0.15">
      <c r="A958" s="5"/>
      <c r="B958" s="3"/>
      <c r="C958" s="3"/>
      <c r="D958" s="3"/>
      <c r="E958" s="3"/>
      <c r="F958" s="3"/>
      <c r="G958" s="3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</row>
    <row r="959" spans="1:31" ht="14" x14ac:dyDescent="0.15">
      <c r="A959" s="5"/>
      <c r="B959" s="3"/>
      <c r="C959" s="3"/>
      <c r="D959" s="3"/>
      <c r="E959" s="3"/>
      <c r="F959" s="3"/>
      <c r="G959" s="3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</row>
    <row r="960" spans="1:31" ht="14" x14ac:dyDescent="0.15">
      <c r="A960" s="5"/>
      <c r="B960" s="3"/>
      <c r="C960" s="3"/>
      <c r="D960" s="3"/>
      <c r="E960" s="3"/>
      <c r="F960" s="3"/>
      <c r="G960" s="3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</row>
    <row r="961" spans="1:31" ht="14" x14ac:dyDescent="0.15">
      <c r="A961" s="5"/>
      <c r="B961" s="3"/>
      <c r="C961" s="3"/>
      <c r="D961" s="3"/>
      <c r="E961" s="3"/>
      <c r="F961" s="3"/>
      <c r="G961" s="3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</row>
    <row r="962" spans="1:31" ht="14" x14ac:dyDescent="0.15">
      <c r="A962" s="5"/>
      <c r="B962" s="3"/>
      <c r="C962" s="3"/>
      <c r="D962" s="3"/>
      <c r="E962" s="3"/>
      <c r="F962" s="3"/>
      <c r="G962" s="3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</row>
    <row r="963" spans="1:31" ht="14" x14ac:dyDescent="0.15">
      <c r="A963" s="5"/>
      <c r="B963" s="3"/>
      <c r="C963" s="3"/>
      <c r="D963" s="3"/>
      <c r="E963" s="3"/>
      <c r="F963" s="3"/>
      <c r="G963" s="3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</row>
    <row r="964" spans="1:31" ht="14" x14ac:dyDescent="0.15">
      <c r="A964" s="5"/>
      <c r="B964" s="3"/>
      <c r="C964" s="3"/>
      <c r="D964" s="3"/>
      <c r="E964" s="3"/>
      <c r="F964" s="3"/>
      <c r="G964" s="3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</row>
    <row r="965" spans="1:31" ht="14" x14ac:dyDescent="0.15">
      <c r="A965" s="5"/>
      <c r="B965" s="3"/>
      <c r="C965" s="3"/>
      <c r="D965" s="3"/>
      <c r="E965" s="3"/>
      <c r="F965" s="3"/>
      <c r="G965" s="3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</row>
    <row r="966" spans="1:31" ht="14" x14ac:dyDescent="0.15">
      <c r="A966" s="5"/>
      <c r="B966" s="3"/>
      <c r="C966" s="3"/>
      <c r="D966" s="3"/>
      <c r="E966" s="3"/>
      <c r="F966" s="3"/>
      <c r="G966" s="3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</row>
    <row r="967" spans="1:31" ht="14" x14ac:dyDescent="0.15">
      <c r="A967" s="5"/>
      <c r="B967" s="3"/>
      <c r="C967" s="3"/>
      <c r="D967" s="3"/>
      <c r="E967" s="3"/>
      <c r="F967" s="3"/>
      <c r="G967" s="3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</row>
    <row r="968" spans="1:31" ht="14" x14ac:dyDescent="0.15">
      <c r="A968" s="5"/>
      <c r="B968" s="3"/>
      <c r="C968" s="3"/>
      <c r="D968" s="3"/>
      <c r="E968" s="3"/>
      <c r="F968" s="3"/>
      <c r="G968" s="3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</row>
    <row r="969" spans="1:31" ht="14" x14ac:dyDescent="0.15">
      <c r="A969" s="5"/>
      <c r="B969" s="3"/>
      <c r="C969" s="3"/>
      <c r="D969" s="3"/>
      <c r="E969" s="3"/>
      <c r="F969" s="3"/>
      <c r="G969" s="3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</row>
    <row r="970" spans="1:31" ht="14" x14ac:dyDescent="0.15">
      <c r="A970" s="5"/>
      <c r="B970" s="3"/>
      <c r="C970" s="3"/>
      <c r="D970" s="3"/>
      <c r="E970" s="3"/>
      <c r="F970" s="3"/>
      <c r="G970" s="3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</row>
    <row r="971" spans="1:31" ht="14" x14ac:dyDescent="0.15">
      <c r="A971" s="5"/>
      <c r="B971" s="3"/>
      <c r="C971" s="3"/>
      <c r="D971" s="3"/>
      <c r="E971" s="3"/>
      <c r="F971" s="3"/>
      <c r="G971" s="3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</row>
    <row r="972" spans="1:31" ht="14" x14ac:dyDescent="0.15">
      <c r="A972" s="5"/>
      <c r="B972" s="3"/>
      <c r="C972" s="3"/>
      <c r="D972" s="3"/>
      <c r="E972" s="3"/>
      <c r="F972" s="3"/>
      <c r="G972" s="3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</row>
    <row r="973" spans="1:31" ht="14" x14ac:dyDescent="0.15">
      <c r="A973" s="5"/>
      <c r="B973" s="3"/>
      <c r="C973" s="3"/>
      <c r="D973" s="3"/>
      <c r="E973" s="3"/>
      <c r="F973" s="3"/>
      <c r="G973" s="3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</row>
    <row r="974" spans="1:31" ht="14" x14ac:dyDescent="0.15">
      <c r="A974" s="5"/>
      <c r="B974" s="3"/>
      <c r="C974" s="3"/>
      <c r="D974" s="3"/>
      <c r="E974" s="3"/>
      <c r="F974" s="3"/>
      <c r="G974" s="3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</row>
    <row r="975" spans="1:31" ht="14" x14ac:dyDescent="0.15">
      <c r="A975" s="5"/>
      <c r="B975" s="3"/>
      <c r="C975" s="3"/>
      <c r="D975" s="3"/>
      <c r="E975" s="3"/>
      <c r="F975" s="3"/>
      <c r="G975" s="3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</row>
    <row r="976" spans="1:31" ht="14" x14ac:dyDescent="0.15">
      <c r="A976" s="5"/>
      <c r="B976" s="3"/>
      <c r="C976" s="3"/>
      <c r="D976" s="3"/>
      <c r="E976" s="3"/>
      <c r="F976" s="3"/>
      <c r="G976" s="3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</row>
    <row r="977" spans="1:31" ht="14" x14ac:dyDescent="0.15">
      <c r="A977" s="5"/>
      <c r="B977" s="3"/>
      <c r="C977" s="3"/>
      <c r="D977" s="3"/>
      <c r="E977" s="3"/>
      <c r="F977" s="3"/>
      <c r="G977" s="3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</row>
    <row r="978" spans="1:31" ht="14" x14ac:dyDescent="0.15">
      <c r="A978" s="5"/>
      <c r="B978" s="3"/>
      <c r="C978" s="3"/>
      <c r="D978" s="3"/>
      <c r="E978" s="3"/>
      <c r="F978" s="3"/>
      <c r="G978" s="3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</row>
    <row r="979" spans="1:31" ht="14" x14ac:dyDescent="0.15">
      <c r="A979" s="5"/>
      <c r="B979" s="3"/>
      <c r="C979" s="3"/>
      <c r="D979" s="3"/>
      <c r="E979" s="3"/>
      <c r="F979" s="3"/>
      <c r="G979" s="3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</row>
    <row r="980" spans="1:31" ht="14" x14ac:dyDescent="0.15">
      <c r="A980" s="5"/>
      <c r="B980" s="3"/>
      <c r="C980" s="3"/>
      <c r="D980" s="3"/>
      <c r="E980" s="3"/>
      <c r="F980" s="3"/>
      <c r="G980" s="3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</row>
    <row r="981" spans="1:31" ht="14" x14ac:dyDescent="0.15">
      <c r="A981" s="5"/>
      <c r="B981" s="3"/>
      <c r="C981" s="3"/>
      <c r="D981" s="3"/>
      <c r="E981" s="3"/>
      <c r="F981" s="3"/>
      <c r="G981" s="3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</row>
    <row r="982" spans="1:31" ht="14" x14ac:dyDescent="0.15">
      <c r="A982" s="5"/>
      <c r="B982" s="3"/>
      <c r="C982" s="3"/>
      <c r="D982" s="3"/>
      <c r="E982" s="3"/>
      <c r="F982" s="3"/>
      <c r="G982" s="3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</row>
    <row r="983" spans="1:31" ht="14" x14ac:dyDescent="0.15">
      <c r="A983" s="5"/>
      <c r="B983" s="3"/>
      <c r="C983" s="3"/>
      <c r="D983" s="3"/>
      <c r="E983" s="3"/>
      <c r="F983" s="3"/>
      <c r="G983" s="3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</row>
    <row r="984" spans="1:31" ht="14" x14ac:dyDescent="0.15">
      <c r="A984" s="5"/>
      <c r="B984" s="3"/>
      <c r="C984" s="3"/>
      <c r="D984" s="3"/>
      <c r="E984" s="3"/>
      <c r="F984" s="3"/>
      <c r="G984" s="3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</row>
    <row r="985" spans="1:31" ht="14" x14ac:dyDescent="0.15">
      <c r="A985" s="5"/>
      <c r="B985" s="3"/>
      <c r="C985" s="3"/>
      <c r="D985" s="3"/>
      <c r="E985" s="3"/>
      <c r="F985" s="3"/>
      <c r="G985" s="3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</row>
    <row r="986" spans="1:31" ht="14" x14ac:dyDescent="0.15">
      <c r="A986" s="5"/>
      <c r="B986" s="3"/>
      <c r="C986" s="3"/>
      <c r="D986" s="3"/>
      <c r="E986" s="3"/>
      <c r="F986" s="3"/>
      <c r="G986" s="3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</row>
    <row r="987" spans="1:31" ht="14" x14ac:dyDescent="0.15">
      <c r="A987" s="5"/>
      <c r="B987" s="3"/>
      <c r="C987" s="3"/>
      <c r="D987" s="3"/>
      <c r="E987" s="3"/>
      <c r="F987" s="3"/>
      <c r="G987" s="3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</row>
    <row r="988" spans="1:31" ht="14" x14ac:dyDescent="0.15">
      <c r="A988" s="5"/>
      <c r="B988" s="3"/>
      <c r="C988" s="3"/>
      <c r="D988" s="3"/>
      <c r="E988" s="3"/>
      <c r="F988" s="3"/>
      <c r="G988" s="3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</row>
    <row r="989" spans="1:31" ht="14" x14ac:dyDescent="0.15">
      <c r="A989" s="5"/>
      <c r="B989" s="3"/>
      <c r="C989" s="3"/>
      <c r="D989" s="3"/>
      <c r="E989" s="3"/>
      <c r="F989" s="3"/>
      <c r="G989" s="3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</row>
    <row r="990" spans="1:31" ht="14" x14ac:dyDescent="0.15">
      <c r="A990" s="5"/>
      <c r="B990" s="3"/>
      <c r="C990" s="3"/>
      <c r="D990" s="3"/>
      <c r="E990" s="3"/>
      <c r="F990" s="3"/>
      <c r="G990" s="3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</row>
    <row r="991" spans="1:31" ht="14" x14ac:dyDescent="0.15">
      <c r="A991" s="5"/>
      <c r="B991" s="3"/>
      <c r="C991" s="3"/>
      <c r="D991" s="3"/>
      <c r="E991" s="3"/>
      <c r="F991" s="3"/>
      <c r="G991" s="3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</row>
    <row r="992" spans="1:31" ht="14" x14ac:dyDescent="0.15">
      <c r="A992" s="5"/>
      <c r="B992" s="3"/>
      <c r="C992" s="3"/>
      <c r="D992" s="3"/>
      <c r="E992" s="3"/>
      <c r="F992" s="3"/>
      <c r="G992" s="3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</row>
    <row r="993" spans="1:31" ht="14" x14ac:dyDescent="0.15">
      <c r="A993" s="5"/>
      <c r="B993" s="3"/>
      <c r="C993" s="3"/>
      <c r="D993" s="3"/>
      <c r="E993" s="3"/>
      <c r="F993" s="3"/>
      <c r="G993" s="3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</row>
    <row r="994" spans="1:31" ht="14" x14ac:dyDescent="0.15">
      <c r="A994" s="5"/>
      <c r="B994" s="3"/>
      <c r="C994" s="3"/>
      <c r="D994" s="3"/>
      <c r="E994" s="3"/>
      <c r="F994" s="3"/>
      <c r="G994" s="3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</row>
    <row r="995" spans="1:31" ht="14" x14ac:dyDescent="0.15">
      <c r="A995" s="5"/>
      <c r="B995" s="3"/>
      <c r="C995" s="3"/>
      <c r="D995" s="3"/>
      <c r="E995" s="3"/>
      <c r="F995" s="3"/>
      <c r="G995" s="3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</row>
    <row r="996" spans="1:31" ht="14" x14ac:dyDescent="0.15">
      <c r="A996" s="5"/>
      <c r="B996" s="3"/>
      <c r="C996" s="3"/>
      <c r="D996" s="3"/>
      <c r="E996" s="3"/>
      <c r="F996" s="3"/>
      <c r="G996" s="3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</row>
    <row r="997" spans="1:31" ht="14" x14ac:dyDescent="0.15">
      <c r="A997" s="5"/>
      <c r="B997" s="3"/>
      <c r="C997" s="3"/>
      <c r="D997" s="3"/>
      <c r="E997" s="3"/>
      <c r="F997" s="3"/>
      <c r="G997" s="3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</row>
    <row r="998" spans="1:31" ht="14" x14ac:dyDescent="0.15">
      <c r="A998" s="5"/>
      <c r="B998" s="3"/>
      <c r="C998" s="3"/>
      <c r="D998" s="3"/>
      <c r="E998" s="3"/>
      <c r="F998" s="3"/>
      <c r="G998" s="3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</row>
    <row r="999" spans="1:31" ht="14" x14ac:dyDescent="0.15">
      <c r="A999" s="5"/>
      <c r="B999" s="3"/>
      <c r="C999" s="3"/>
      <c r="D999" s="3"/>
      <c r="E999" s="3"/>
      <c r="F999" s="3"/>
      <c r="G999" s="3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</row>
    <row r="1000" spans="1:31" ht="14" x14ac:dyDescent="0.15">
      <c r="A1000" s="5"/>
      <c r="B1000" s="3"/>
      <c r="C1000" s="3"/>
      <c r="D1000" s="3"/>
      <c r="E1000" s="3"/>
      <c r="F1000" s="3"/>
      <c r="G1000" s="3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</row>
    <row r="1001" spans="1:31" ht="14" x14ac:dyDescent="0.15">
      <c r="A1001" s="5"/>
      <c r="B1001" s="3"/>
      <c r="C1001" s="3"/>
      <c r="D1001" s="3"/>
      <c r="E1001" s="3"/>
      <c r="F1001" s="3"/>
      <c r="G1001" s="3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</row>
    <row r="1002" spans="1:31" ht="14" x14ac:dyDescent="0.15">
      <c r="A1002" s="5"/>
      <c r="B1002" s="3"/>
      <c r="C1002" s="3"/>
      <c r="D1002" s="3"/>
      <c r="E1002" s="3"/>
      <c r="F1002" s="3"/>
      <c r="G1002" s="3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  <c r="AA1002" s="5"/>
      <c r="AB1002" s="5"/>
      <c r="AC1002" s="5"/>
      <c r="AD1002" s="5"/>
      <c r="AE1002" s="5"/>
    </row>
    <row r="1003" spans="1:31" ht="14" x14ac:dyDescent="0.15">
      <c r="A1003" s="5"/>
      <c r="B1003" s="3"/>
      <c r="C1003" s="3"/>
      <c r="D1003" s="3"/>
      <c r="E1003" s="3"/>
      <c r="F1003" s="3"/>
      <c r="G1003" s="3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  <c r="AA1003" s="5"/>
      <c r="AB1003" s="5"/>
      <c r="AC1003" s="5"/>
      <c r="AD1003" s="5"/>
      <c r="AE1003" s="5"/>
    </row>
    <row r="1004" spans="1:31" ht="14" x14ac:dyDescent="0.15">
      <c r="A1004" s="5"/>
      <c r="B1004" s="3"/>
      <c r="C1004" s="3"/>
      <c r="D1004" s="3"/>
      <c r="E1004" s="3"/>
      <c r="F1004" s="3"/>
      <c r="G1004" s="3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  <c r="AA1004" s="5"/>
      <c r="AB1004" s="5"/>
      <c r="AC1004" s="5"/>
      <c r="AD1004" s="5"/>
      <c r="AE1004" s="5"/>
    </row>
    <row r="1005" spans="1:31" ht="14" x14ac:dyDescent="0.15">
      <c r="A1005" s="5"/>
      <c r="B1005" s="3"/>
      <c r="C1005" s="3"/>
      <c r="D1005" s="3"/>
      <c r="E1005" s="3"/>
      <c r="F1005" s="3"/>
      <c r="G1005" s="3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  <c r="AA1005" s="5"/>
      <c r="AB1005" s="5"/>
      <c r="AC1005" s="5"/>
      <c r="AD1005" s="5"/>
      <c r="AE1005" s="5"/>
    </row>
    <row r="1006" spans="1:31" ht="14" x14ac:dyDescent="0.15">
      <c r="A1006" s="5"/>
      <c r="B1006" s="3"/>
      <c r="C1006" s="3"/>
      <c r="D1006" s="3"/>
      <c r="E1006" s="3"/>
      <c r="F1006" s="3"/>
      <c r="G1006" s="3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  <c r="AA1006" s="5"/>
      <c r="AB1006" s="5"/>
      <c r="AC1006" s="5"/>
      <c r="AD1006" s="5"/>
      <c r="AE1006" s="5"/>
    </row>
    <row r="1007" spans="1:31" ht="14" x14ac:dyDescent="0.15">
      <c r="A1007" s="5"/>
      <c r="B1007" s="3"/>
      <c r="C1007" s="3"/>
      <c r="D1007" s="3"/>
      <c r="E1007" s="3"/>
      <c r="F1007" s="3"/>
      <c r="G1007" s="3"/>
      <c r="H1007" s="5"/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  <c r="AA1007" s="5"/>
      <c r="AB1007" s="5"/>
      <c r="AC1007" s="5"/>
      <c r="AD1007" s="5"/>
      <c r="AE1007" s="5"/>
    </row>
    <row r="1008" spans="1:31" ht="14" x14ac:dyDescent="0.15">
      <c r="A1008" s="5"/>
      <c r="B1008" s="3"/>
      <c r="C1008" s="3"/>
      <c r="D1008" s="3"/>
      <c r="E1008" s="3"/>
      <c r="F1008" s="3"/>
      <c r="G1008" s="3"/>
      <c r="H1008" s="5"/>
      <c r="I1008" s="5"/>
      <c r="J1008" s="5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  <c r="AA1008" s="5"/>
      <c r="AB1008" s="5"/>
      <c r="AC1008" s="5"/>
      <c r="AD1008" s="5"/>
      <c r="AE1008" s="5"/>
    </row>
    <row r="1009" spans="1:31" ht="14" x14ac:dyDescent="0.15">
      <c r="A1009" s="5"/>
      <c r="B1009" s="3"/>
      <c r="C1009" s="3"/>
      <c r="D1009" s="3"/>
      <c r="E1009" s="3"/>
      <c r="F1009" s="3"/>
      <c r="G1009" s="3"/>
      <c r="H1009" s="5"/>
      <c r="I1009" s="5"/>
      <c r="J1009" s="5"/>
      <c r="K1009" s="5"/>
      <c r="L1009" s="5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  <c r="Z1009" s="5"/>
      <c r="AA1009" s="5"/>
      <c r="AB1009" s="5"/>
      <c r="AC1009" s="5"/>
      <c r="AD1009" s="5"/>
      <c r="AE1009" s="5"/>
    </row>
    <row r="1010" spans="1:31" ht="14" x14ac:dyDescent="0.15">
      <c r="A1010" s="5"/>
      <c r="B1010" s="3"/>
      <c r="C1010" s="3"/>
      <c r="D1010" s="3"/>
      <c r="E1010" s="3"/>
      <c r="F1010" s="3"/>
      <c r="G1010" s="3"/>
      <c r="H1010" s="5"/>
      <c r="I1010" s="5"/>
      <c r="J1010" s="5"/>
      <c r="K1010" s="5"/>
      <c r="L1010" s="5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  <c r="Z1010" s="5"/>
      <c r="AA1010" s="5"/>
      <c r="AB1010" s="5"/>
      <c r="AC1010" s="5"/>
      <c r="AD1010" s="5"/>
      <c r="AE1010" s="5"/>
    </row>
    <row r="1011" spans="1:31" ht="14" x14ac:dyDescent="0.15">
      <c r="A1011" s="5"/>
      <c r="B1011" s="3"/>
      <c r="C1011" s="3"/>
      <c r="D1011" s="3"/>
      <c r="E1011" s="3"/>
      <c r="F1011" s="3"/>
      <c r="G1011" s="3"/>
      <c r="H1011" s="5"/>
      <c r="I1011" s="5"/>
      <c r="J1011" s="5"/>
      <c r="K1011" s="5"/>
      <c r="L1011" s="5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  <c r="Z1011" s="5"/>
      <c r="AA1011" s="5"/>
      <c r="AB1011" s="5"/>
      <c r="AC1011" s="5"/>
      <c r="AD1011" s="5"/>
      <c r="AE1011" s="5"/>
    </row>
    <row r="1012" spans="1:31" ht="14" x14ac:dyDescent="0.15">
      <c r="A1012" s="5"/>
      <c r="B1012" s="3"/>
      <c r="C1012" s="3"/>
      <c r="D1012" s="3"/>
      <c r="E1012" s="3"/>
      <c r="F1012" s="3"/>
      <c r="G1012" s="3"/>
      <c r="H1012" s="5"/>
      <c r="I1012" s="5"/>
      <c r="J1012" s="5"/>
      <c r="K1012" s="5"/>
      <c r="L1012" s="5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  <c r="Z1012" s="5"/>
      <c r="AA1012" s="5"/>
      <c r="AB1012" s="5"/>
      <c r="AC1012" s="5"/>
      <c r="AD1012" s="5"/>
      <c r="AE1012" s="5"/>
    </row>
    <row r="1013" spans="1:31" ht="14" x14ac:dyDescent="0.15">
      <c r="A1013" s="5"/>
      <c r="B1013" s="3"/>
      <c r="C1013" s="3"/>
      <c r="D1013" s="3"/>
      <c r="E1013" s="3"/>
      <c r="F1013" s="3"/>
      <c r="G1013" s="3"/>
      <c r="H1013" s="5"/>
      <c r="I1013" s="5"/>
      <c r="J1013" s="5"/>
      <c r="K1013" s="5"/>
      <c r="L1013" s="5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  <c r="Y1013" s="5"/>
      <c r="Z1013" s="5"/>
      <c r="AA1013" s="5"/>
      <c r="AB1013" s="5"/>
      <c r="AC1013" s="5"/>
      <c r="AD1013" s="5"/>
      <c r="AE1013" s="5"/>
    </row>
    <row r="1014" spans="1:31" ht="14" x14ac:dyDescent="0.15">
      <c r="A1014" s="5"/>
      <c r="B1014" s="3"/>
      <c r="C1014" s="3"/>
      <c r="D1014" s="3"/>
      <c r="E1014" s="3"/>
      <c r="F1014" s="3"/>
      <c r="G1014" s="3"/>
      <c r="H1014" s="5"/>
      <c r="I1014" s="5"/>
      <c r="J1014" s="5"/>
      <c r="K1014" s="5"/>
      <c r="L1014" s="5"/>
      <c r="M1014" s="5"/>
      <c r="N1014" s="5"/>
      <c r="O1014" s="5"/>
      <c r="P1014" s="5"/>
      <c r="Q1014" s="5"/>
      <c r="R1014" s="5"/>
      <c r="S1014" s="5"/>
      <c r="T1014" s="5"/>
      <c r="U1014" s="5"/>
      <c r="V1014" s="5"/>
      <c r="W1014" s="5"/>
      <c r="X1014" s="5"/>
      <c r="Y1014" s="5"/>
      <c r="Z1014" s="5"/>
      <c r="AA1014" s="5"/>
      <c r="AB1014" s="5"/>
      <c r="AC1014" s="5"/>
      <c r="AD1014" s="5"/>
      <c r="AE1014" s="5"/>
    </row>
    <row r="1015" spans="1:31" ht="14" x14ac:dyDescent="0.15">
      <c r="A1015" s="5"/>
      <c r="B1015" s="3"/>
      <c r="C1015" s="3"/>
      <c r="D1015" s="3"/>
      <c r="E1015" s="3"/>
      <c r="F1015" s="3"/>
      <c r="G1015" s="3"/>
      <c r="H1015" s="5"/>
      <c r="I1015" s="5"/>
      <c r="J1015" s="5"/>
      <c r="K1015" s="5"/>
      <c r="L1015" s="5"/>
      <c r="M1015" s="5"/>
      <c r="N1015" s="5"/>
      <c r="O1015" s="5"/>
      <c r="P1015" s="5"/>
      <c r="Q1015" s="5"/>
      <c r="R1015" s="5"/>
      <c r="S1015" s="5"/>
      <c r="T1015" s="5"/>
      <c r="U1015" s="5"/>
      <c r="V1015" s="5"/>
      <c r="W1015" s="5"/>
      <c r="X1015" s="5"/>
      <c r="Y1015" s="5"/>
      <c r="Z1015" s="5"/>
      <c r="AA1015" s="5"/>
      <c r="AB1015" s="5"/>
      <c r="AC1015" s="5"/>
      <c r="AD1015" s="5"/>
      <c r="AE1015" s="5"/>
    </row>
    <row r="1016" spans="1:31" ht="14" x14ac:dyDescent="0.15">
      <c r="A1016" s="5"/>
      <c r="B1016" s="3"/>
      <c r="C1016" s="3"/>
      <c r="D1016" s="3"/>
      <c r="E1016" s="3"/>
      <c r="F1016" s="3"/>
      <c r="G1016" s="3"/>
      <c r="H1016" s="5"/>
      <c r="I1016" s="5"/>
      <c r="J1016" s="5"/>
      <c r="K1016" s="5"/>
      <c r="L1016" s="5"/>
      <c r="M1016" s="5"/>
      <c r="N1016" s="5"/>
      <c r="O1016" s="5"/>
      <c r="P1016" s="5"/>
      <c r="Q1016" s="5"/>
      <c r="R1016" s="5"/>
      <c r="S1016" s="5"/>
      <c r="T1016" s="5"/>
      <c r="U1016" s="5"/>
      <c r="V1016" s="5"/>
      <c r="W1016" s="5"/>
      <c r="X1016" s="5"/>
      <c r="Y1016" s="5"/>
      <c r="Z1016" s="5"/>
      <c r="AA1016" s="5"/>
      <c r="AB1016" s="5"/>
      <c r="AC1016" s="5"/>
      <c r="AD1016" s="5"/>
      <c r="AE1016" s="5"/>
    </row>
    <row r="1017" spans="1:31" ht="14" x14ac:dyDescent="0.15">
      <c r="A1017" s="5"/>
      <c r="B1017" s="3"/>
      <c r="C1017" s="3"/>
      <c r="D1017" s="3"/>
      <c r="E1017" s="3"/>
      <c r="F1017" s="3"/>
      <c r="G1017" s="3"/>
      <c r="H1017" s="5"/>
      <c r="I1017" s="5"/>
      <c r="J1017" s="5"/>
      <c r="K1017" s="5"/>
      <c r="L1017" s="5"/>
      <c r="M1017" s="5"/>
      <c r="N1017" s="5"/>
      <c r="O1017" s="5"/>
      <c r="P1017" s="5"/>
      <c r="Q1017" s="5"/>
      <c r="R1017" s="5"/>
      <c r="S1017" s="5"/>
      <c r="T1017" s="5"/>
      <c r="U1017" s="5"/>
      <c r="V1017" s="5"/>
      <c r="W1017" s="5"/>
      <c r="X1017" s="5"/>
      <c r="Y1017" s="5"/>
      <c r="Z1017" s="5"/>
      <c r="AA1017" s="5"/>
      <c r="AB1017" s="5"/>
      <c r="AC1017" s="5"/>
      <c r="AD1017" s="5"/>
      <c r="AE1017" s="5"/>
    </row>
    <row r="1018" spans="1:31" ht="14" x14ac:dyDescent="0.15">
      <c r="A1018" s="5"/>
      <c r="B1018" s="3"/>
      <c r="C1018" s="3"/>
      <c r="D1018" s="3"/>
      <c r="E1018" s="3"/>
      <c r="F1018" s="3"/>
      <c r="G1018" s="3"/>
      <c r="H1018" s="5"/>
      <c r="I1018" s="5"/>
      <c r="J1018" s="5"/>
      <c r="K1018" s="5"/>
      <c r="L1018" s="5"/>
      <c r="M1018" s="5"/>
      <c r="N1018" s="5"/>
      <c r="O1018" s="5"/>
      <c r="P1018" s="5"/>
      <c r="Q1018" s="5"/>
      <c r="R1018" s="5"/>
      <c r="S1018" s="5"/>
      <c r="T1018" s="5"/>
      <c r="U1018" s="5"/>
      <c r="V1018" s="5"/>
      <c r="W1018" s="5"/>
      <c r="X1018" s="5"/>
      <c r="Y1018" s="5"/>
      <c r="Z1018" s="5"/>
      <c r="AA1018" s="5"/>
      <c r="AB1018" s="5"/>
      <c r="AC1018" s="5"/>
      <c r="AD1018" s="5"/>
      <c r="AE1018" s="5"/>
    </row>
    <row r="1019" spans="1:31" ht="14" x14ac:dyDescent="0.15">
      <c r="A1019" s="5"/>
      <c r="B1019" s="3"/>
      <c r="C1019" s="3"/>
      <c r="D1019" s="3"/>
      <c r="E1019" s="3"/>
      <c r="F1019" s="3"/>
      <c r="G1019" s="3"/>
      <c r="H1019" s="5"/>
      <c r="I1019" s="5"/>
      <c r="J1019" s="5"/>
      <c r="K1019" s="5"/>
      <c r="L1019" s="5"/>
      <c r="M1019" s="5"/>
      <c r="N1019" s="5"/>
      <c r="O1019" s="5"/>
      <c r="P1019" s="5"/>
      <c r="Q1019" s="5"/>
      <c r="R1019" s="5"/>
      <c r="S1019" s="5"/>
      <c r="T1019" s="5"/>
      <c r="U1019" s="5"/>
      <c r="V1019" s="5"/>
      <c r="W1019" s="5"/>
      <c r="X1019" s="5"/>
      <c r="Y1019" s="5"/>
      <c r="Z1019" s="5"/>
      <c r="AA1019" s="5"/>
      <c r="AB1019" s="5"/>
      <c r="AC1019" s="5"/>
      <c r="AD1019" s="5"/>
      <c r="AE1019" s="5"/>
    </row>
    <row r="1020" spans="1:31" ht="14" x14ac:dyDescent="0.15">
      <c r="A1020" s="5"/>
      <c r="B1020" s="3"/>
      <c r="C1020" s="3"/>
      <c r="D1020" s="3"/>
      <c r="E1020" s="3"/>
      <c r="F1020" s="3"/>
      <c r="G1020" s="3"/>
      <c r="H1020" s="5"/>
      <c r="I1020" s="5"/>
      <c r="J1020" s="5"/>
      <c r="K1020" s="5"/>
      <c r="L1020" s="5"/>
      <c r="M1020" s="5"/>
      <c r="N1020" s="5"/>
      <c r="O1020" s="5"/>
      <c r="P1020" s="5"/>
      <c r="Q1020" s="5"/>
      <c r="R1020" s="5"/>
      <c r="S1020" s="5"/>
      <c r="T1020" s="5"/>
      <c r="U1020" s="5"/>
      <c r="V1020" s="5"/>
      <c r="W1020" s="5"/>
      <c r="X1020" s="5"/>
      <c r="Y1020" s="5"/>
      <c r="Z1020" s="5"/>
      <c r="AA1020" s="5"/>
      <c r="AB1020" s="5"/>
      <c r="AC1020" s="5"/>
      <c r="AD1020" s="5"/>
      <c r="AE1020" s="5"/>
    </row>
    <row r="1021" spans="1:31" ht="14" x14ac:dyDescent="0.15">
      <c r="A1021" s="5"/>
      <c r="B1021" s="3"/>
      <c r="C1021" s="3"/>
      <c r="D1021" s="3"/>
      <c r="E1021" s="3"/>
      <c r="F1021" s="3"/>
      <c r="G1021" s="3"/>
      <c r="H1021" s="5"/>
      <c r="I1021" s="5"/>
      <c r="J1021" s="5"/>
      <c r="K1021" s="5"/>
      <c r="L1021" s="5"/>
      <c r="M1021" s="5"/>
      <c r="N1021" s="5"/>
      <c r="O1021" s="5"/>
      <c r="P1021" s="5"/>
      <c r="Q1021" s="5"/>
      <c r="R1021" s="5"/>
      <c r="S1021" s="5"/>
      <c r="T1021" s="5"/>
      <c r="U1021" s="5"/>
      <c r="V1021" s="5"/>
      <c r="W1021" s="5"/>
      <c r="X1021" s="5"/>
      <c r="Y1021" s="5"/>
      <c r="Z1021" s="5"/>
      <c r="AA1021" s="5"/>
      <c r="AB1021" s="5"/>
      <c r="AC1021" s="5"/>
      <c r="AD1021" s="5"/>
      <c r="AE1021" s="5"/>
    </row>
    <row r="1022" spans="1:31" ht="14" x14ac:dyDescent="0.15">
      <c r="A1022" s="5"/>
      <c r="B1022" s="3"/>
      <c r="C1022" s="3"/>
      <c r="D1022" s="3"/>
      <c r="E1022" s="3"/>
      <c r="F1022" s="3"/>
      <c r="G1022" s="3"/>
      <c r="H1022" s="5"/>
      <c r="I1022" s="5"/>
      <c r="J1022" s="5"/>
      <c r="K1022" s="5"/>
      <c r="L1022" s="5"/>
      <c r="M1022" s="5"/>
      <c r="N1022" s="5"/>
      <c r="O1022" s="5"/>
      <c r="P1022" s="5"/>
      <c r="Q1022" s="5"/>
      <c r="R1022" s="5"/>
      <c r="S1022" s="5"/>
      <c r="T1022" s="5"/>
      <c r="U1022" s="5"/>
      <c r="V1022" s="5"/>
      <c r="W1022" s="5"/>
      <c r="X1022" s="5"/>
      <c r="Y1022" s="5"/>
      <c r="Z1022" s="5"/>
      <c r="AA1022" s="5"/>
      <c r="AB1022" s="5"/>
      <c r="AC1022" s="5"/>
      <c r="AD1022" s="5"/>
      <c r="AE1022" s="5"/>
    </row>
    <row r="1023" spans="1:31" ht="14" x14ac:dyDescent="0.15">
      <c r="A1023" s="5"/>
      <c r="B1023" s="3"/>
      <c r="C1023" s="3"/>
      <c r="D1023" s="3"/>
      <c r="E1023" s="3"/>
      <c r="F1023" s="3"/>
      <c r="G1023" s="3"/>
      <c r="H1023" s="5"/>
      <c r="I1023" s="5"/>
      <c r="J1023" s="5"/>
      <c r="K1023" s="5"/>
      <c r="L1023" s="5"/>
      <c r="M1023" s="5"/>
      <c r="N1023" s="5"/>
      <c r="O1023" s="5"/>
      <c r="P1023" s="5"/>
      <c r="Q1023" s="5"/>
      <c r="R1023" s="5"/>
      <c r="S1023" s="5"/>
      <c r="T1023" s="5"/>
      <c r="U1023" s="5"/>
      <c r="V1023" s="5"/>
      <c r="W1023" s="5"/>
      <c r="X1023" s="5"/>
      <c r="Y1023" s="5"/>
      <c r="Z1023" s="5"/>
      <c r="AA1023" s="5"/>
      <c r="AB1023" s="5"/>
      <c r="AC1023" s="5"/>
      <c r="AD1023" s="5"/>
      <c r="AE1023" s="5"/>
    </row>
    <row r="1024" spans="1:31" ht="14" x14ac:dyDescent="0.15">
      <c r="A1024" s="5"/>
      <c r="B1024" s="3"/>
      <c r="C1024" s="3"/>
      <c r="D1024" s="3"/>
      <c r="E1024" s="3"/>
      <c r="F1024" s="3"/>
      <c r="G1024" s="3"/>
      <c r="H1024" s="5"/>
      <c r="I1024" s="5"/>
      <c r="J1024" s="5"/>
      <c r="K1024" s="5"/>
      <c r="L1024" s="5"/>
      <c r="M1024" s="5"/>
      <c r="N1024" s="5"/>
      <c r="O1024" s="5"/>
      <c r="P1024" s="5"/>
      <c r="Q1024" s="5"/>
      <c r="R1024" s="5"/>
      <c r="S1024" s="5"/>
      <c r="T1024" s="5"/>
      <c r="U1024" s="5"/>
      <c r="V1024" s="5"/>
      <c r="W1024" s="5"/>
      <c r="X1024" s="5"/>
      <c r="Y1024" s="5"/>
      <c r="Z1024" s="5"/>
      <c r="AA1024" s="5"/>
      <c r="AB1024" s="5"/>
      <c r="AC1024" s="5"/>
      <c r="AD1024" s="5"/>
      <c r="AE1024" s="5"/>
    </row>
    <row r="1025" spans="1:31" ht="14" x14ac:dyDescent="0.15">
      <c r="A1025" s="5"/>
      <c r="B1025" s="3"/>
      <c r="C1025" s="3"/>
      <c r="D1025" s="3"/>
      <c r="E1025" s="3"/>
      <c r="F1025" s="3"/>
      <c r="G1025" s="3"/>
      <c r="H1025" s="5"/>
      <c r="I1025" s="5"/>
      <c r="J1025" s="5"/>
      <c r="K1025" s="5"/>
      <c r="L1025" s="5"/>
      <c r="M1025" s="5"/>
      <c r="N1025" s="5"/>
      <c r="O1025" s="5"/>
      <c r="P1025" s="5"/>
      <c r="Q1025" s="5"/>
      <c r="R1025" s="5"/>
      <c r="S1025" s="5"/>
      <c r="T1025" s="5"/>
      <c r="U1025" s="5"/>
      <c r="V1025" s="5"/>
      <c r="W1025" s="5"/>
      <c r="X1025" s="5"/>
      <c r="Y1025" s="5"/>
      <c r="Z1025" s="5"/>
      <c r="AA1025" s="5"/>
      <c r="AB1025" s="5"/>
      <c r="AC1025" s="5"/>
      <c r="AD1025" s="5"/>
      <c r="AE1025" s="5"/>
    </row>
    <row r="1026" spans="1:31" ht="14" x14ac:dyDescent="0.15">
      <c r="A1026" s="5"/>
      <c r="B1026" s="3"/>
      <c r="C1026" s="3"/>
      <c r="D1026" s="3"/>
      <c r="E1026" s="3"/>
      <c r="F1026" s="3"/>
      <c r="G1026" s="3"/>
      <c r="H1026" s="5"/>
      <c r="I1026" s="5"/>
      <c r="J1026" s="5"/>
      <c r="K1026" s="5"/>
      <c r="L1026" s="5"/>
      <c r="M1026" s="5"/>
      <c r="N1026" s="5"/>
      <c r="O1026" s="5"/>
      <c r="P1026" s="5"/>
      <c r="Q1026" s="5"/>
      <c r="R1026" s="5"/>
      <c r="S1026" s="5"/>
      <c r="T1026" s="5"/>
      <c r="U1026" s="5"/>
      <c r="V1026" s="5"/>
      <c r="W1026" s="5"/>
      <c r="X1026" s="5"/>
      <c r="Y1026" s="5"/>
      <c r="Z1026" s="5"/>
      <c r="AA1026" s="5"/>
      <c r="AB1026" s="5"/>
      <c r="AC1026" s="5"/>
      <c r="AD1026" s="5"/>
      <c r="AE1026" s="5"/>
    </row>
    <row r="1027" spans="1:31" ht="14" x14ac:dyDescent="0.15">
      <c r="A1027" s="5"/>
      <c r="B1027" s="3"/>
      <c r="C1027" s="3"/>
      <c r="D1027" s="3"/>
      <c r="E1027" s="3"/>
      <c r="F1027" s="3"/>
      <c r="G1027" s="3"/>
      <c r="H1027" s="5"/>
      <c r="I1027" s="5"/>
      <c r="J1027" s="5"/>
      <c r="K1027" s="5"/>
      <c r="L1027" s="5"/>
      <c r="M1027" s="5"/>
      <c r="N1027" s="5"/>
      <c r="O1027" s="5"/>
      <c r="P1027" s="5"/>
      <c r="Q1027" s="5"/>
      <c r="R1027" s="5"/>
      <c r="S1027" s="5"/>
      <c r="T1027" s="5"/>
      <c r="U1027" s="5"/>
      <c r="V1027" s="5"/>
      <c r="W1027" s="5"/>
      <c r="X1027" s="5"/>
      <c r="Y1027" s="5"/>
      <c r="Z1027" s="5"/>
      <c r="AA1027" s="5"/>
      <c r="AB1027" s="5"/>
      <c r="AC1027" s="5"/>
      <c r="AD1027" s="5"/>
      <c r="AE1027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2:H18"/>
  <sheetViews>
    <sheetView showGridLines="0" workbookViewId="0"/>
  </sheetViews>
  <sheetFormatPr baseColWidth="10" defaultColWidth="14.5" defaultRowHeight="15.75" customHeight="1" x14ac:dyDescent="0.15"/>
  <cols>
    <col min="1" max="1" width="6.83203125" customWidth="1"/>
    <col min="2" max="2" width="24.5" customWidth="1"/>
  </cols>
  <sheetData>
    <row r="2" spans="1:8" ht="15.75" customHeight="1" x14ac:dyDescent="0.15">
      <c r="A2" s="45"/>
      <c r="B2" s="45"/>
      <c r="C2" s="46">
        <v>2015</v>
      </c>
      <c r="D2" s="47">
        <f t="shared" ref="D2:H2" si="0">C2+1</f>
        <v>2016</v>
      </c>
      <c r="E2" s="47">
        <f t="shared" si="0"/>
        <v>2017</v>
      </c>
      <c r="F2" s="47">
        <f t="shared" si="0"/>
        <v>2018</v>
      </c>
      <c r="G2" s="47">
        <f t="shared" si="0"/>
        <v>2019</v>
      </c>
      <c r="H2" s="48">
        <f t="shared" si="0"/>
        <v>2020</v>
      </c>
    </row>
    <row r="3" spans="1:8" ht="15.75" customHeight="1" x14ac:dyDescent="0.15">
      <c r="A3" s="45"/>
      <c r="B3" s="45" t="s">
        <v>244</v>
      </c>
      <c r="D3" s="49"/>
      <c r="E3" s="49"/>
      <c r="F3" s="49"/>
      <c r="G3" s="49"/>
      <c r="H3" s="49"/>
    </row>
    <row r="4" spans="1:8" ht="15.75" customHeight="1" x14ac:dyDescent="0.15">
      <c r="A4" s="50"/>
      <c r="B4" s="50" t="s">
        <v>245</v>
      </c>
      <c r="D4" s="49">
        <f>('Yearly BS'!B13+'Yearly BS'!C13)/2</f>
        <v>62136.320000000007</v>
      </c>
      <c r="E4" s="49">
        <f>('Yearly BS'!C13+'Yearly BS'!D13)/2</f>
        <v>83380.455000000002</v>
      </c>
      <c r="F4" s="49">
        <f>('Yearly BS'!D13+'Yearly BS'!E13)/2</f>
        <v>174400.065</v>
      </c>
      <c r="G4" s="49">
        <f>('Yearly BS'!E13+'Yearly BS'!F13)/2</f>
        <v>214928.49</v>
      </c>
      <c r="H4" s="49">
        <f>('Yearly BS'!F13+'Yearly BS'!G13)/2</f>
        <v>223546.625</v>
      </c>
    </row>
    <row r="5" spans="1:8" ht="15.75" customHeight="1" x14ac:dyDescent="0.15">
      <c r="A5" s="50"/>
      <c r="B5" s="50" t="s">
        <v>246</v>
      </c>
      <c r="C5" s="51">
        <f>'Yearly IS'!B34</f>
        <v>3547255.56</v>
      </c>
      <c r="D5" s="51">
        <f>'Yearly IS'!C34</f>
        <v>4509355.59</v>
      </c>
      <c r="E5" s="51">
        <f>'Yearly IS'!D34</f>
        <v>6996734.3499999996</v>
      </c>
      <c r="F5" s="51">
        <f>'Yearly IS'!E34</f>
        <v>9466911.5299999993</v>
      </c>
      <c r="G5" s="51">
        <f>'Yearly IS'!F34</f>
        <v>11134981.09</v>
      </c>
      <c r="H5" s="51">
        <f>'Yearly IS'!G34</f>
        <v>12027308.49</v>
      </c>
    </row>
    <row r="6" spans="1:8" ht="15.75" customHeight="1" x14ac:dyDescent="0.15">
      <c r="A6" s="50"/>
      <c r="B6" s="50" t="s">
        <v>247</v>
      </c>
      <c r="C6" s="52"/>
      <c r="D6" s="52">
        <f t="shared" ref="D6:H6" si="1">(D4/D5)*365</f>
        <v>5.0294895461992173</v>
      </c>
      <c r="E6" s="52">
        <f t="shared" si="1"/>
        <v>4.3497243932092404</v>
      </c>
      <c r="F6" s="52">
        <f t="shared" si="1"/>
        <v>6.7240539349373218</v>
      </c>
      <c r="G6" s="52">
        <f t="shared" si="1"/>
        <v>7.0452655658708432</v>
      </c>
      <c r="H6" s="52">
        <f t="shared" si="1"/>
        <v>6.7841045395020041</v>
      </c>
    </row>
    <row r="8" spans="1:8" ht="15.75" customHeight="1" x14ac:dyDescent="0.15">
      <c r="A8" s="45"/>
      <c r="B8" s="45" t="s">
        <v>248</v>
      </c>
    </row>
    <row r="9" spans="1:8" ht="15.75" customHeight="1" x14ac:dyDescent="0.15">
      <c r="A9" s="50"/>
      <c r="B9" s="50" t="s">
        <v>249</v>
      </c>
      <c r="D9" s="49">
        <f>('Yearly BS'!B10+'Yearly BS'!C10)/2</f>
        <v>664335.94500000007</v>
      </c>
      <c r="E9" s="49">
        <f>('Yearly BS'!C10+'Yearly BS'!D10)/2</f>
        <v>531649.67500000005</v>
      </c>
      <c r="F9" s="49">
        <f>('Yearly BS'!D10+'Yearly BS'!E10)/2</f>
        <v>1614067.76</v>
      </c>
      <c r="G9" s="49">
        <f>('Yearly BS'!E10+'Yearly BS'!F10)/2</f>
        <v>2431760.2749999999</v>
      </c>
      <c r="H9" s="49">
        <f>('Yearly BS'!F10+'Yearly BS'!G10)/2</f>
        <v>2398323.1349999998</v>
      </c>
    </row>
    <row r="10" spans="1:8" ht="15.75" customHeight="1" x14ac:dyDescent="0.15">
      <c r="A10" s="50"/>
      <c r="B10" s="50" t="s">
        <v>250</v>
      </c>
      <c r="C10" s="49">
        <f>'Yearly IS'!B15/365</f>
        <v>15013.228684931506</v>
      </c>
      <c r="D10" s="49">
        <f>'Yearly IS'!C15/365</f>
        <v>16777.421726027398</v>
      </c>
      <c r="E10" s="49">
        <f>'Yearly IS'!D15/365</f>
        <v>24726.239780821918</v>
      </c>
      <c r="F10" s="49">
        <f>'Yearly IS'!E15/365</f>
        <v>32924.824547945209</v>
      </c>
      <c r="G10" s="49">
        <f>'Yearly IS'!F15/365</f>
        <v>40631.178849315067</v>
      </c>
      <c r="H10" s="49">
        <f>'Yearly IS'!G15/365</f>
        <v>44600.155945205479</v>
      </c>
    </row>
    <row r="11" spans="1:8" ht="15.75" customHeight="1" x14ac:dyDescent="0.15">
      <c r="A11" s="50"/>
      <c r="B11" s="50" t="s">
        <v>251</v>
      </c>
      <c r="D11" s="52">
        <f t="shared" ref="D11:H11" si="2">D9/D10</f>
        <v>39.597022465579002</v>
      </c>
      <c r="E11" s="52">
        <f t="shared" si="2"/>
        <v>21.501436518963001</v>
      </c>
      <c r="F11" s="52">
        <f t="shared" si="2"/>
        <v>49.022820384345273</v>
      </c>
      <c r="G11" s="52">
        <f t="shared" si="2"/>
        <v>59.849611649675111</v>
      </c>
      <c r="H11" s="52">
        <f t="shared" si="2"/>
        <v>53.773873300947947</v>
      </c>
    </row>
    <row r="13" spans="1:8" ht="15.75" customHeight="1" x14ac:dyDescent="0.15">
      <c r="A13" s="45"/>
      <c r="B13" s="45" t="s">
        <v>252</v>
      </c>
    </row>
    <row r="14" spans="1:8" ht="15.75" customHeight="1" x14ac:dyDescent="0.15">
      <c r="A14" s="50"/>
      <c r="B14" s="50" t="s">
        <v>253</v>
      </c>
      <c r="C14" s="49"/>
      <c r="D14" s="49">
        <f>('Yearly BS'!B49+'Yearly BS'!C49)/2</f>
        <v>354319.17</v>
      </c>
      <c r="E14" s="49">
        <f>('Yearly BS'!C49+'Yearly BS'!D49)/2</f>
        <v>265968.27</v>
      </c>
      <c r="F14" s="49">
        <f>('Yearly BS'!D49+'Yearly BS'!E49)/2</f>
        <v>1274145.925</v>
      </c>
      <c r="G14" s="49">
        <f>('Yearly BS'!E49+'Yearly BS'!F49)/2</f>
        <v>1867033.27</v>
      </c>
      <c r="H14" s="49">
        <f>('Yearly BS'!F49+'Yearly BS'!G49)/2</f>
        <v>1122157.145</v>
      </c>
    </row>
    <row r="15" spans="1:8" ht="15.75" customHeight="1" x14ac:dyDescent="0.15">
      <c r="A15" s="50"/>
      <c r="B15" s="50" t="s">
        <v>254</v>
      </c>
      <c r="C15" s="49">
        <f>'Yearly IS'!B17/365</f>
        <v>8143.7976164383563</v>
      </c>
      <c r="D15" s="49">
        <f>'Yearly IS'!C17/365</f>
        <v>10364.093643835617</v>
      </c>
      <c r="E15" s="49">
        <f>'Yearly IS'!D17/365</f>
        <v>16174.793041095891</v>
      </c>
      <c r="F15" s="49">
        <f>'Yearly IS'!E17/365</f>
        <v>22998.595260273971</v>
      </c>
      <c r="G15" s="49">
        <f>'Yearly IS'!F17/365</f>
        <v>26499.82635616438</v>
      </c>
      <c r="H15" s="49">
        <f>'Yearly IS'!G17/365</f>
        <v>27427.454383561642</v>
      </c>
    </row>
    <row r="16" spans="1:8" ht="15.75" customHeight="1" x14ac:dyDescent="0.15">
      <c r="A16" s="50"/>
      <c r="B16" s="50" t="s">
        <v>255</v>
      </c>
      <c r="D16" s="52">
        <f t="shared" ref="D16:H16" si="3">D14/D15</f>
        <v>34.18718338296209</v>
      </c>
      <c r="E16" s="52">
        <f t="shared" si="3"/>
        <v>16.443380099160755</v>
      </c>
      <c r="F16" s="52">
        <f t="shared" si="3"/>
        <v>55.401032566578671</v>
      </c>
      <c r="G16" s="52">
        <f t="shared" si="3"/>
        <v>70.454547320672972</v>
      </c>
      <c r="H16" s="52">
        <f t="shared" si="3"/>
        <v>40.913645477523907</v>
      </c>
    </row>
    <row r="18" spans="1:8" ht="15.75" customHeight="1" x14ac:dyDescent="0.15">
      <c r="A18" s="50"/>
      <c r="B18" s="50" t="s">
        <v>256</v>
      </c>
      <c r="D18" s="52">
        <f t="shared" ref="D18:H18" si="4">D6+D11-D16</f>
        <v>10.439328628816128</v>
      </c>
      <c r="E18" s="52">
        <f t="shared" si="4"/>
        <v>9.4077808130114846</v>
      </c>
      <c r="F18" s="52">
        <f t="shared" si="4"/>
        <v>0.34584175270392592</v>
      </c>
      <c r="G18" s="52">
        <f t="shared" si="4"/>
        <v>-3.5596701051270117</v>
      </c>
      <c r="H18" s="52">
        <f t="shared" si="4"/>
        <v>19.644332362926043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D15D1-AF93-1E40-867A-87583D4460BB}">
  <dimension ref="A1:BF297"/>
  <sheetViews>
    <sheetView topLeftCell="A18" zoomScaleNormal="100" zoomScaleSheetLayoutView="85" workbookViewId="0">
      <selection activeCell="F77" sqref="F77"/>
    </sheetView>
  </sheetViews>
  <sheetFormatPr baseColWidth="10" defaultColWidth="8.83203125" defaultRowHeight="14" outlineLevelRow="1" x14ac:dyDescent="0.15"/>
  <cols>
    <col min="1" max="1" width="4.5" style="56" customWidth="1"/>
    <col min="2" max="2" width="1.5" style="56" customWidth="1"/>
    <col min="3" max="20" width="11.33203125" style="56" customWidth="1"/>
    <col min="21" max="21" width="8.83203125" style="56"/>
    <col min="22" max="22" width="9.5" style="56" bestFit="1" customWidth="1"/>
    <col min="23" max="26" width="8.83203125" style="56"/>
    <col min="27" max="27" width="13.5" style="56" bestFit="1" customWidth="1"/>
    <col min="28" max="45" width="8.83203125" style="56"/>
    <col min="46" max="46" width="9.1640625" style="56" customWidth="1"/>
    <col min="47" max="49" width="8.83203125" style="56"/>
    <col min="50" max="50" width="9.33203125" style="56" bestFit="1" customWidth="1"/>
    <col min="51" max="16384" width="8.83203125" style="56"/>
  </cols>
  <sheetData>
    <row r="1" spans="1:36" ht="15" customHeight="1" x14ac:dyDescent="0.15">
      <c r="A1" s="73" t="s">
        <v>270</v>
      </c>
      <c r="B1" s="294"/>
      <c r="Q1" s="59"/>
      <c r="R1" s="59"/>
      <c r="S1" s="59"/>
      <c r="T1" s="59"/>
      <c r="U1" s="59"/>
      <c r="V1" s="59"/>
      <c r="W1" s="59"/>
      <c r="X1" s="59"/>
      <c r="Y1" s="59"/>
      <c r="Z1" s="59"/>
      <c r="AA1" s="59"/>
      <c r="AB1" s="59"/>
      <c r="AC1" s="59"/>
      <c r="AD1" s="59"/>
      <c r="AE1" s="59"/>
      <c r="AF1" s="59"/>
      <c r="AG1" s="59"/>
      <c r="AH1" s="59"/>
      <c r="AI1" s="59"/>
      <c r="AJ1" s="59"/>
    </row>
    <row r="2" spans="1:36" ht="15" customHeight="1" x14ac:dyDescent="0.15">
      <c r="A2" s="293"/>
      <c r="Q2" s="59"/>
      <c r="R2" s="59"/>
      <c r="S2" s="59"/>
      <c r="T2" s="59"/>
      <c r="U2" s="59"/>
      <c r="V2" s="59"/>
      <c r="W2" s="59"/>
      <c r="X2" s="59"/>
      <c r="Y2" s="59"/>
      <c r="Z2" s="59"/>
      <c r="AA2" s="59"/>
      <c r="AB2" s="59"/>
      <c r="AC2" s="59"/>
      <c r="AD2" s="59"/>
      <c r="AE2" s="59"/>
      <c r="AF2" s="59"/>
      <c r="AG2" s="59"/>
      <c r="AH2" s="59"/>
      <c r="AI2" s="59"/>
      <c r="AJ2" s="59"/>
    </row>
    <row r="3" spans="1:36" ht="40.25" customHeight="1" thickBot="1" x14ac:dyDescent="0.2">
      <c r="A3" s="73" t="s">
        <v>270</v>
      </c>
      <c r="B3" s="292"/>
      <c r="N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59"/>
      <c r="AJ3" s="59"/>
    </row>
    <row r="4" spans="1:36" ht="23" customHeight="1" thickTop="1" x14ac:dyDescent="0.15">
      <c r="B4" s="291" t="s">
        <v>436</v>
      </c>
      <c r="C4" s="289"/>
      <c r="D4" s="289"/>
      <c r="E4" s="289"/>
      <c r="F4" s="289"/>
      <c r="G4" s="289"/>
      <c r="H4" s="289"/>
      <c r="I4" s="289"/>
      <c r="J4" s="289"/>
      <c r="K4" s="289"/>
      <c r="L4" s="289"/>
      <c r="M4" s="289"/>
      <c r="N4" s="290"/>
      <c r="O4" s="289"/>
      <c r="P4" s="289"/>
      <c r="Q4" s="289"/>
      <c r="R4" s="289"/>
      <c r="S4" s="289"/>
      <c r="T4" s="288" t="s">
        <v>435</v>
      </c>
      <c r="U4" s="59"/>
      <c r="V4" s="59"/>
      <c r="W4" s="59"/>
      <c r="X4" s="59"/>
      <c r="Y4" s="59"/>
      <c r="Z4" s="59"/>
      <c r="AA4" s="59"/>
      <c r="AB4" s="59"/>
      <c r="AC4" s="59"/>
      <c r="AD4" s="59"/>
      <c r="AE4" s="59"/>
      <c r="AF4" s="59"/>
      <c r="AG4" s="59"/>
      <c r="AH4" s="59"/>
      <c r="AI4" s="59"/>
      <c r="AJ4" s="59"/>
    </row>
    <row r="5" spans="1:36" ht="15" customHeight="1" x14ac:dyDescent="0.15">
      <c r="A5" s="59"/>
      <c r="B5" s="59"/>
      <c r="C5" s="59"/>
      <c r="D5" s="59"/>
      <c r="E5" s="59"/>
      <c r="F5" s="59"/>
      <c r="G5" s="59"/>
      <c r="H5" s="59"/>
      <c r="I5" s="59"/>
      <c r="J5" s="59"/>
      <c r="K5" s="59"/>
      <c r="L5" s="59"/>
      <c r="P5" s="59"/>
      <c r="Q5" s="59"/>
      <c r="R5" s="59"/>
      <c r="S5" s="59"/>
      <c r="T5" s="59"/>
      <c r="U5" s="59"/>
      <c r="V5" s="59"/>
      <c r="W5" s="59"/>
      <c r="X5" s="59"/>
      <c r="Y5" s="59"/>
      <c r="Z5" s="59"/>
      <c r="AA5" s="59"/>
      <c r="AB5" s="59"/>
      <c r="AC5" s="59"/>
      <c r="AD5" s="59"/>
      <c r="AE5" s="59"/>
      <c r="AF5" s="59"/>
      <c r="AG5" s="59"/>
      <c r="AH5" s="59"/>
      <c r="AI5" s="59"/>
      <c r="AJ5" s="59"/>
    </row>
    <row r="6" spans="1:36" ht="17" customHeight="1" x14ac:dyDescent="0.3">
      <c r="A6" s="59"/>
      <c r="B6" s="59"/>
      <c r="C6" s="65" t="s">
        <v>434</v>
      </c>
      <c r="D6" s="65"/>
      <c r="E6" s="65"/>
      <c r="F6" s="65"/>
      <c r="G6" s="72"/>
      <c r="H6" s="72"/>
      <c r="I6" s="59"/>
      <c r="J6" s="65" t="s">
        <v>433</v>
      </c>
      <c r="K6" s="65"/>
      <c r="L6" s="72"/>
      <c r="M6" s="72"/>
      <c r="N6" s="72"/>
      <c r="O6" s="72"/>
      <c r="P6" s="72"/>
      <c r="Q6" s="72"/>
      <c r="R6" s="59"/>
      <c r="S6" s="59"/>
      <c r="T6" s="59"/>
      <c r="U6" s="59"/>
      <c r="V6" s="59"/>
      <c r="W6" s="59"/>
      <c r="Y6" s="59"/>
      <c r="Z6" s="59"/>
      <c r="AA6" s="59"/>
      <c r="AB6" s="59"/>
      <c r="AC6" s="59"/>
      <c r="AD6" s="59"/>
      <c r="AE6" s="59"/>
      <c r="AF6" s="59"/>
      <c r="AG6" s="59"/>
      <c r="AH6" s="59"/>
      <c r="AI6" s="59"/>
      <c r="AJ6" s="59"/>
    </row>
    <row r="7" spans="1:36" ht="16.25" customHeight="1" x14ac:dyDescent="0.3">
      <c r="A7" s="59"/>
      <c r="B7" s="59"/>
      <c r="F7" s="174" t="s">
        <v>432</v>
      </c>
      <c r="G7" s="174" t="s">
        <v>431</v>
      </c>
      <c r="I7" s="59"/>
      <c r="J7" s="65"/>
      <c r="K7" s="65"/>
      <c r="L7" s="72"/>
      <c r="M7" s="72"/>
      <c r="N7" s="72"/>
      <c r="O7" s="72"/>
      <c r="P7" s="72"/>
      <c r="Q7" s="72"/>
      <c r="R7" s="59"/>
      <c r="S7" s="59"/>
      <c r="T7" s="59"/>
      <c r="U7" s="59"/>
      <c r="V7" s="280" t="s">
        <v>430</v>
      </c>
      <c r="W7" s="59"/>
      <c r="Y7" s="59"/>
      <c r="Z7" s="59"/>
      <c r="AA7" s="59"/>
      <c r="AB7" s="59"/>
      <c r="AC7" s="59"/>
      <c r="AD7" s="59"/>
      <c r="AE7" s="59"/>
      <c r="AF7" s="59"/>
      <c r="AG7" s="59"/>
      <c r="AH7" s="59"/>
      <c r="AI7" s="59"/>
      <c r="AJ7" s="59"/>
    </row>
    <row r="8" spans="1:36" ht="15" customHeight="1" x14ac:dyDescent="0.15">
      <c r="A8" s="59"/>
      <c r="B8" s="59"/>
      <c r="C8" s="67" t="s">
        <v>429</v>
      </c>
      <c r="D8" s="67"/>
      <c r="E8" s="67"/>
      <c r="F8" s="287">
        <f>G21*G22</f>
        <v>10741.5</v>
      </c>
      <c r="G8" s="287">
        <f>F8</f>
        <v>10741.5</v>
      </c>
      <c r="I8" s="59"/>
      <c r="J8" s="59" t="s">
        <v>328</v>
      </c>
      <c r="K8" s="59"/>
      <c r="L8" s="182">
        <v>0</v>
      </c>
      <c r="N8" s="128" t="s">
        <v>428</v>
      </c>
      <c r="O8" s="59"/>
      <c r="P8" s="59"/>
      <c r="Q8" s="71">
        <f>+F11*V8</f>
        <v>10741.5</v>
      </c>
      <c r="R8" s="59"/>
      <c r="S8" s="59"/>
      <c r="T8" s="59"/>
      <c r="U8" s="59"/>
      <c r="V8" s="277">
        <v>1</v>
      </c>
      <c r="W8" s="59"/>
      <c r="Y8" s="59"/>
      <c r="Z8" s="59"/>
      <c r="AA8" s="59"/>
      <c r="AB8" s="59"/>
      <c r="AC8" s="59"/>
      <c r="AD8" s="59"/>
      <c r="AE8" s="59"/>
      <c r="AF8" s="59"/>
      <c r="AG8" s="59"/>
      <c r="AH8" s="59"/>
      <c r="AI8" s="59"/>
      <c r="AJ8" s="59"/>
    </row>
    <row r="9" spans="1:36" ht="15" customHeight="1" x14ac:dyDescent="0.15">
      <c r="A9" s="59"/>
      <c r="B9" s="59"/>
      <c r="C9" s="181" t="s">
        <v>427</v>
      </c>
      <c r="D9" s="181"/>
      <c r="E9" s="181"/>
      <c r="F9" s="182">
        <v>0</v>
      </c>
      <c r="G9" s="71">
        <f>+Q19</f>
        <v>477.40000000000003</v>
      </c>
      <c r="I9" s="59"/>
      <c r="J9" s="59" t="s">
        <v>327</v>
      </c>
      <c r="K9" s="59"/>
      <c r="L9" s="81">
        <f>G21*[1]Sheet1!D13</f>
        <v>6683.5999999999995</v>
      </c>
      <c r="N9" s="128" t="s">
        <v>426</v>
      </c>
      <c r="Q9" s="286">
        <f>+F11-Q8</f>
        <v>0</v>
      </c>
      <c r="R9" s="59"/>
      <c r="S9" s="59"/>
      <c r="T9" s="59"/>
      <c r="U9" s="59"/>
      <c r="V9" s="277"/>
      <c r="W9" s="59"/>
      <c r="Y9" s="59"/>
      <c r="Z9" s="59"/>
      <c r="AA9" s="59"/>
      <c r="AB9" s="59"/>
      <c r="AC9" s="59"/>
      <c r="AD9" s="59"/>
      <c r="AE9" s="59"/>
      <c r="AF9" s="59"/>
      <c r="AG9" s="59"/>
      <c r="AH9" s="59"/>
      <c r="AI9" s="59"/>
      <c r="AJ9" s="59"/>
    </row>
    <row r="10" spans="1:36" ht="15" customHeight="1" x14ac:dyDescent="0.15">
      <c r="A10" s="59"/>
      <c r="B10" s="59"/>
      <c r="C10" s="128" t="s">
        <v>425</v>
      </c>
      <c r="D10" s="128"/>
      <c r="E10" s="128"/>
      <c r="F10" s="182">
        <v>0</v>
      </c>
      <c r="G10" s="182">
        <f>-L11</f>
        <v>-8066.5999999999995</v>
      </c>
      <c r="I10" s="59"/>
      <c r="J10" s="59" t="s">
        <v>326</v>
      </c>
      <c r="K10" s="59"/>
      <c r="L10" s="182">
        <v>1383</v>
      </c>
      <c r="N10" s="128" t="s">
        <v>424</v>
      </c>
      <c r="Q10" s="285">
        <f>-F9</f>
        <v>0</v>
      </c>
      <c r="R10" s="59"/>
      <c r="S10" s="59"/>
      <c r="T10" s="59"/>
      <c r="U10" s="59"/>
      <c r="W10" s="59"/>
      <c r="X10" s="59"/>
      <c r="Y10" s="59"/>
      <c r="Z10" s="59"/>
      <c r="AA10" s="59"/>
      <c r="AB10" s="59"/>
      <c r="AC10" s="59"/>
      <c r="AD10" s="59"/>
      <c r="AE10" s="59"/>
      <c r="AF10" s="59"/>
      <c r="AG10" s="59"/>
      <c r="AH10" s="59"/>
      <c r="AI10" s="59"/>
      <c r="AJ10" s="59"/>
    </row>
    <row r="11" spans="1:36" ht="15" customHeight="1" x14ac:dyDescent="0.15">
      <c r="A11" s="59"/>
      <c r="B11" s="59"/>
      <c r="C11" s="67" t="s">
        <v>423</v>
      </c>
      <c r="D11" s="67"/>
      <c r="E11" s="67"/>
      <c r="F11" s="284">
        <f>SUM(F8:F10)</f>
        <v>10741.5</v>
      </c>
      <c r="G11" s="284">
        <f>SUM(G8:G10)</f>
        <v>3152.3</v>
      </c>
      <c r="I11" s="59"/>
      <c r="J11" s="67" t="s">
        <v>422</v>
      </c>
      <c r="L11" s="62">
        <f>SUM(L8:L10)</f>
        <v>8066.5999999999995</v>
      </c>
      <c r="N11" s="128" t="s">
        <v>421</v>
      </c>
      <c r="Q11" s="283">
        <f>-F10</f>
        <v>0</v>
      </c>
      <c r="R11" s="59"/>
      <c r="S11" s="59"/>
      <c r="T11" s="59"/>
      <c r="U11" s="59"/>
      <c r="W11" s="59"/>
      <c r="X11" s="59"/>
      <c r="Y11" s="59"/>
      <c r="Z11" s="59"/>
      <c r="AA11" s="59"/>
      <c r="AB11" s="59"/>
      <c r="AC11" s="59"/>
      <c r="AD11" s="59"/>
      <c r="AE11" s="59"/>
      <c r="AF11" s="59"/>
      <c r="AG11" s="59"/>
      <c r="AH11" s="59"/>
      <c r="AI11" s="59"/>
      <c r="AJ11" s="59"/>
    </row>
    <row r="12" spans="1:36" ht="15" customHeight="1" x14ac:dyDescent="0.15">
      <c r="A12" s="59"/>
      <c r="B12" s="59"/>
      <c r="C12" s="128" t="s">
        <v>420</v>
      </c>
      <c r="D12" s="128"/>
      <c r="E12" s="128"/>
      <c r="F12" s="282">
        <v>1000</v>
      </c>
      <c r="G12" s="281">
        <f>+F12</f>
        <v>1000</v>
      </c>
      <c r="I12" s="59"/>
      <c r="J12" s="59"/>
      <c r="K12" s="59"/>
      <c r="L12" s="59"/>
      <c r="N12" s="272" t="s">
        <v>419</v>
      </c>
      <c r="Q12" s="273">
        <f>SUM(Q8:Q11)</f>
        <v>10741.5</v>
      </c>
      <c r="R12" s="59"/>
      <c r="S12" s="59"/>
      <c r="T12" s="59"/>
      <c r="U12" s="59"/>
      <c r="W12" s="59"/>
      <c r="X12" s="59"/>
      <c r="Y12" s="59"/>
      <c r="Z12" s="59"/>
      <c r="AA12" s="59"/>
      <c r="AB12" s="59"/>
      <c r="AC12" s="59"/>
      <c r="AD12" s="59"/>
      <c r="AE12" s="59"/>
      <c r="AF12" s="59"/>
      <c r="AG12" s="59"/>
      <c r="AH12" s="59"/>
      <c r="AI12" s="59"/>
      <c r="AJ12" s="59"/>
    </row>
    <row r="13" spans="1:36" ht="15" customHeight="1" thickBot="1" x14ac:dyDescent="0.2">
      <c r="A13" s="59"/>
      <c r="B13" s="59"/>
      <c r="C13" s="67" t="s">
        <v>407</v>
      </c>
      <c r="D13" s="67"/>
      <c r="E13" s="67"/>
      <c r="F13" s="248">
        <f>F11/F12</f>
        <v>10.7415</v>
      </c>
      <c r="G13" s="248">
        <f>G11/G12</f>
        <v>3.1523000000000003</v>
      </c>
      <c r="I13" s="59"/>
      <c r="J13" s="59" t="str">
        <f>+$W$28</f>
        <v>SPUR Acquisitions</v>
      </c>
      <c r="K13" s="59"/>
      <c r="L13" s="71">
        <f>[1]Sheet1!D21</f>
        <v>600</v>
      </c>
      <c r="Q13" s="209"/>
      <c r="R13" s="59"/>
      <c r="S13" s="59"/>
      <c r="T13" s="59"/>
      <c r="U13" s="59"/>
      <c r="V13" s="280" t="s">
        <v>418</v>
      </c>
      <c r="W13" s="59"/>
      <c r="Y13" s="59"/>
      <c r="Z13" s="59"/>
      <c r="AA13" s="59"/>
      <c r="AB13" s="59"/>
      <c r="AC13" s="59"/>
      <c r="AD13" s="59"/>
      <c r="AE13" s="59"/>
      <c r="AF13" s="59"/>
      <c r="AG13" s="59"/>
      <c r="AH13" s="59"/>
      <c r="AI13" s="59"/>
      <c r="AJ13" s="59"/>
    </row>
    <row r="14" spans="1:36" ht="15" customHeight="1" thickTop="1" x14ac:dyDescent="0.15">
      <c r="A14" s="59"/>
      <c r="B14" s="59"/>
      <c r="C14" s="128" t="s">
        <v>417</v>
      </c>
      <c r="D14" s="59"/>
      <c r="E14" s="59"/>
      <c r="F14" s="59"/>
      <c r="G14" s="279">
        <f ca="1">+AL33-G12</f>
        <v>113.63636363636351</v>
      </c>
      <c r="I14" s="59"/>
      <c r="J14" s="59" t="str">
        <f>+$W$29</f>
        <v>Financial Sponsor</v>
      </c>
      <c r="K14" s="59"/>
      <c r="L14" s="71">
        <f>+Q21-SUM(L11,L13,L15)</f>
        <v>3367.130000000001</v>
      </c>
      <c r="N14" s="128" t="s">
        <v>416</v>
      </c>
      <c r="O14" s="59"/>
      <c r="P14" s="59"/>
      <c r="Q14" s="71">
        <f>$Q$12*V14</f>
        <v>107.41500000000001</v>
      </c>
      <c r="R14" s="59"/>
      <c r="S14" s="59"/>
      <c r="T14" s="59"/>
      <c r="U14" s="59"/>
      <c r="V14" s="277">
        <v>0.01</v>
      </c>
      <c r="W14" s="59"/>
      <c r="Y14" s="59"/>
      <c r="Z14" s="59"/>
      <c r="AA14" s="59"/>
      <c r="AB14" s="59"/>
      <c r="AC14" s="59"/>
      <c r="AD14" s="59"/>
      <c r="AE14" s="59"/>
      <c r="AF14" s="59"/>
      <c r="AG14" s="59"/>
      <c r="AH14" s="59"/>
      <c r="AI14" s="59"/>
      <c r="AJ14" s="59"/>
    </row>
    <row r="15" spans="1:36" ht="15" customHeight="1" x14ac:dyDescent="0.15">
      <c r="A15" s="59"/>
      <c r="B15" s="59"/>
      <c r="C15" s="67" t="s">
        <v>415</v>
      </c>
      <c r="G15" s="143">
        <f ca="1">+G13*G14</f>
        <v>499.99999999999949</v>
      </c>
      <c r="J15" s="59" t="str">
        <f>+W30</f>
        <v>Pre-Existing Shareholders</v>
      </c>
      <c r="L15" s="278">
        <f>Q9</f>
        <v>0</v>
      </c>
      <c r="N15" s="128" t="s">
        <v>414</v>
      </c>
      <c r="O15" s="59"/>
      <c r="P15" s="59"/>
      <c r="Q15" s="71">
        <f>$Q$12*V15</f>
        <v>107.41500000000001</v>
      </c>
      <c r="R15" s="59"/>
      <c r="S15" s="59"/>
      <c r="T15" s="59"/>
      <c r="U15" s="59"/>
      <c r="V15" s="277">
        <v>0.01</v>
      </c>
      <c r="W15" s="59"/>
      <c r="Y15" s="59"/>
      <c r="Z15" s="59"/>
      <c r="AA15" s="59"/>
      <c r="AB15" s="59"/>
      <c r="AC15" s="59"/>
      <c r="AD15" s="59"/>
      <c r="AE15" s="59"/>
      <c r="AF15" s="59"/>
      <c r="AG15" s="59"/>
      <c r="AH15" s="59"/>
      <c r="AI15" s="59"/>
      <c r="AJ15" s="59"/>
    </row>
    <row r="16" spans="1:36" ht="15" customHeight="1" x14ac:dyDescent="0.15">
      <c r="A16" s="59"/>
      <c r="B16" s="59"/>
      <c r="C16" s="181" t="s">
        <v>413</v>
      </c>
      <c r="G16" s="276">
        <f>+G11</f>
        <v>3152.3</v>
      </c>
      <c r="J16" s="67" t="s">
        <v>412</v>
      </c>
      <c r="K16" s="59"/>
      <c r="L16" s="62">
        <f>SUM(L13:L15)</f>
        <v>3967.130000000001</v>
      </c>
      <c r="N16" s="272" t="s">
        <v>411</v>
      </c>
      <c r="Q16" s="275">
        <f>SUM(Q14:Q15)</f>
        <v>214.83</v>
      </c>
      <c r="R16" s="59"/>
      <c r="S16" s="59"/>
      <c r="T16" s="59"/>
      <c r="U16" s="59"/>
      <c r="V16" s="59"/>
      <c r="W16" s="59"/>
      <c r="Y16" s="59"/>
      <c r="Z16" s="59"/>
      <c r="AA16" s="59"/>
      <c r="AB16" s="59"/>
      <c r="AC16" s="59"/>
      <c r="AD16" s="59"/>
      <c r="AE16" s="59"/>
      <c r="AF16" s="59"/>
      <c r="AG16" s="59"/>
      <c r="AH16" s="59"/>
      <c r="AI16" s="59"/>
      <c r="AJ16" s="59"/>
    </row>
    <row r="17" spans="1:58" ht="15" customHeight="1" x14ac:dyDescent="0.15">
      <c r="A17" s="59"/>
      <c r="B17" s="59"/>
      <c r="C17" s="67" t="s">
        <v>410</v>
      </c>
      <c r="D17" s="59"/>
      <c r="E17" s="59"/>
      <c r="F17" s="59"/>
      <c r="G17" s="143">
        <f ca="1">SUM(G15:G16)</f>
        <v>4899.9999999999991</v>
      </c>
      <c r="J17" s="59"/>
      <c r="K17" s="59"/>
      <c r="L17" s="59"/>
      <c r="M17" s="59"/>
      <c r="Q17" s="209"/>
      <c r="R17" s="59"/>
      <c r="S17" s="59"/>
      <c r="T17" s="59"/>
      <c r="U17" s="59"/>
      <c r="V17" s="59"/>
      <c r="W17" s="59"/>
      <c r="Y17" s="59"/>
      <c r="Z17" s="59"/>
      <c r="AA17" s="59"/>
      <c r="AB17" s="59"/>
      <c r="AC17" s="59"/>
      <c r="AD17" s="59"/>
      <c r="AE17" s="59"/>
      <c r="AF17" s="59"/>
      <c r="AG17" s="59"/>
      <c r="AH17" s="59"/>
      <c r="AI17" s="59"/>
      <c r="AJ17" s="59"/>
    </row>
    <row r="18" spans="1:58" ht="15" customHeight="1" x14ac:dyDescent="0.15">
      <c r="A18" s="59"/>
      <c r="B18" s="59"/>
      <c r="C18" s="128" t="s">
        <v>409</v>
      </c>
      <c r="D18" s="59"/>
      <c r="E18" s="59"/>
      <c r="F18" s="59"/>
      <c r="G18" s="274">
        <f ca="1">G12+G14</f>
        <v>1113.6363636363635</v>
      </c>
      <c r="N18" s="128" t="s">
        <v>408</v>
      </c>
      <c r="O18" s="59"/>
      <c r="P18" s="59"/>
      <c r="Q18" s="71">
        <f>L13</f>
        <v>600</v>
      </c>
      <c r="R18" s="59"/>
      <c r="S18" s="59"/>
      <c r="T18" s="59"/>
      <c r="U18" s="59"/>
      <c r="V18" s="59"/>
      <c r="W18" s="59"/>
      <c r="Y18" s="59"/>
      <c r="Z18" s="59"/>
      <c r="AA18" s="59"/>
      <c r="AB18" s="59"/>
      <c r="AC18" s="59"/>
      <c r="AD18" s="59"/>
      <c r="AE18" s="59"/>
      <c r="AF18" s="59"/>
      <c r="AG18" s="59"/>
      <c r="AH18" s="59"/>
      <c r="AI18" s="59"/>
      <c r="AJ18" s="59"/>
    </row>
    <row r="19" spans="1:58" ht="15" customHeight="1" thickBot="1" x14ac:dyDescent="0.2">
      <c r="A19" s="59"/>
      <c r="B19" s="59"/>
      <c r="C19" s="67" t="s">
        <v>407</v>
      </c>
      <c r="D19" s="59"/>
      <c r="E19" s="59"/>
      <c r="F19" s="59"/>
      <c r="G19" s="248">
        <f ca="1">G17/G18</f>
        <v>4.3999999999999995</v>
      </c>
      <c r="J19" s="67"/>
      <c r="K19" s="59"/>
      <c r="L19" s="69"/>
      <c r="N19" s="128" t="s">
        <v>406</v>
      </c>
      <c r="O19" s="59"/>
      <c r="P19" s="59"/>
      <c r="Q19" s="182">
        <f>0.2*G21</f>
        <v>477.40000000000003</v>
      </c>
      <c r="R19" s="59"/>
      <c r="S19" s="59"/>
      <c r="T19" s="59"/>
      <c r="U19" s="59"/>
      <c r="V19" s="59"/>
      <c r="W19" s="59"/>
      <c r="Y19" s="59"/>
      <c r="Z19" s="59"/>
      <c r="AA19" s="59"/>
      <c r="AB19" s="59"/>
      <c r="AC19" s="59"/>
      <c r="AD19" s="59"/>
      <c r="AE19" s="59"/>
      <c r="AF19" s="59"/>
      <c r="AG19" s="59"/>
      <c r="AH19" s="59"/>
      <c r="AI19" s="59"/>
      <c r="AJ19" s="59"/>
    </row>
    <row r="20" spans="1:58" ht="15" customHeight="1" thickTop="1" thickBot="1" x14ac:dyDescent="0.2">
      <c r="A20" s="59"/>
      <c r="B20" s="59"/>
      <c r="C20" s="59"/>
      <c r="D20" s="59"/>
      <c r="E20" s="59"/>
      <c r="F20" s="59"/>
      <c r="G20" s="59"/>
      <c r="H20" s="59"/>
      <c r="J20" s="67" t="s">
        <v>405</v>
      </c>
      <c r="K20" s="59"/>
      <c r="L20" s="146">
        <f>SUM(L11,L16)</f>
        <v>12033.73</v>
      </c>
      <c r="N20" s="272"/>
      <c r="O20" s="59"/>
      <c r="P20" s="59"/>
      <c r="Q20" s="273"/>
      <c r="R20" s="59"/>
      <c r="S20" s="59"/>
      <c r="T20" s="59"/>
      <c r="U20" s="59"/>
      <c r="V20" s="59"/>
      <c r="W20" s="59"/>
      <c r="X20" s="59"/>
      <c r="Y20" s="59"/>
      <c r="Z20" s="59"/>
      <c r="AA20" s="59"/>
      <c r="AB20" s="59"/>
      <c r="AC20" s="59"/>
      <c r="AD20" s="59"/>
      <c r="AE20" s="59"/>
      <c r="AF20" s="59"/>
      <c r="AG20" s="59"/>
      <c r="AH20" s="59"/>
      <c r="AI20" s="59"/>
      <c r="AJ20" s="59"/>
    </row>
    <row r="21" spans="1:58" ht="15" customHeight="1" thickTop="1" thickBot="1" x14ac:dyDescent="0.2">
      <c r="A21" s="59"/>
      <c r="B21" s="59"/>
      <c r="C21" s="67" t="s">
        <v>299</v>
      </c>
      <c r="D21" s="67"/>
      <c r="E21" s="67"/>
      <c r="G21" s="273">
        <f>+E63</f>
        <v>2387</v>
      </c>
      <c r="H21" s="59"/>
      <c r="N21" s="272" t="s">
        <v>404</v>
      </c>
      <c r="O21" s="59"/>
      <c r="P21" s="59"/>
      <c r="Q21" s="146">
        <f>SUM(Q12,Q16,Q19,Q18)</f>
        <v>12033.73</v>
      </c>
      <c r="R21" s="59"/>
      <c r="S21" s="59"/>
      <c r="T21" s="59"/>
      <c r="U21" s="59"/>
      <c r="V21" s="59"/>
      <c r="W21" s="59"/>
      <c r="X21" s="59"/>
      <c r="Y21" s="59"/>
      <c r="Z21" s="59"/>
      <c r="AA21" s="59"/>
      <c r="AB21" s="59"/>
      <c r="AC21" s="59"/>
      <c r="AD21" s="59"/>
      <c r="AE21" s="59"/>
      <c r="AF21" s="59"/>
      <c r="AG21" s="59"/>
      <c r="AH21" s="59"/>
      <c r="AI21" s="59"/>
      <c r="AJ21" s="59"/>
    </row>
    <row r="22" spans="1:58" ht="15" customHeight="1" thickTop="1" thickBot="1" x14ac:dyDescent="0.2">
      <c r="A22" s="59"/>
      <c r="B22" s="59"/>
      <c r="C22" s="271" t="s">
        <v>403</v>
      </c>
      <c r="D22" s="271"/>
      <c r="E22" s="271"/>
      <c r="G22" s="270">
        <f>[1]Sheet1!D12</f>
        <v>4.5</v>
      </c>
      <c r="H22" s="59"/>
      <c r="Q22" s="59"/>
      <c r="R22" s="59"/>
      <c r="S22" s="59"/>
      <c r="T22" s="59"/>
      <c r="U22" s="59"/>
      <c r="V22" s="59"/>
      <c r="W22" s="59"/>
      <c r="X22" s="59"/>
      <c r="Y22" s="59"/>
      <c r="Z22" s="59"/>
      <c r="AA22" s="59"/>
      <c r="AB22" s="59"/>
      <c r="AC22" s="59"/>
      <c r="AD22" s="59"/>
      <c r="AE22" s="59"/>
      <c r="AF22" s="59"/>
      <c r="AG22" s="59"/>
      <c r="AH22" s="59"/>
      <c r="AI22" s="59"/>
      <c r="AJ22" s="59"/>
    </row>
    <row r="23" spans="1:58" ht="15" customHeight="1" thickTop="1" x14ac:dyDescent="0.15">
      <c r="A23" s="59"/>
      <c r="B23" s="59"/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67"/>
      <c r="O23" s="59"/>
      <c r="P23" s="59"/>
      <c r="Q23" s="59"/>
      <c r="R23" s="59"/>
      <c r="T23" s="59"/>
      <c r="U23" s="59"/>
      <c r="V23" s="269"/>
      <c r="W23" s="268"/>
      <c r="X23" s="267"/>
      <c r="Y23" s="267"/>
      <c r="Z23" s="267"/>
      <c r="AA23" s="267"/>
      <c r="AB23" s="267"/>
      <c r="AC23" s="267"/>
      <c r="AD23" s="267"/>
      <c r="AE23" s="267"/>
      <c r="AF23" s="267"/>
      <c r="AG23" s="267"/>
      <c r="AH23" s="266"/>
      <c r="AI23" s="59"/>
      <c r="AJ23" s="59"/>
    </row>
    <row r="24" spans="1:58" ht="17" customHeight="1" x14ac:dyDescent="0.3">
      <c r="A24" s="73" t="s">
        <v>270</v>
      </c>
      <c r="B24" s="59"/>
      <c r="C24" s="65" t="s">
        <v>402</v>
      </c>
      <c r="D24" s="65"/>
      <c r="E24" s="65"/>
      <c r="F24" s="65"/>
      <c r="G24" s="72"/>
      <c r="H24" s="72"/>
      <c r="I24" s="72"/>
      <c r="J24" s="72"/>
      <c r="K24" s="72"/>
      <c r="L24" s="72"/>
      <c r="M24" s="72"/>
      <c r="N24" s="72"/>
      <c r="O24" s="72"/>
      <c r="P24" s="72"/>
      <c r="Q24" s="72"/>
      <c r="R24" s="72"/>
      <c r="S24" s="72"/>
      <c r="T24" s="59"/>
      <c r="U24" s="59"/>
      <c r="V24" s="237"/>
      <c r="W24" s="65" t="s">
        <v>401</v>
      </c>
      <c r="X24" s="65"/>
      <c r="Y24" s="65"/>
      <c r="Z24" s="65"/>
      <c r="AA24" s="72"/>
      <c r="AB24" s="72"/>
      <c r="AC24" s="72"/>
      <c r="AD24" s="72"/>
      <c r="AE24" s="72"/>
      <c r="AF24" s="72"/>
      <c r="AG24" s="72"/>
      <c r="AH24" s="234"/>
      <c r="AI24" s="59"/>
      <c r="AJ24" s="59"/>
      <c r="AW24" s="56" t="s">
        <v>400</v>
      </c>
    </row>
    <row r="25" spans="1:58" ht="17" x14ac:dyDescent="0.3">
      <c r="A25" s="59"/>
      <c r="B25" s="59"/>
      <c r="C25" s="65"/>
      <c r="D25" s="65"/>
      <c r="E25" s="65" t="s">
        <v>380</v>
      </c>
      <c r="F25" s="246"/>
      <c r="G25" s="72"/>
      <c r="H25" s="72"/>
      <c r="I25" s="65"/>
      <c r="J25" s="65" t="s">
        <v>399</v>
      </c>
      <c r="K25" s="72"/>
      <c r="L25" s="72"/>
      <c r="M25" s="72"/>
      <c r="N25" s="72"/>
      <c r="T25" s="59"/>
      <c r="U25" s="59"/>
      <c r="V25" s="237"/>
      <c r="W25" s="59"/>
      <c r="X25" s="59"/>
      <c r="Y25" s="59"/>
      <c r="Z25" s="59"/>
      <c r="AA25" s="59"/>
      <c r="AB25" s="59"/>
      <c r="AC25" s="59"/>
      <c r="AD25" s="59"/>
      <c r="AE25" s="59"/>
      <c r="AF25" s="59"/>
      <c r="AG25" s="59"/>
      <c r="AH25" s="234"/>
      <c r="AI25" s="59"/>
      <c r="AJ25" s="65" t="s">
        <v>398</v>
      </c>
      <c r="AK25" s="65"/>
      <c r="AL25" s="72"/>
      <c r="AM25" s="72"/>
      <c r="AX25" s="264">
        <v>0.3</v>
      </c>
    </row>
    <row r="26" spans="1:58" ht="17" x14ac:dyDescent="0.3">
      <c r="A26" s="59"/>
      <c r="B26" s="59"/>
      <c r="C26" s="65"/>
      <c r="D26" s="65"/>
      <c r="E26" s="65" t="s">
        <v>378</v>
      </c>
      <c r="F26" s="246"/>
      <c r="G26" s="65" t="s">
        <v>377</v>
      </c>
      <c r="H26" s="245"/>
      <c r="I26" s="244" t="s">
        <v>376</v>
      </c>
      <c r="J26" s="65" t="s">
        <v>378</v>
      </c>
      <c r="K26" s="246"/>
      <c r="L26" s="65" t="s">
        <v>377</v>
      </c>
      <c r="M26" s="245"/>
      <c r="N26" s="244" t="s">
        <v>376</v>
      </c>
      <c r="U26" s="59"/>
      <c r="V26" s="237"/>
      <c r="W26" s="65"/>
      <c r="X26" s="173"/>
      <c r="Y26" s="59"/>
      <c r="AA26" s="65" t="s">
        <v>397</v>
      </c>
      <c r="AB26" s="246"/>
      <c r="AC26" s="65" t="s">
        <v>396</v>
      </c>
      <c r="AD26" s="245"/>
      <c r="AF26" s="59"/>
      <c r="AH26" s="234"/>
      <c r="AI26" s="59"/>
      <c r="AJ26" s="65"/>
      <c r="AK26" s="65"/>
      <c r="AL26" s="65" t="s">
        <v>395</v>
      </c>
      <c r="AM26" s="246"/>
      <c r="AR26" s="56">
        <f>AR27/2</f>
        <v>4.9999999999999996E-2</v>
      </c>
      <c r="AS26" s="265">
        <v>0.08</v>
      </c>
      <c r="AT26" s="56" t="str">
        <f ca="1">IF($R$187&lt;AS26,1,"")</f>
        <v/>
      </c>
      <c r="AU26" s="56">
        <v>0</v>
      </c>
      <c r="AW26" s="56" t="s">
        <v>394</v>
      </c>
    </row>
    <row r="27" spans="1:58" ht="17" x14ac:dyDescent="0.3">
      <c r="A27" s="59"/>
      <c r="B27" s="59"/>
      <c r="C27" s="65" t="s">
        <v>393</v>
      </c>
      <c r="D27" s="65"/>
      <c r="E27" s="65" t="s">
        <v>266</v>
      </c>
      <c r="F27" s="65" t="s">
        <v>265</v>
      </c>
      <c r="G27" s="65" t="s">
        <v>374</v>
      </c>
      <c r="H27" s="65" t="s">
        <v>373</v>
      </c>
      <c r="I27" s="242" t="s">
        <v>372</v>
      </c>
      <c r="J27" s="65" t="s">
        <v>266</v>
      </c>
      <c r="K27" s="65" t="s">
        <v>265</v>
      </c>
      <c r="L27" s="65" t="s">
        <v>374</v>
      </c>
      <c r="M27" s="65" t="s">
        <v>373</v>
      </c>
      <c r="N27" s="242" t="s">
        <v>372</v>
      </c>
      <c r="Q27" s="105"/>
      <c r="U27" s="59"/>
      <c r="V27" s="237"/>
      <c r="W27" s="65"/>
      <c r="X27" s="173"/>
      <c r="Y27" s="59"/>
      <c r="AA27" s="65" t="s">
        <v>266</v>
      </c>
      <c r="AB27" s="65" t="s">
        <v>265</v>
      </c>
      <c r="AC27" s="65" t="s">
        <v>374</v>
      </c>
      <c r="AD27" s="65" t="s">
        <v>392</v>
      </c>
      <c r="AE27" s="65" t="s">
        <v>50</v>
      </c>
      <c r="AF27" s="59"/>
      <c r="AG27" s="65" t="s">
        <v>392</v>
      </c>
      <c r="AH27" s="234"/>
      <c r="AI27" s="59"/>
      <c r="AJ27" s="65" t="s">
        <v>391</v>
      </c>
      <c r="AK27" s="65" t="s">
        <v>390</v>
      </c>
      <c r="AL27" s="65" t="s">
        <v>389</v>
      </c>
      <c r="AM27" s="65" t="s">
        <v>388</v>
      </c>
      <c r="AR27" s="56">
        <f>AX25/3</f>
        <v>9.9999999999999992E-2</v>
      </c>
      <c r="AS27" s="265">
        <v>0.25</v>
      </c>
      <c r="AT27" s="56" t="str">
        <f ca="1">IF(AND($R$187&gt;=AS26,$R$187&lt;AS28),1,"")</f>
        <v/>
      </c>
      <c r="AU27" s="239">
        <f>AX27</f>
        <v>0.2</v>
      </c>
      <c r="AX27" s="264">
        <v>0.2</v>
      </c>
      <c r="AY27" s="229"/>
      <c r="AZ27" s="229"/>
      <c r="BA27" s="229"/>
      <c r="BB27" s="229"/>
      <c r="BC27" s="229"/>
      <c r="BD27" s="229"/>
      <c r="BE27" s="229"/>
      <c r="BF27" s="229"/>
    </row>
    <row r="28" spans="1:58" ht="15" customHeight="1" x14ac:dyDescent="0.15">
      <c r="A28" s="59"/>
      <c r="B28" s="59"/>
      <c r="C28" s="209" t="str">
        <f>W28</f>
        <v>SPUR Acquisitions</v>
      </c>
      <c r="D28" s="59"/>
      <c r="E28" s="161">
        <f>$AL28*AA28</f>
        <v>0</v>
      </c>
      <c r="F28" s="161">
        <f>$AL28*AB28</f>
        <v>190.33721409764297</v>
      </c>
      <c r="G28" s="161">
        <f>$AL28*AC28</f>
        <v>0</v>
      </c>
      <c r="H28" s="262">
        <f>$AL28*AD28</f>
        <v>0</v>
      </c>
      <c r="I28" s="227">
        <f>SUM(E28:H28)</f>
        <v>190.33721409764297</v>
      </c>
      <c r="J28" s="60">
        <f t="shared" ref="J28:M31" si="0">IF(ISERROR(E28/E$33),0,(E28/E$33))</f>
        <v>0</v>
      </c>
      <c r="K28" s="60">
        <f t="shared" si="0"/>
        <v>1</v>
      </c>
      <c r="L28" s="60">
        <f t="shared" si="0"/>
        <v>0</v>
      </c>
      <c r="M28" s="258">
        <f t="shared" ca="1" si="0"/>
        <v>0</v>
      </c>
      <c r="N28" s="228">
        <f ca="1">I28/I$33</f>
        <v>4.8979591836734698E-2</v>
      </c>
      <c r="U28" s="59"/>
      <c r="V28" s="237"/>
      <c r="W28" s="170" t="s">
        <v>387</v>
      </c>
      <c r="X28" s="59"/>
      <c r="Y28" s="59"/>
      <c r="AA28" s="257">
        <v>0</v>
      </c>
      <c r="AB28" s="256">
        <f>1-SUM(AA28,AC28:AD28)</f>
        <v>1</v>
      </c>
      <c r="AC28" s="257">
        <v>0</v>
      </c>
      <c r="AD28" s="257">
        <v>0</v>
      </c>
      <c r="AE28" s="255">
        <f>SUM(AA28:AD28)</f>
        <v>1</v>
      </c>
      <c r="AF28" s="59"/>
      <c r="AG28" s="71">
        <f ca="1">AG29*AG30</f>
        <v>1224.9999999999993</v>
      </c>
      <c r="AH28" s="234"/>
      <c r="AI28" s="59"/>
      <c r="AJ28" s="260">
        <f>L13</f>
        <v>600</v>
      </c>
      <c r="AK28" s="259">
        <f>$G$13</f>
        <v>3.1523000000000003</v>
      </c>
      <c r="AL28" s="61">
        <f>AJ28/AK28</f>
        <v>190.33721409764297</v>
      </c>
      <c r="AM28" s="60">
        <f ca="1">AL28/AL$33</f>
        <v>6.1224489795918366E-2</v>
      </c>
      <c r="AR28" s="56">
        <f>AR27*2</f>
        <v>0.19999999999999998</v>
      </c>
      <c r="AS28" s="263">
        <f>+AS27+5%</f>
        <v>0.3</v>
      </c>
      <c r="AT28" s="56">
        <f ca="1">IFERROR(IF(OR($R$187&lt;AS28,$R$187&gt;=AS29),"",1),1)</f>
        <v>1</v>
      </c>
      <c r="AU28" s="239">
        <f>AU27+$AR$26</f>
        <v>0.25</v>
      </c>
      <c r="AW28" s="56" t="s">
        <v>386</v>
      </c>
    </row>
    <row r="29" spans="1:58" ht="15" customHeight="1" x14ac:dyDescent="0.15">
      <c r="A29" s="59"/>
      <c r="B29" s="59"/>
      <c r="C29" s="209" t="str">
        <f>W29</f>
        <v>Financial Sponsor</v>
      </c>
      <c r="D29" s="59"/>
      <c r="E29" s="161">
        <f t="shared" ref="E29:G30" si="1">$AL29*AA29</f>
        <v>1068.1502395076614</v>
      </c>
      <c r="F29" s="161">
        <f t="shared" si="1"/>
        <v>0</v>
      </c>
      <c r="G29" s="161">
        <f t="shared" si="1"/>
        <v>0</v>
      </c>
      <c r="H29" s="262">
        <v>0</v>
      </c>
      <c r="I29" s="227">
        <f>SUM(E29:H29)</f>
        <v>1068.1502395076614</v>
      </c>
      <c r="J29" s="60">
        <f t="shared" si="0"/>
        <v>1</v>
      </c>
      <c r="K29" s="60">
        <f t="shared" si="0"/>
        <v>0</v>
      </c>
      <c r="L29" s="60">
        <f t="shared" si="0"/>
        <v>0</v>
      </c>
      <c r="M29" s="258">
        <f t="shared" ca="1" si="0"/>
        <v>0</v>
      </c>
      <c r="N29" s="228">
        <f ca="1">I29/I$33</f>
        <v>0.75102040816326532</v>
      </c>
      <c r="U29" s="59"/>
      <c r="V29" s="237"/>
      <c r="W29" s="170" t="s">
        <v>385</v>
      </c>
      <c r="X29" s="59"/>
      <c r="Y29" s="59"/>
      <c r="AA29" s="257">
        <v>1</v>
      </c>
      <c r="AB29" s="256">
        <f>1-SUM(AA29,AC29:AD29)</f>
        <v>0</v>
      </c>
      <c r="AC29" s="257">
        <v>0</v>
      </c>
      <c r="AD29" s="257">
        <v>0</v>
      </c>
      <c r="AE29" s="255">
        <f>SUM(AA29:AD29)</f>
        <v>1</v>
      </c>
      <c r="AF29" s="59"/>
      <c r="AG29" s="251">
        <f ca="1">G19</f>
        <v>4.3999999999999995</v>
      </c>
      <c r="AH29" s="234"/>
      <c r="AI29" s="59"/>
      <c r="AJ29" s="260">
        <f>L14</f>
        <v>3367.130000000001</v>
      </c>
      <c r="AK29" s="259">
        <f>$G$13</f>
        <v>3.1523000000000003</v>
      </c>
      <c r="AL29" s="61">
        <f>AJ29/AK29</f>
        <v>1068.1502395076614</v>
      </c>
      <c r="AM29" s="60">
        <f ca="1">AL29/AL$33</f>
        <v>0.93877551020408156</v>
      </c>
      <c r="AS29" s="263">
        <f>+AS28+5%</f>
        <v>0.35</v>
      </c>
      <c r="AT29" s="56" t="str">
        <f ca="1">IFERROR(IF($R$187&lt;AS29,"",1),1)</f>
        <v/>
      </c>
      <c r="AU29" s="239">
        <f>AU28+$AR$26</f>
        <v>0.3</v>
      </c>
      <c r="AX29" s="239">
        <f ca="1">VLOOKUP(1,AT26:AU29,2)</f>
        <v>0.25</v>
      </c>
    </row>
    <row r="30" spans="1:58" ht="15" customHeight="1" thickBot="1" x14ac:dyDescent="0.2">
      <c r="A30" s="59"/>
      <c r="B30" s="59"/>
      <c r="C30" s="209" t="str">
        <f>W30</f>
        <v>Pre-Existing Shareholders</v>
      </c>
      <c r="D30" s="59"/>
      <c r="E30" s="161">
        <f t="shared" si="1"/>
        <v>0</v>
      </c>
      <c r="F30" s="161">
        <f t="shared" si="1"/>
        <v>0</v>
      </c>
      <c r="G30" s="161">
        <f t="shared" si="1"/>
        <v>0</v>
      </c>
      <c r="H30" s="262">
        <v>0</v>
      </c>
      <c r="I30" s="227">
        <f>SUM(E30:H30)</f>
        <v>0</v>
      </c>
      <c r="J30" s="60">
        <f t="shared" si="0"/>
        <v>0</v>
      </c>
      <c r="K30" s="60">
        <f t="shared" si="0"/>
        <v>0</v>
      </c>
      <c r="L30" s="60">
        <f t="shared" si="0"/>
        <v>0</v>
      </c>
      <c r="M30" s="258">
        <f t="shared" ca="1" si="0"/>
        <v>0</v>
      </c>
      <c r="N30" s="228">
        <f ca="1">I30/I$33</f>
        <v>0</v>
      </c>
      <c r="U30" s="59"/>
      <c r="V30" s="237"/>
      <c r="W30" s="170" t="s">
        <v>384</v>
      </c>
      <c r="X30" s="59"/>
      <c r="Y30" s="59"/>
      <c r="AA30" s="257">
        <v>0</v>
      </c>
      <c r="AB30" s="256">
        <f>1-SUM(AA30,AC30:AD30)</f>
        <v>0</v>
      </c>
      <c r="AC30" s="257">
        <v>1</v>
      </c>
      <c r="AD30" s="257">
        <v>0</v>
      </c>
      <c r="AE30" s="255">
        <f>SUM(AA30:AD30)</f>
        <v>1</v>
      </c>
      <c r="AF30" s="59"/>
      <c r="AG30" s="261">
        <f ca="1">(AL33/(1-$AX$27))-AL33</f>
        <v>278.40909090909076</v>
      </c>
      <c r="AH30" s="234"/>
      <c r="AI30" s="59"/>
      <c r="AJ30" s="260">
        <f>L15</f>
        <v>0</v>
      </c>
      <c r="AK30" s="259">
        <f>$G$13</f>
        <v>3.1523000000000003</v>
      </c>
      <c r="AL30" s="61">
        <f>AJ30/AK30</f>
        <v>0</v>
      </c>
      <c r="AM30" s="60">
        <f ca="1">AL30/AL$33</f>
        <v>0</v>
      </c>
      <c r="AS30" s="229"/>
      <c r="AU30" s="239"/>
    </row>
    <row r="31" spans="1:58" ht="15" customHeight="1" thickTop="1" x14ac:dyDescent="0.15">
      <c r="A31" s="59"/>
      <c r="B31" s="59"/>
      <c r="C31" s="209" t="str">
        <f>W31</f>
        <v>Equity-Incentive Plan (EIP)</v>
      </c>
      <c r="D31" s="59"/>
      <c r="E31" s="161">
        <f>$AL31*AA31</f>
        <v>0</v>
      </c>
      <c r="F31" s="161">
        <f>$AL31*AB31</f>
        <v>0</v>
      </c>
      <c r="G31" s="161">
        <f>AL31-E31</f>
        <v>0</v>
      </c>
      <c r="H31" s="161">
        <f ca="1">AG30</f>
        <v>278.40909090909076</v>
      </c>
      <c r="I31" s="227">
        <f ca="1">SUM(E31:H31)</f>
        <v>278.40909090909076</v>
      </c>
      <c r="J31" s="60">
        <f t="shared" si="0"/>
        <v>0</v>
      </c>
      <c r="K31" s="60">
        <f t="shared" si="0"/>
        <v>0</v>
      </c>
      <c r="L31" s="60">
        <f t="shared" si="0"/>
        <v>0</v>
      </c>
      <c r="M31" s="258">
        <f t="shared" ca="1" si="0"/>
        <v>1</v>
      </c>
      <c r="N31" s="228">
        <f ca="1">I31/I$33</f>
        <v>0.19999999999999993</v>
      </c>
      <c r="U31" s="59"/>
      <c r="V31" s="237"/>
      <c r="W31" s="170" t="s">
        <v>383</v>
      </c>
      <c r="X31" s="59"/>
      <c r="Y31" s="59"/>
      <c r="AA31" s="257">
        <v>0</v>
      </c>
      <c r="AB31" s="257">
        <v>0</v>
      </c>
      <c r="AC31" s="257">
        <v>0</v>
      </c>
      <c r="AD31" s="256">
        <f>1-SUM(AA31:AC31)</f>
        <v>1</v>
      </c>
      <c r="AE31" s="255">
        <f>SUM(AA31:AD31)</f>
        <v>1</v>
      </c>
      <c r="AF31" s="59"/>
      <c r="AG31" s="59"/>
      <c r="AH31" s="234"/>
      <c r="AI31" s="59"/>
      <c r="AJ31" s="182">
        <v>0</v>
      </c>
      <c r="AK31" s="254">
        <v>0.01</v>
      </c>
      <c r="AL31" s="182">
        <v>0</v>
      </c>
      <c r="AM31" s="182">
        <v>0</v>
      </c>
      <c r="AS31" s="229"/>
      <c r="AU31" s="239"/>
    </row>
    <row r="32" spans="1:58" ht="15" customHeight="1" x14ac:dyDescent="0.15">
      <c r="A32" s="59"/>
      <c r="B32" s="59"/>
      <c r="C32" s="59"/>
      <c r="D32" s="59"/>
      <c r="E32" s="161"/>
      <c r="F32" s="161"/>
      <c r="G32" s="161"/>
      <c r="H32" s="161"/>
      <c r="I32" s="227"/>
      <c r="J32" s="63"/>
      <c r="K32" s="63"/>
      <c r="L32" s="253"/>
      <c r="M32" s="252"/>
      <c r="N32" s="226"/>
      <c r="U32" s="59"/>
      <c r="V32" s="237"/>
      <c r="W32" s="59"/>
      <c r="X32" s="59"/>
      <c r="Y32" s="59"/>
      <c r="AA32" s="240"/>
      <c r="AB32" s="240"/>
      <c r="AC32" s="240"/>
      <c r="AD32" s="240"/>
      <c r="AE32" s="240"/>
      <c r="AF32" s="59"/>
      <c r="AG32" s="59"/>
      <c r="AH32" s="234"/>
      <c r="AI32" s="59"/>
      <c r="AJ32" s="59"/>
      <c r="AK32" s="251"/>
      <c r="AL32" s="161">
        <f ca="1">SUM(AK32:AM32)</f>
        <v>0</v>
      </c>
      <c r="AM32" s="161"/>
      <c r="AS32" s="229"/>
      <c r="AU32" s="239"/>
    </row>
    <row r="33" spans="1:47" ht="15" customHeight="1" thickBot="1" x14ac:dyDescent="0.2">
      <c r="A33" s="59"/>
      <c r="B33" s="59"/>
      <c r="C33" s="67" t="s">
        <v>279</v>
      </c>
      <c r="D33" s="67"/>
      <c r="E33" s="160">
        <f>SUM(E28:E32)</f>
        <v>1068.1502395076614</v>
      </c>
      <c r="F33" s="160">
        <f>SUM(F28:F32)</f>
        <v>190.33721409764297</v>
      </c>
      <c r="G33" s="160">
        <f>SUM(G28:G32)</f>
        <v>0</v>
      </c>
      <c r="H33" s="160">
        <f ca="1">SUM(H28:H32)</f>
        <v>278.40909090909076</v>
      </c>
      <c r="I33" s="225">
        <f ca="1">SUM(I28:I31)</f>
        <v>1392.0454545454543</v>
      </c>
      <c r="J33" s="96">
        <f>SUM(J28:J32)</f>
        <v>1</v>
      </c>
      <c r="K33" s="96">
        <f>SUM(K28:K32)</f>
        <v>1</v>
      </c>
      <c r="L33" s="96">
        <f>SUM(L28:L32)</f>
        <v>0</v>
      </c>
      <c r="M33" s="250">
        <f ca="1">SUM(M28:M32)</f>
        <v>1</v>
      </c>
      <c r="N33" s="224">
        <f ca="1">SUM(N28:N32)</f>
        <v>1</v>
      </c>
      <c r="U33" s="59"/>
      <c r="V33" s="237"/>
      <c r="W33" s="249" t="s">
        <v>382</v>
      </c>
      <c r="X33" s="59"/>
      <c r="Y33" s="59"/>
      <c r="AA33" s="240"/>
      <c r="AB33" s="240"/>
      <c r="AC33" s="240"/>
      <c r="AD33" s="240"/>
      <c r="AE33" s="240"/>
      <c r="AF33" s="59"/>
      <c r="AG33" s="59"/>
      <c r="AH33" s="234"/>
      <c r="AI33" s="59"/>
      <c r="AJ33" s="146">
        <f>SUM(AJ28:AJ32)</f>
        <v>3967.130000000001</v>
      </c>
      <c r="AK33" s="248">
        <f ca="1">AJ33/AL33</f>
        <v>4.4000000000000004</v>
      </c>
      <c r="AL33" s="160">
        <f ca="1">SUM(AL28:AL32)</f>
        <v>1113.6363636363635</v>
      </c>
      <c r="AM33" s="96">
        <f ca="1">SUM(AM28:AM32)</f>
        <v>0.99999999999999989</v>
      </c>
      <c r="AS33" s="229"/>
      <c r="AU33" s="239"/>
    </row>
    <row r="34" spans="1:47" ht="15" customHeight="1" thickTop="1" x14ac:dyDescent="0.15">
      <c r="A34" s="59"/>
      <c r="B34" s="59"/>
      <c r="C34" s="59"/>
      <c r="D34" s="59"/>
      <c r="E34" s="59"/>
      <c r="F34" s="59"/>
      <c r="I34" s="193"/>
      <c r="J34" s="59"/>
      <c r="K34" s="59"/>
      <c r="L34" s="59"/>
      <c r="M34" s="59"/>
      <c r="N34" s="193"/>
      <c r="U34" s="59"/>
      <c r="V34" s="237"/>
      <c r="W34" s="59" t="s">
        <v>381</v>
      </c>
      <c r="X34" s="59"/>
      <c r="Y34" s="59"/>
      <c r="AA34" s="247">
        <v>1</v>
      </c>
      <c r="AB34" s="247">
        <v>1</v>
      </c>
      <c r="AC34" s="240"/>
      <c r="AD34" s="240"/>
      <c r="AE34" s="240"/>
      <c r="AF34" s="59"/>
      <c r="AG34" s="59"/>
      <c r="AH34" s="234"/>
      <c r="AI34" s="59"/>
      <c r="AJ34" s="59"/>
      <c r="AS34" s="229"/>
      <c r="AU34" s="239"/>
    </row>
    <row r="35" spans="1:47" ht="15" customHeight="1" x14ac:dyDescent="0.3">
      <c r="A35" s="59"/>
      <c r="B35" s="59"/>
      <c r="E35" s="65" t="s">
        <v>380</v>
      </c>
      <c r="F35" s="246"/>
      <c r="G35" s="72"/>
      <c r="H35" s="72"/>
      <c r="I35" s="65"/>
      <c r="N35" s="59"/>
      <c r="O35" s="59"/>
      <c r="U35" s="59"/>
      <c r="V35" s="237"/>
      <c r="W35" s="59" t="s">
        <v>379</v>
      </c>
      <c r="X35" s="59"/>
      <c r="Y35" s="59"/>
      <c r="AA35" s="241">
        <v>1</v>
      </c>
      <c r="AB35" s="241">
        <v>0</v>
      </c>
      <c r="AC35" s="240"/>
      <c r="AD35" s="240"/>
      <c r="AE35" s="240"/>
      <c r="AF35" s="59"/>
      <c r="AG35" s="59"/>
      <c r="AH35" s="234"/>
      <c r="AI35" s="59"/>
      <c r="AJ35" s="59"/>
      <c r="AS35" s="229"/>
      <c r="AU35" s="239"/>
    </row>
    <row r="36" spans="1:47" ht="17" customHeight="1" x14ac:dyDescent="0.3">
      <c r="A36" s="59"/>
      <c r="B36" s="59"/>
      <c r="E36" s="65" t="s">
        <v>378</v>
      </c>
      <c r="F36" s="246"/>
      <c r="G36" s="65" t="s">
        <v>377</v>
      </c>
      <c r="H36" s="245"/>
      <c r="I36" s="244" t="s">
        <v>376</v>
      </c>
      <c r="N36" s="244" t="s">
        <v>376</v>
      </c>
      <c r="O36" s="59"/>
      <c r="P36" s="243"/>
      <c r="Q36" s="243"/>
      <c r="R36" s="59"/>
      <c r="T36" s="59"/>
      <c r="U36" s="59"/>
      <c r="V36" s="237"/>
      <c r="W36" s="59" t="s">
        <v>375</v>
      </c>
      <c r="X36" s="59"/>
      <c r="Y36" s="59"/>
      <c r="AA36" s="241">
        <v>0.08</v>
      </c>
      <c r="AB36" s="241">
        <v>0.08</v>
      </c>
      <c r="AC36" s="240"/>
      <c r="AD36" s="240"/>
      <c r="AE36" s="240"/>
      <c r="AF36" s="59"/>
      <c r="AG36" s="59"/>
      <c r="AH36" s="234"/>
      <c r="AI36" s="59"/>
      <c r="AJ36" s="59"/>
      <c r="AS36" s="229"/>
      <c r="AU36" s="239"/>
    </row>
    <row r="37" spans="1:47" ht="17" customHeight="1" x14ac:dyDescent="0.3">
      <c r="A37" s="59"/>
      <c r="B37" s="59"/>
      <c r="E37" s="65" t="s">
        <v>266</v>
      </c>
      <c r="F37" s="65" t="s">
        <v>265</v>
      </c>
      <c r="G37" s="65" t="s">
        <v>374</v>
      </c>
      <c r="H37" s="65" t="s">
        <v>373</v>
      </c>
      <c r="I37" s="242" t="s">
        <v>372</v>
      </c>
      <c r="N37" s="242" t="s">
        <v>372</v>
      </c>
      <c r="O37" s="59"/>
      <c r="P37" s="59"/>
      <c r="Q37" s="59"/>
      <c r="R37" s="59"/>
      <c r="T37" s="59"/>
      <c r="U37" s="59"/>
      <c r="V37" s="237"/>
      <c r="W37" s="59" t="s">
        <v>371</v>
      </c>
      <c r="X37" s="59"/>
      <c r="Y37" s="59"/>
      <c r="AA37" s="241">
        <v>0</v>
      </c>
      <c r="AB37" s="241">
        <v>0</v>
      </c>
      <c r="AC37" s="240"/>
      <c r="AD37" s="240"/>
      <c r="AE37" s="240"/>
      <c r="AF37" s="59"/>
      <c r="AG37" s="59"/>
      <c r="AH37" s="234"/>
      <c r="AI37" s="59"/>
      <c r="AJ37" s="59"/>
      <c r="AS37" s="229"/>
      <c r="AU37" s="239"/>
    </row>
    <row r="38" spans="1:47" ht="15" customHeight="1" x14ac:dyDescent="0.15">
      <c r="A38" s="59"/>
      <c r="B38" s="59"/>
      <c r="C38" s="56" t="str">
        <f>C28</f>
        <v>SPUR Acquisitions</v>
      </c>
      <c r="D38" s="59"/>
      <c r="E38" s="161">
        <f t="shared" ref="E38:F41" si="2">HLOOKUP(EXIT_DATE,$J$128:$P$156,E$44,FALSE)*J28</f>
        <v>0</v>
      </c>
      <c r="F38" s="161">
        <f t="shared" si="2"/>
        <v>190.33721409764297</v>
      </c>
      <c r="G38" s="161">
        <f t="shared" ref="G38:H40" si="3">G28</f>
        <v>0</v>
      </c>
      <c r="H38" s="161">
        <f t="shared" si="3"/>
        <v>0</v>
      </c>
      <c r="I38" s="227">
        <f>SUM(E38:H38)</f>
        <v>190.33721409764297</v>
      </c>
      <c r="J38" s="59"/>
      <c r="K38" s="59"/>
      <c r="N38" s="228">
        <f ca="1">I38/I$43</f>
        <v>4.2857142857142858E-2</v>
      </c>
      <c r="O38" s="59"/>
      <c r="P38" s="161"/>
      <c r="Q38" s="161"/>
      <c r="R38" s="238"/>
      <c r="T38" s="59"/>
      <c r="U38" s="59"/>
      <c r="V38" s="237"/>
      <c r="W38" s="236" t="s">
        <v>370</v>
      </c>
      <c r="X38" s="59"/>
      <c r="Y38" s="59"/>
      <c r="AA38" s="235">
        <v>0</v>
      </c>
      <c r="AB38" s="235">
        <v>0</v>
      </c>
      <c r="AC38" s="59"/>
      <c r="AD38" s="59"/>
      <c r="AE38" s="59"/>
      <c r="AF38" s="59"/>
      <c r="AG38" s="59"/>
      <c r="AH38" s="234"/>
      <c r="AI38" s="59"/>
      <c r="AJ38" s="59"/>
      <c r="AS38" s="229"/>
    </row>
    <row r="39" spans="1:47" ht="15" customHeight="1" thickBot="1" x14ac:dyDescent="0.2">
      <c r="A39" s="59"/>
      <c r="B39" s="59"/>
      <c r="C39" s="56" t="str">
        <f>C29</f>
        <v>Financial Sponsor</v>
      </c>
      <c r="D39" s="59"/>
      <c r="E39" s="161">
        <f t="shared" si="2"/>
        <v>1068.1502395076614</v>
      </c>
      <c r="F39" s="161">
        <f t="shared" si="2"/>
        <v>0</v>
      </c>
      <c r="G39" s="161">
        <f t="shared" si="3"/>
        <v>0</v>
      </c>
      <c r="H39" s="161">
        <f t="shared" si="3"/>
        <v>0</v>
      </c>
      <c r="I39" s="227">
        <f>SUM(E39:H39)</f>
        <v>1068.1502395076614</v>
      </c>
      <c r="J39" s="59"/>
      <c r="K39" s="59"/>
      <c r="N39" s="228">
        <f ca="1">I39/I$43</f>
        <v>0.65714285714285714</v>
      </c>
      <c r="O39" s="59"/>
      <c r="R39" s="233"/>
      <c r="S39" s="233"/>
      <c r="T39" s="59"/>
      <c r="U39" s="59"/>
      <c r="V39" s="232"/>
      <c r="W39" s="231"/>
      <c r="X39" s="231"/>
      <c r="Y39" s="231"/>
      <c r="Z39" s="231"/>
      <c r="AA39" s="231"/>
      <c r="AB39" s="231"/>
      <c r="AC39" s="231"/>
      <c r="AD39" s="231"/>
      <c r="AE39" s="231"/>
      <c r="AF39" s="231"/>
      <c r="AG39" s="231"/>
      <c r="AH39" s="230"/>
      <c r="AI39" s="59"/>
      <c r="AJ39" s="59"/>
      <c r="AS39" s="229"/>
    </row>
    <row r="40" spans="1:47" ht="15" customHeight="1" thickTop="1" x14ac:dyDescent="0.15">
      <c r="A40" s="59"/>
      <c r="B40" s="59"/>
      <c r="C40" s="56" t="str">
        <f>C30</f>
        <v>Pre-Existing Shareholders</v>
      </c>
      <c r="D40" s="59"/>
      <c r="E40" s="161">
        <f t="shared" si="2"/>
        <v>0</v>
      </c>
      <c r="F40" s="161">
        <f t="shared" si="2"/>
        <v>0</v>
      </c>
      <c r="G40" s="161">
        <f t="shared" si="3"/>
        <v>0</v>
      </c>
      <c r="H40" s="161">
        <f t="shared" si="3"/>
        <v>0</v>
      </c>
      <c r="I40" s="227">
        <f>SUM(E40:H40)</f>
        <v>0</v>
      </c>
      <c r="J40" s="59"/>
      <c r="K40" s="59"/>
      <c r="N40" s="228">
        <f ca="1">I40/I$43</f>
        <v>0</v>
      </c>
      <c r="O40" s="59"/>
      <c r="P40" s="59"/>
      <c r="Q40" s="59"/>
      <c r="R40" s="59"/>
      <c r="T40" s="59"/>
      <c r="U40" s="59"/>
      <c r="V40" s="59"/>
      <c r="W40" s="59"/>
      <c r="X40" s="59"/>
      <c r="Y40" s="59"/>
      <c r="Z40" s="59"/>
      <c r="AA40" s="59"/>
      <c r="AB40" s="59"/>
      <c r="AC40" s="59"/>
      <c r="AD40" s="59"/>
      <c r="AE40" s="59"/>
      <c r="AF40" s="59"/>
      <c r="AG40" s="59"/>
      <c r="AH40" s="59"/>
      <c r="AI40" s="59"/>
      <c r="AJ40" s="59"/>
    </row>
    <row r="41" spans="1:47" ht="15" customHeight="1" x14ac:dyDescent="0.15">
      <c r="A41" s="59"/>
      <c r="B41" s="59"/>
      <c r="C41" s="56" t="str">
        <f>C31</f>
        <v>Equity-Incentive Plan (EIP)</v>
      </c>
      <c r="D41" s="59"/>
      <c r="E41" s="161">
        <f t="shared" si="2"/>
        <v>0</v>
      </c>
      <c r="F41" s="161">
        <f t="shared" si="2"/>
        <v>0</v>
      </c>
      <c r="G41" s="161">
        <f>G31</f>
        <v>0</v>
      </c>
      <c r="H41" s="161">
        <f ca="1">G189</f>
        <v>477.27272727272725</v>
      </c>
      <c r="I41" s="227">
        <f ca="1">SUM(E41:H41)</f>
        <v>477.27272727272725</v>
      </c>
      <c r="J41" s="59"/>
      <c r="K41" s="59"/>
      <c r="N41" s="228">
        <f ca="1">I41/I$43</f>
        <v>0.3</v>
      </c>
      <c r="O41" s="59"/>
      <c r="P41" s="59"/>
      <c r="Q41" s="59"/>
      <c r="R41" s="59"/>
      <c r="T41" s="59"/>
      <c r="U41" s="59"/>
      <c r="V41" s="59"/>
      <c r="W41" s="59"/>
      <c r="X41" s="59"/>
      <c r="Y41" s="59"/>
      <c r="Z41" s="59"/>
      <c r="AA41" s="59"/>
      <c r="AB41" s="59"/>
      <c r="AC41" s="59"/>
      <c r="AD41" s="59"/>
      <c r="AE41" s="59"/>
      <c r="AF41" s="59"/>
      <c r="AG41" s="59"/>
      <c r="AH41" s="59"/>
      <c r="AI41" s="59"/>
      <c r="AJ41" s="59"/>
    </row>
    <row r="42" spans="1:47" ht="15" customHeight="1" x14ac:dyDescent="0.15">
      <c r="A42" s="59"/>
      <c r="B42" s="59"/>
      <c r="D42" s="59"/>
      <c r="E42" s="161"/>
      <c r="F42" s="161"/>
      <c r="G42" s="161"/>
      <c r="H42" s="161"/>
      <c r="I42" s="227"/>
      <c r="J42" s="59"/>
      <c r="K42" s="59"/>
      <c r="N42" s="226"/>
      <c r="O42" s="59"/>
      <c r="P42" s="59"/>
      <c r="Q42" s="59"/>
      <c r="R42" s="59"/>
      <c r="T42" s="59"/>
      <c r="U42" s="59"/>
      <c r="V42" s="59"/>
      <c r="W42" s="59"/>
      <c r="X42" s="59"/>
      <c r="Y42" s="59"/>
      <c r="Z42" s="59"/>
      <c r="AA42" s="59"/>
      <c r="AB42" s="59"/>
      <c r="AC42" s="59"/>
      <c r="AD42" s="59"/>
      <c r="AE42" s="59"/>
      <c r="AF42" s="59"/>
      <c r="AG42" s="59"/>
      <c r="AH42" s="59"/>
      <c r="AI42" s="59"/>
      <c r="AJ42" s="59"/>
    </row>
    <row r="43" spans="1:47" ht="15" customHeight="1" thickBot="1" x14ac:dyDescent="0.2">
      <c r="A43" s="59"/>
      <c r="B43" s="59"/>
      <c r="C43" s="67" t="s">
        <v>279</v>
      </c>
      <c r="D43" s="59"/>
      <c r="E43" s="160">
        <f>SUM(E38:E42)</f>
        <v>1068.1502395076614</v>
      </c>
      <c r="F43" s="160">
        <f>SUM(F38:F42)</f>
        <v>190.33721409764297</v>
      </c>
      <c r="G43" s="160">
        <f>SUM(G38:G42)</f>
        <v>0</v>
      </c>
      <c r="H43" s="160">
        <f ca="1">SUM(H38:H42)</f>
        <v>477.27272727272725</v>
      </c>
      <c r="I43" s="225">
        <f ca="1">SUM(I38:I42)</f>
        <v>1590.9090909090908</v>
      </c>
      <c r="J43" s="59"/>
      <c r="K43" s="59"/>
      <c r="N43" s="224">
        <f ca="1">SUM(N38:N42)</f>
        <v>1</v>
      </c>
      <c r="O43" s="59"/>
      <c r="P43" s="59"/>
      <c r="Q43" s="59"/>
      <c r="R43" s="59"/>
      <c r="T43" s="59"/>
      <c r="U43" s="59"/>
      <c r="V43" s="59"/>
      <c r="W43" s="59"/>
      <c r="X43" s="59"/>
      <c r="Y43" s="59"/>
      <c r="Z43" s="59"/>
      <c r="AA43" s="59"/>
      <c r="AB43" s="59"/>
      <c r="AC43" s="59"/>
      <c r="AD43" s="59"/>
      <c r="AE43" s="59"/>
      <c r="AF43" s="59"/>
      <c r="AG43" s="59"/>
      <c r="AH43" s="59"/>
      <c r="AI43" s="59"/>
      <c r="AJ43" s="59"/>
    </row>
    <row r="44" spans="1:47" ht="15" customHeight="1" outlineLevel="1" thickTop="1" x14ac:dyDescent="0.15">
      <c r="A44" s="59"/>
      <c r="B44" s="59"/>
      <c r="D44" s="59"/>
      <c r="E44" s="223">
        <f>+$A$143</f>
        <v>16</v>
      </c>
      <c r="F44" s="223">
        <f>+$A$144</f>
        <v>17</v>
      </c>
      <c r="I44" s="59"/>
      <c r="J44" s="59"/>
      <c r="K44" s="59"/>
      <c r="N44" s="193"/>
      <c r="O44" s="59"/>
      <c r="P44" s="59"/>
      <c r="Q44" s="59"/>
      <c r="R44" s="59"/>
      <c r="T44" s="59"/>
      <c r="U44" s="59"/>
      <c r="V44" s="59"/>
      <c r="W44" s="59"/>
      <c r="X44" s="59"/>
      <c r="Y44" s="59"/>
      <c r="Z44" s="59"/>
      <c r="AA44" s="59"/>
      <c r="AB44" s="59"/>
      <c r="AC44" s="59"/>
      <c r="AD44" s="59"/>
      <c r="AE44" s="59"/>
      <c r="AF44" s="59"/>
      <c r="AG44" s="59"/>
      <c r="AH44" s="59"/>
      <c r="AI44" s="59"/>
      <c r="AJ44" s="59"/>
    </row>
    <row r="45" spans="1:47" ht="15" customHeight="1" thickBot="1" x14ac:dyDescent="0.2">
      <c r="A45" s="59"/>
      <c r="B45" s="59"/>
      <c r="C45" s="222"/>
      <c r="D45" s="221"/>
      <c r="G45" s="59"/>
      <c r="I45" s="59"/>
      <c r="J45" s="59"/>
      <c r="K45" s="59"/>
      <c r="N45" s="59"/>
      <c r="O45" s="59"/>
      <c r="P45" s="59"/>
      <c r="Q45" s="59"/>
      <c r="R45" s="59"/>
      <c r="T45" s="59"/>
      <c r="U45" s="59"/>
      <c r="V45" s="59"/>
      <c r="W45" s="59"/>
      <c r="X45" s="59"/>
      <c r="Y45" s="59"/>
      <c r="Z45" s="59"/>
      <c r="AA45" s="59"/>
      <c r="AB45" s="59"/>
      <c r="AC45" s="59"/>
      <c r="AD45" s="59"/>
      <c r="AE45" s="59"/>
      <c r="AF45" s="59"/>
      <c r="AG45" s="59"/>
      <c r="AH45" s="59"/>
      <c r="AI45" s="59"/>
      <c r="AJ45" s="59"/>
    </row>
    <row r="46" spans="1:47" ht="15" customHeight="1" thickTop="1" x14ac:dyDescent="0.15">
      <c r="A46" s="59"/>
      <c r="B46" s="59"/>
      <c r="C46" s="140" t="s">
        <v>369</v>
      </c>
      <c r="D46" s="59"/>
      <c r="E46" s="59"/>
      <c r="F46" s="59"/>
      <c r="G46" s="59"/>
      <c r="H46" s="59"/>
      <c r="I46" s="59"/>
      <c r="J46" s="59"/>
      <c r="K46" s="59"/>
      <c r="N46" s="59"/>
      <c r="O46" s="59"/>
      <c r="P46" s="59"/>
      <c r="Q46" s="59"/>
      <c r="R46" s="59"/>
      <c r="T46" s="59"/>
      <c r="U46" s="59"/>
      <c r="V46" s="59"/>
      <c r="W46" s="59"/>
      <c r="X46" s="59"/>
      <c r="Y46" s="59"/>
      <c r="Z46" s="59"/>
      <c r="AA46" s="59"/>
      <c r="AB46" s="59"/>
      <c r="AC46" s="59"/>
      <c r="AD46" s="59"/>
      <c r="AE46" s="59"/>
      <c r="AF46" s="59"/>
      <c r="AG46" s="59"/>
      <c r="AH46" s="59"/>
      <c r="AI46" s="59"/>
      <c r="AJ46" s="59"/>
    </row>
    <row r="47" spans="1:47" ht="15" customHeight="1" x14ac:dyDescent="0.15">
      <c r="A47" s="59"/>
      <c r="B47" s="59"/>
      <c r="C47" s="140" t="s">
        <v>368</v>
      </c>
      <c r="D47" s="59"/>
      <c r="E47" s="59"/>
      <c r="F47" s="59"/>
      <c r="G47" s="59"/>
      <c r="H47" s="59"/>
      <c r="I47" s="59"/>
      <c r="J47" s="59"/>
      <c r="K47" s="59"/>
      <c r="N47" s="59"/>
      <c r="O47" s="59"/>
      <c r="P47" s="59"/>
      <c r="Q47" s="59"/>
      <c r="R47" s="59"/>
      <c r="T47" s="59"/>
      <c r="U47" s="59"/>
      <c r="V47" s="59"/>
      <c r="W47" s="59"/>
      <c r="X47" s="59"/>
      <c r="Y47" s="59"/>
      <c r="Z47" s="59"/>
      <c r="AA47" s="59"/>
      <c r="AB47" s="59"/>
      <c r="AC47" s="59"/>
      <c r="AD47" s="59"/>
      <c r="AE47" s="59"/>
      <c r="AF47" s="59"/>
      <c r="AG47" s="59"/>
      <c r="AH47" s="59"/>
      <c r="AI47" s="59"/>
      <c r="AJ47" s="59"/>
    </row>
    <row r="48" spans="1:47" ht="15" customHeight="1" x14ac:dyDescent="0.15">
      <c r="A48" s="59"/>
      <c r="B48" s="59"/>
      <c r="C48" s="59"/>
      <c r="D48" s="59"/>
      <c r="E48" s="59"/>
      <c r="F48" s="59"/>
      <c r="G48" s="59"/>
      <c r="H48" s="59"/>
      <c r="I48" s="59"/>
      <c r="J48" s="59"/>
      <c r="K48" s="59"/>
      <c r="N48" s="59"/>
      <c r="O48" s="59"/>
      <c r="P48" s="59"/>
      <c r="Q48" s="59"/>
      <c r="R48" s="59"/>
      <c r="T48" s="59"/>
      <c r="U48" s="59"/>
      <c r="V48" s="59"/>
      <c r="W48" s="59"/>
      <c r="X48" s="59"/>
      <c r="Y48" s="59"/>
      <c r="Z48" s="59"/>
      <c r="AA48" s="59"/>
      <c r="AB48" s="59"/>
      <c r="AC48" s="59"/>
      <c r="AD48" s="59"/>
      <c r="AE48" s="59"/>
      <c r="AF48" s="59"/>
      <c r="AG48" s="59"/>
      <c r="AH48" s="59"/>
      <c r="AI48" s="59"/>
      <c r="AJ48" s="59"/>
    </row>
    <row r="49" spans="1:36" ht="14.75" customHeight="1" outlineLevel="1" x14ac:dyDescent="0.15">
      <c r="A49" s="59"/>
      <c r="B49" s="59"/>
      <c r="C49" s="59"/>
      <c r="D49" s="59"/>
      <c r="E49" s="59"/>
      <c r="F49" s="59"/>
      <c r="G49" s="59"/>
      <c r="H49" s="59"/>
      <c r="I49" s="59"/>
      <c r="J49" s="59"/>
      <c r="K49" s="59"/>
      <c r="L49" s="59"/>
      <c r="M49" s="59"/>
      <c r="N49" s="59"/>
      <c r="O49" s="59"/>
      <c r="P49" s="59"/>
      <c r="Q49" s="59"/>
      <c r="R49" s="59"/>
      <c r="T49" s="59"/>
      <c r="U49" s="59"/>
      <c r="V49" s="59"/>
      <c r="W49" s="59"/>
      <c r="X49" s="59"/>
      <c r="Y49" s="59"/>
      <c r="Z49" s="59"/>
      <c r="AA49" s="59"/>
      <c r="AB49" s="59"/>
      <c r="AC49" s="59"/>
      <c r="AD49" s="59"/>
      <c r="AE49" s="59"/>
      <c r="AF49" s="59"/>
      <c r="AG49" s="59"/>
      <c r="AH49" s="59"/>
      <c r="AI49" s="59"/>
      <c r="AJ49" s="59"/>
    </row>
    <row r="50" spans="1:36" ht="17" customHeight="1" outlineLevel="1" x14ac:dyDescent="0.3">
      <c r="A50" s="73" t="s">
        <v>270</v>
      </c>
      <c r="B50" s="59"/>
      <c r="C50" s="65" t="s">
        <v>367</v>
      </c>
      <c r="D50" s="65"/>
      <c r="E50" s="65"/>
      <c r="F50" s="65"/>
      <c r="G50" s="65"/>
      <c r="H50" s="65"/>
      <c r="I50" s="65"/>
      <c r="J50" s="65"/>
      <c r="K50" s="65"/>
      <c r="L50" s="65"/>
      <c r="M50" s="65"/>
      <c r="N50" s="65"/>
      <c r="O50" s="65"/>
      <c r="P50" s="65"/>
      <c r="Q50" s="65"/>
      <c r="R50" s="65"/>
      <c r="T50" s="59"/>
      <c r="U50" s="59"/>
      <c r="V50" s="59"/>
      <c r="W50" s="59"/>
      <c r="X50" s="59"/>
      <c r="Y50" s="59"/>
      <c r="Z50" s="59"/>
      <c r="AA50" s="59"/>
      <c r="AB50" s="59"/>
      <c r="AC50" s="59"/>
      <c r="AD50" s="59"/>
      <c r="AE50" s="59"/>
      <c r="AF50" s="59"/>
      <c r="AG50" s="59"/>
      <c r="AH50" s="59"/>
      <c r="AI50" s="59"/>
      <c r="AJ50" s="59"/>
    </row>
    <row r="51" spans="1:36" ht="16.25" customHeight="1" outlineLevel="1" x14ac:dyDescent="0.3">
      <c r="A51" s="59"/>
      <c r="B51" s="59"/>
      <c r="C51" s="59"/>
      <c r="D51" s="59"/>
      <c r="E51" s="216" t="s">
        <v>366</v>
      </c>
      <c r="F51" s="59"/>
      <c r="G51" s="65" t="s">
        <v>365</v>
      </c>
      <c r="H51" s="65"/>
      <c r="I51" s="65"/>
      <c r="J51" s="65" t="s">
        <v>315</v>
      </c>
      <c r="K51" s="65"/>
      <c r="L51" s="65"/>
      <c r="M51" s="65"/>
      <c r="N51" s="72"/>
      <c r="O51" s="72"/>
      <c r="P51" s="72"/>
      <c r="Q51" s="220" t="s">
        <v>364</v>
      </c>
      <c r="R51" s="220"/>
      <c r="S51" s="59"/>
      <c r="T51" s="59"/>
      <c r="U51" s="59"/>
      <c r="V51" s="59"/>
      <c r="W51" s="59"/>
      <c r="X51" s="59"/>
      <c r="Y51" s="59"/>
      <c r="Z51" s="59"/>
      <c r="AA51" s="59"/>
      <c r="AB51" s="59"/>
      <c r="AC51" s="59"/>
      <c r="AD51" s="59"/>
      <c r="AE51" s="59"/>
      <c r="AF51" s="59"/>
      <c r="AG51" s="59"/>
      <c r="AH51" s="59"/>
      <c r="AI51" s="59"/>
      <c r="AJ51" s="59"/>
    </row>
    <row r="52" spans="1:36" ht="16.25" customHeight="1" outlineLevel="1" x14ac:dyDescent="0.3">
      <c r="A52" s="59"/>
      <c r="B52" s="59"/>
      <c r="C52" s="59"/>
      <c r="D52" s="59"/>
      <c r="E52" s="205">
        <v>44256</v>
      </c>
      <c r="F52" s="177"/>
      <c r="G52" s="177">
        <f>+H52-365.25</f>
        <v>43554.5</v>
      </c>
      <c r="H52" s="177">
        <f>+I52-365.25</f>
        <v>43919.75</v>
      </c>
      <c r="I52" s="219">
        <v>44285</v>
      </c>
      <c r="J52" s="177">
        <f t="shared" ref="J52:P52" si="4">+I52+365.25</f>
        <v>44650.25</v>
      </c>
      <c r="K52" s="177">
        <f t="shared" si="4"/>
        <v>45015.5</v>
      </c>
      <c r="L52" s="177">
        <f t="shared" si="4"/>
        <v>45380.75</v>
      </c>
      <c r="M52" s="177">
        <f t="shared" si="4"/>
        <v>45746</v>
      </c>
      <c r="N52" s="177">
        <f t="shared" si="4"/>
        <v>46111.25</v>
      </c>
      <c r="O52" s="177">
        <f t="shared" si="4"/>
        <v>46476.5</v>
      </c>
      <c r="P52" s="177">
        <f t="shared" si="4"/>
        <v>46841.75</v>
      </c>
      <c r="Q52" s="215" t="s">
        <v>363</v>
      </c>
      <c r="R52" s="215" t="s">
        <v>362</v>
      </c>
      <c r="S52" s="59"/>
      <c r="T52" s="59"/>
      <c r="U52" s="59"/>
      <c r="V52" s="59"/>
      <c r="W52" s="59"/>
      <c r="X52" s="59"/>
      <c r="Y52" s="59"/>
      <c r="Z52" s="59"/>
      <c r="AA52" s="59"/>
      <c r="AB52" s="59"/>
      <c r="AC52" s="59"/>
      <c r="AD52" s="59"/>
      <c r="AE52" s="59"/>
      <c r="AF52" s="59"/>
      <c r="AG52" s="59"/>
      <c r="AH52" s="59"/>
      <c r="AI52" s="59"/>
      <c r="AJ52" s="59"/>
    </row>
    <row r="53" spans="1:36" ht="14.75" customHeight="1" outlineLevel="1" x14ac:dyDescent="0.15">
      <c r="A53" s="59"/>
      <c r="B53" s="59"/>
      <c r="C53" s="67" t="s">
        <v>361</v>
      </c>
      <c r="D53" s="59"/>
      <c r="E53" s="216"/>
      <c r="F53" s="59"/>
      <c r="G53" s="216"/>
      <c r="H53" s="216"/>
      <c r="I53" s="218">
        <v>0</v>
      </c>
      <c r="J53" s="217">
        <f t="shared" ref="J53:P53" si="5">+I53+1</f>
        <v>1</v>
      </c>
      <c r="K53" s="217">
        <f t="shared" si="5"/>
        <v>2</v>
      </c>
      <c r="L53" s="217">
        <f t="shared" si="5"/>
        <v>3</v>
      </c>
      <c r="M53" s="217">
        <f t="shared" si="5"/>
        <v>4</v>
      </c>
      <c r="N53" s="217">
        <f t="shared" si="5"/>
        <v>5</v>
      </c>
      <c r="O53" s="217">
        <f t="shared" si="5"/>
        <v>6</v>
      </c>
      <c r="P53" s="217">
        <f t="shared" si="5"/>
        <v>7</v>
      </c>
      <c r="Q53" s="216"/>
      <c r="R53" s="216"/>
      <c r="S53" s="59"/>
      <c r="T53" s="59"/>
      <c r="U53" s="59"/>
      <c r="V53" s="59"/>
      <c r="W53" s="59"/>
      <c r="X53" s="59"/>
      <c r="Y53" s="59"/>
      <c r="Z53" s="59"/>
      <c r="AA53" s="59"/>
      <c r="AB53" s="59"/>
      <c r="AC53" s="59"/>
      <c r="AD53" s="59"/>
      <c r="AE53" s="59"/>
      <c r="AF53" s="59"/>
      <c r="AG53" s="59"/>
      <c r="AH53" s="59"/>
      <c r="AI53" s="59"/>
      <c r="AJ53" s="59"/>
    </row>
    <row r="54" spans="1:36" ht="14.75" customHeight="1" outlineLevel="1" x14ac:dyDescent="0.3">
      <c r="A54" s="59"/>
      <c r="B54" s="59"/>
      <c r="C54" s="59"/>
      <c r="D54" s="59"/>
      <c r="E54" s="215"/>
      <c r="F54" s="59"/>
      <c r="G54" s="215"/>
      <c r="H54" s="215"/>
      <c r="I54" s="215"/>
      <c r="J54" s="215"/>
      <c r="K54" s="215"/>
      <c r="L54" s="215"/>
      <c r="M54" s="215"/>
      <c r="N54" s="215"/>
      <c r="O54" s="215"/>
      <c r="P54" s="215"/>
      <c r="Q54" s="215"/>
      <c r="R54" s="215"/>
      <c r="S54" s="59"/>
      <c r="T54" s="59"/>
      <c r="U54" s="59"/>
      <c r="V54" s="59"/>
      <c r="W54" s="59"/>
      <c r="X54" s="59"/>
      <c r="Y54" s="59"/>
      <c r="Z54" s="59"/>
      <c r="AA54" s="59"/>
      <c r="AB54" s="59"/>
      <c r="AC54" s="59"/>
      <c r="AD54" s="59"/>
      <c r="AE54" s="59"/>
      <c r="AF54" s="59"/>
      <c r="AG54" s="59"/>
      <c r="AH54" s="59"/>
      <c r="AI54" s="59"/>
      <c r="AJ54" s="59"/>
    </row>
    <row r="55" spans="1:36" ht="14.75" customHeight="1" outlineLevel="1" x14ac:dyDescent="0.15">
      <c r="A55" s="59"/>
      <c r="B55" s="59"/>
      <c r="C55" s="67" t="s">
        <v>360</v>
      </c>
      <c r="D55" s="67"/>
      <c r="E55" s="74">
        <f>I55</f>
        <v>16271.30197682345</v>
      </c>
      <c r="F55" s="214"/>
      <c r="G55" s="74">
        <f>+H55-1000</f>
        <v>14271.30197682345</v>
      </c>
      <c r="H55" s="74">
        <f>+I55-1000</f>
        <v>15271.30197682345</v>
      </c>
      <c r="I55" s="74">
        <f>I63/[1]Sheet1!$D$8</f>
        <v>16271.30197682345</v>
      </c>
      <c r="J55" s="74">
        <f>J63/[1]Sheet1!$D$8</f>
        <v>18223.858214042262</v>
      </c>
      <c r="K55" s="74">
        <f>K63/[1]Sheet1!$D$8</f>
        <v>20410.721199727337</v>
      </c>
      <c r="L55" s="74">
        <f>L63/[1]Sheet1!$D$8</f>
        <v>22860.007743694619</v>
      </c>
      <c r="M55" s="74">
        <f>M63/[1]Sheet1!$D$8</f>
        <v>25603.208672937977</v>
      </c>
      <c r="N55" s="74">
        <f>N63/[1]Sheet1!$D$8</f>
        <v>28675.593713690538</v>
      </c>
      <c r="O55" s="74">
        <f>O63/[1]Sheet1!$D$8</f>
        <v>32116.664959333408</v>
      </c>
      <c r="P55" s="74">
        <f>P63/[1]Sheet1!$D$8</f>
        <v>35970.664754453421</v>
      </c>
      <c r="Q55" s="211">
        <f>+(I55/G55)^(1/2)-1</f>
        <v>6.7774031929639378E-2</v>
      </c>
      <c r="R55" s="201">
        <f>+(P55/I55)^(0.142857142857143)-1</f>
        <v>0.12000000000000033</v>
      </c>
      <c r="S55" s="59"/>
      <c r="T55" s="59"/>
      <c r="U55" s="59"/>
      <c r="V55" s="59"/>
      <c r="W55" s="59"/>
      <c r="X55" s="59"/>
      <c r="Y55" s="59"/>
      <c r="Z55" s="59"/>
      <c r="AA55" s="59"/>
      <c r="AB55" s="59"/>
      <c r="AC55" s="59"/>
      <c r="AD55" s="59"/>
      <c r="AE55" s="59"/>
      <c r="AF55" s="59"/>
      <c r="AG55" s="59"/>
      <c r="AH55" s="59"/>
      <c r="AI55" s="59"/>
      <c r="AJ55" s="59"/>
    </row>
    <row r="56" spans="1:36" ht="14.75" customHeight="1" outlineLevel="1" x14ac:dyDescent="0.15">
      <c r="A56" s="59"/>
      <c r="B56" s="59"/>
      <c r="C56" s="128" t="s">
        <v>357</v>
      </c>
      <c r="D56" s="128"/>
      <c r="E56" s="213" t="s">
        <v>356</v>
      </c>
      <c r="F56" s="209"/>
      <c r="G56" s="213" t="s">
        <v>356</v>
      </c>
      <c r="H56" s="210">
        <f t="shared" ref="H56:P56" si="6">+H55/G55-1</f>
        <v>7.007069163163937E-2</v>
      </c>
      <c r="I56" s="210">
        <f t="shared" si="6"/>
        <v>6.5482301477480798E-2</v>
      </c>
      <c r="J56" s="210">
        <f t="shared" si="6"/>
        <v>0.11999999999999988</v>
      </c>
      <c r="K56" s="210">
        <f t="shared" si="6"/>
        <v>0.12000000000000011</v>
      </c>
      <c r="L56" s="210">
        <f t="shared" si="6"/>
        <v>0.12000000000000011</v>
      </c>
      <c r="M56" s="210">
        <f t="shared" si="6"/>
        <v>0.12000000000000011</v>
      </c>
      <c r="N56" s="210">
        <f t="shared" si="6"/>
        <v>0.12000000000000011</v>
      </c>
      <c r="O56" s="210">
        <f t="shared" si="6"/>
        <v>0.12000000000000011</v>
      </c>
      <c r="P56" s="210">
        <f t="shared" si="6"/>
        <v>0.12000000000000011</v>
      </c>
      <c r="Q56" s="71"/>
      <c r="R56" s="59"/>
      <c r="S56" s="59"/>
      <c r="T56" s="59"/>
      <c r="U56" s="59"/>
      <c r="V56" s="59"/>
      <c r="W56" s="59"/>
      <c r="X56" s="59"/>
      <c r="Y56" s="59"/>
      <c r="Z56" s="59"/>
      <c r="AA56" s="59"/>
      <c r="AB56" s="59"/>
      <c r="AC56" s="59"/>
      <c r="AD56" s="59"/>
      <c r="AE56" s="59"/>
      <c r="AF56" s="59"/>
      <c r="AG56" s="59"/>
      <c r="AH56" s="59"/>
      <c r="AI56" s="59"/>
      <c r="AJ56" s="59"/>
    </row>
    <row r="57" spans="1:36" ht="14.75" customHeight="1" outlineLevel="1" x14ac:dyDescent="0.15">
      <c r="A57" s="59"/>
      <c r="B57" s="59"/>
      <c r="C57" s="59"/>
      <c r="D57" s="59"/>
      <c r="E57" s="71"/>
      <c r="F57" s="209"/>
      <c r="G57" s="71"/>
      <c r="H57" s="71"/>
      <c r="I57" s="71"/>
      <c r="J57" s="71"/>
      <c r="K57" s="71"/>
      <c r="L57" s="71"/>
      <c r="M57" s="71"/>
      <c r="N57" s="71"/>
      <c r="O57" s="71"/>
      <c r="P57" s="71"/>
      <c r="Q57" s="71"/>
      <c r="R57" s="59"/>
      <c r="S57" s="59"/>
      <c r="T57" s="59"/>
      <c r="U57" s="59"/>
      <c r="V57" s="59"/>
      <c r="W57" s="59"/>
      <c r="X57" s="59"/>
      <c r="Y57" s="59"/>
      <c r="Z57" s="59"/>
      <c r="AA57" s="59"/>
      <c r="AB57" s="59"/>
      <c r="AC57" s="59"/>
      <c r="AD57" s="59"/>
      <c r="AE57" s="59"/>
      <c r="AF57" s="59"/>
      <c r="AG57" s="59"/>
      <c r="AH57" s="59"/>
      <c r="AI57" s="59"/>
      <c r="AJ57" s="59"/>
    </row>
    <row r="58" spans="1:36" ht="14.75" customHeight="1" outlineLevel="1" x14ac:dyDescent="0.15">
      <c r="A58" s="59"/>
      <c r="B58" s="59"/>
      <c r="C58" s="59" t="s">
        <v>246</v>
      </c>
      <c r="D58" s="59"/>
      <c r="E58" s="187">
        <f>(E55-E63)/2</f>
        <v>6942.1509884117249</v>
      </c>
      <c r="F58" s="209"/>
      <c r="G58" s="187">
        <f t="shared" ref="G58:P58" si="7">(G55-G63)/2</f>
        <v>6088.8509884117248</v>
      </c>
      <c r="H58" s="187">
        <f t="shared" si="7"/>
        <v>6515.5009884117244</v>
      </c>
      <c r="I58" s="187">
        <f t="shared" si="7"/>
        <v>6942.1509884117249</v>
      </c>
      <c r="J58" s="187">
        <f t="shared" si="7"/>
        <v>7775.2091070211309</v>
      </c>
      <c r="K58" s="187">
        <f t="shared" si="7"/>
        <v>8708.2341998636693</v>
      </c>
      <c r="L58" s="187">
        <f t="shared" si="7"/>
        <v>9753.2223038473094</v>
      </c>
      <c r="M58" s="187">
        <f t="shared" si="7"/>
        <v>10923.608980308989</v>
      </c>
      <c r="N58" s="187">
        <f t="shared" si="7"/>
        <v>12234.442057946068</v>
      </c>
      <c r="O58" s="187">
        <f t="shared" si="7"/>
        <v>13702.575104899599</v>
      </c>
      <c r="P58" s="187">
        <f t="shared" si="7"/>
        <v>15346.884117487552</v>
      </c>
      <c r="Q58" s="71"/>
      <c r="R58" s="59"/>
      <c r="S58" s="59"/>
      <c r="T58" s="59"/>
      <c r="U58" s="59"/>
      <c r="V58" s="59"/>
      <c r="W58" s="59"/>
      <c r="X58" s="59"/>
      <c r="Y58" s="59"/>
      <c r="Z58" s="59"/>
      <c r="AA58" s="212"/>
      <c r="AB58" s="59"/>
      <c r="AC58" s="59"/>
      <c r="AD58" s="59"/>
      <c r="AE58" s="59"/>
      <c r="AF58" s="59"/>
      <c r="AG58" s="59"/>
      <c r="AH58" s="59"/>
      <c r="AI58" s="59"/>
      <c r="AJ58" s="59"/>
    </row>
    <row r="59" spans="1:36" ht="14.75" customHeight="1" outlineLevel="1" x14ac:dyDescent="0.15">
      <c r="A59" s="59"/>
      <c r="B59" s="59"/>
      <c r="C59" s="67" t="s">
        <v>149</v>
      </c>
      <c r="D59" s="67"/>
      <c r="E59" s="74">
        <f>E55-E58</f>
        <v>9329.1509884117258</v>
      </c>
      <c r="F59" s="209"/>
      <c r="G59" s="74">
        <f t="shared" ref="G59:P59" si="8">G55-G58</f>
        <v>8182.4509884117251</v>
      </c>
      <c r="H59" s="74">
        <f t="shared" si="8"/>
        <v>8755.8009884117255</v>
      </c>
      <c r="I59" s="74">
        <f t="shared" si="8"/>
        <v>9329.1509884117258</v>
      </c>
      <c r="J59" s="74">
        <f t="shared" si="8"/>
        <v>10448.64910702113</v>
      </c>
      <c r="K59" s="74">
        <f t="shared" si="8"/>
        <v>11702.486999863668</v>
      </c>
      <c r="L59" s="74">
        <f t="shared" si="8"/>
        <v>13106.78543984731</v>
      </c>
      <c r="M59" s="74">
        <f t="shared" si="8"/>
        <v>14679.599692628988</v>
      </c>
      <c r="N59" s="74">
        <f t="shared" si="8"/>
        <v>16441.15165574447</v>
      </c>
      <c r="O59" s="74">
        <f t="shared" si="8"/>
        <v>18414.089854433809</v>
      </c>
      <c r="P59" s="74">
        <f t="shared" si="8"/>
        <v>20623.780636965868</v>
      </c>
      <c r="Q59" s="211">
        <f>+(I59/G59)^(1/2)-1</f>
        <v>6.7774031929639378E-2</v>
      </c>
      <c r="R59" s="201">
        <f>+(P59/I59)^(0.142857142857143)-1</f>
        <v>0.12000000000000033</v>
      </c>
      <c r="S59" s="59"/>
      <c r="T59" s="59"/>
      <c r="U59" s="59"/>
      <c r="V59" s="59"/>
      <c r="W59" s="59"/>
      <c r="X59" s="59"/>
      <c r="Y59" s="59"/>
      <c r="Z59" s="59"/>
      <c r="AA59" s="59"/>
      <c r="AB59" s="59"/>
      <c r="AC59" s="59"/>
      <c r="AD59" s="59"/>
      <c r="AE59" s="59"/>
      <c r="AF59" s="59"/>
      <c r="AG59" s="59"/>
      <c r="AH59" s="59"/>
      <c r="AI59" s="59"/>
      <c r="AJ59" s="59"/>
    </row>
    <row r="60" spans="1:36" ht="14.75" customHeight="1" outlineLevel="1" x14ac:dyDescent="0.15">
      <c r="A60" s="59"/>
      <c r="B60" s="59"/>
      <c r="C60" s="128" t="s">
        <v>358</v>
      </c>
      <c r="D60" s="128"/>
      <c r="E60" s="210">
        <f>E59/E$55</f>
        <v>0.57335000000000003</v>
      </c>
      <c r="F60" s="209"/>
      <c r="G60" s="210">
        <f t="shared" ref="G60:P60" si="9">G59/G$55</f>
        <v>0.57335000000000003</v>
      </c>
      <c r="H60" s="210">
        <f t="shared" si="9"/>
        <v>0.57335000000000003</v>
      </c>
      <c r="I60" s="210">
        <f t="shared" si="9"/>
        <v>0.57335000000000003</v>
      </c>
      <c r="J60" s="210">
        <f t="shared" si="9"/>
        <v>0.57334999999999992</v>
      </c>
      <c r="K60" s="210">
        <f t="shared" si="9"/>
        <v>0.57334999999999992</v>
      </c>
      <c r="L60" s="210">
        <f t="shared" si="9"/>
        <v>0.57335000000000003</v>
      </c>
      <c r="M60" s="210">
        <f t="shared" si="9"/>
        <v>0.57334999999999992</v>
      </c>
      <c r="N60" s="210">
        <f t="shared" si="9"/>
        <v>0.57335000000000003</v>
      </c>
      <c r="O60" s="210">
        <f t="shared" si="9"/>
        <v>0.57335000000000003</v>
      </c>
      <c r="P60" s="210">
        <f t="shared" si="9"/>
        <v>0.57335000000000003</v>
      </c>
      <c r="Q60" s="71"/>
      <c r="R60" s="59"/>
      <c r="S60" s="59"/>
      <c r="T60" s="59"/>
      <c r="U60" s="59"/>
      <c r="V60" s="59"/>
      <c r="W60" s="59"/>
      <c r="X60" s="59"/>
      <c r="Y60" s="59"/>
      <c r="Z60" s="59"/>
      <c r="AA60" s="59"/>
      <c r="AB60" s="59"/>
      <c r="AC60" s="59"/>
      <c r="AD60" s="59"/>
      <c r="AE60" s="59"/>
      <c r="AF60" s="59"/>
      <c r="AG60" s="59"/>
      <c r="AH60" s="59"/>
      <c r="AI60" s="59"/>
      <c r="AJ60" s="59"/>
    </row>
    <row r="61" spans="1:36" ht="14.75" customHeight="1" outlineLevel="1" x14ac:dyDescent="0.15">
      <c r="A61" s="59"/>
      <c r="B61" s="59"/>
      <c r="C61" s="59"/>
      <c r="D61" s="59"/>
      <c r="E61" s="71"/>
      <c r="F61" s="209"/>
      <c r="G61" s="71"/>
      <c r="H61" s="71"/>
      <c r="I61" s="71"/>
      <c r="J61" s="71"/>
      <c r="K61" s="71"/>
      <c r="L61" s="71"/>
      <c r="M61" s="71"/>
      <c r="N61" s="71"/>
      <c r="O61" s="71"/>
      <c r="P61" s="71"/>
      <c r="Q61" s="71"/>
      <c r="R61" s="59"/>
      <c r="S61" s="59"/>
      <c r="T61" s="59"/>
      <c r="U61" s="59"/>
      <c r="V61" s="59"/>
      <c r="W61" s="59"/>
      <c r="X61" s="59"/>
      <c r="Y61" s="59"/>
      <c r="Z61" s="59"/>
      <c r="AA61" s="59"/>
      <c r="AB61" s="59"/>
      <c r="AC61" s="59"/>
      <c r="AD61" s="59"/>
      <c r="AE61" s="59"/>
      <c r="AF61" s="59"/>
      <c r="AG61" s="59"/>
      <c r="AH61" s="59"/>
      <c r="AI61" s="59"/>
      <c r="AJ61" s="59"/>
    </row>
    <row r="62" spans="1:36" ht="14.75" customHeight="1" outlineLevel="1" x14ac:dyDescent="0.15">
      <c r="A62" s="59"/>
      <c r="B62" s="59"/>
      <c r="C62" s="59" t="s">
        <v>359</v>
      </c>
      <c r="D62" s="59"/>
      <c r="E62" s="187">
        <f>(E55-E63)/2</f>
        <v>6942.1509884117249</v>
      </c>
      <c r="F62" s="209"/>
      <c r="G62" s="187">
        <f t="shared" ref="G62:P62" si="10">(G55-G63)/2</f>
        <v>6088.8509884117248</v>
      </c>
      <c r="H62" s="187">
        <f t="shared" si="10"/>
        <v>6515.5009884117244</v>
      </c>
      <c r="I62" s="187">
        <f t="shared" si="10"/>
        <v>6942.1509884117249</v>
      </c>
      <c r="J62" s="187">
        <f t="shared" si="10"/>
        <v>7775.2091070211309</v>
      </c>
      <c r="K62" s="187">
        <f t="shared" si="10"/>
        <v>8708.2341998636693</v>
      </c>
      <c r="L62" s="187">
        <f t="shared" si="10"/>
        <v>9753.2223038473094</v>
      </c>
      <c r="M62" s="187">
        <f t="shared" si="10"/>
        <v>10923.608980308989</v>
      </c>
      <c r="N62" s="187">
        <f t="shared" si="10"/>
        <v>12234.442057946068</v>
      </c>
      <c r="O62" s="187">
        <f t="shared" si="10"/>
        <v>13702.575104899599</v>
      </c>
      <c r="P62" s="187">
        <f t="shared" si="10"/>
        <v>15346.884117487552</v>
      </c>
      <c r="Q62" s="71"/>
      <c r="R62" s="59"/>
      <c r="S62" s="59"/>
      <c r="T62" s="59"/>
      <c r="U62" s="59"/>
      <c r="V62" s="59"/>
      <c r="W62" s="59"/>
      <c r="X62" s="59"/>
      <c r="Y62" s="59"/>
      <c r="Z62" s="59"/>
      <c r="AA62" s="59"/>
      <c r="AB62" s="59"/>
      <c r="AC62" s="59"/>
      <c r="AD62" s="59"/>
      <c r="AE62" s="59"/>
      <c r="AF62" s="59"/>
      <c r="AG62" s="59"/>
      <c r="AH62" s="59"/>
      <c r="AI62" s="59"/>
      <c r="AJ62" s="59"/>
    </row>
    <row r="63" spans="1:36" ht="14.75" customHeight="1" outlineLevel="1" thickBot="1" x14ac:dyDescent="0.2">
      <c r="A63" s="59"/>
      <c r="B63" s="59"/>
      <c r="C63" s="67" t="s">
        <v>264</v>
      </c>
      <c r="D63" s="67"/>
      <c r="E63" s="178">
        <f>E55*E64</f>
        <v>2387</v>
      </c>
      <c r="F63" s="59"/>
      <c r="G63" s="178">
        <f>G55*G64</f>
        <v>2093.6</v>
      </c>
      <c r="H63" s="178">
        <f>H55*H64</f>
        <v>2240.3000000000002</v>
      </c>
      <c r="I63" s="178">
        <f>[1]Sheet1!D7</f>
        <v>2387</v>
      </c>
      <c r="J63" s="178">
        <f>I63*(1+[1]Sheet1!$D$9)</f>
        <v>2673.44</v>
      </c>
      <c r="K63" s="178">
        <f>J63*(1+[1]Sheet1!$D$9)</f>
        <v>2994.2528000000002</v>
      </c>
      <c r="L63" s="178">
        <f>K63*(1+[1]Sheet1!$D$9)</f>
        <v>3353.5631360000007</v>
      </c>
      <c r="M63" s="178">
        <f>L63*(1+[1]Sheet1!$D$9)</f>
        <v>3755.990712320001</v>
      </c>
      <c r="N63" s="178">
        <f>M63*(1+[1]Sheet1!$D$9)</f>
        <v>4206.7095977984018</v>
      </c>
      <c r="O63" s="178">
        <f>N63*(1+[1]Sheet1!$D$9)</f>
        <v>4711.5147495342108</v>
      </c>
      <c r="P63" s="178">
        <f>O63*(1+[1]Sheet1!$D$9)</f>
        <v>5276.8965194783168</v>
      </c>
      <c r="Q63" s="201">
        <f>+(I63/G63)^(1/2)-1</f>
        <v>6.7774031929639378E-2</v>
      </c>
      <c r="R63" s="201">
        <f>+(P63/I63)^(0.142857142857143)-1</f>
        <v>0.12000000000000033</v>
      </c>
      <c r="S63" s="59"/>
      <c r="T63" s="59"/>
      <c r="U63" s="59"/>
      <c r="V63" s="59"/>
      <c r="W63" s="59"/>
      <c r="X63" s="59"/>
      <c r="Y63" s="59"/>
      <c r="Z63" s="59"/>
      <c r="AA63" s="59"/>
      <c r="AB63" s="59"/>
      <c r="AC63" s="59"/>
      <c r="AD63" s="59"/>
      <c r="AE63" s="59"/>
      <c r="AF63" s="59"/>
      <c r="AG63" s="59"/>
      <c r="AH63" s="59"/>
      <c r="AI63" s="59"/>
      <c r="AJ63" s="59"/>
    </row>
    <row r="64" spans="1:36" ht="14.75" customHeight="1" outlineLevel="1" thickTop="1" x14ac:dyDescent="0.15">
      <c r="A64" s="59"/>
      <c r="B64" s="59"/>
      <c r="C64" s="128" t="s">
        <v>358</v>
      </c>
      <c r="D64" s="128"/>
      <c r="E64" s="207">
        <f>G64</f>
        <v>0.1467</v>
      </c>
      <c r="F64" s="59"/>
      <c r="G64" s="207">
        <f>H64</f>
        <v>0.1467</v>
      </c>
      <c r="H64" s="207">
        <f>I64</f>
        <v>0.1467</v>
      </c>
      <c r="I64" s="207">
        <f t="shared" ref="I64:P64" si="11">I63/I$55</f>
        <v>0.1467</v>
      </c>
      <c r="J64" s="207">
        <f t="shared" si="11"/>
        <v>0.1467</v>
      </c>
      <c r="K64" s="207">
        <f t="shared" si="11"/>
        <v>0.1467</v>
      </c>
      <c r="L64" s="207">
        <f t="shared" si="11"/>
        <v>0.1467</v>
      </c>
      <c r="M64" s="207">
        <f t="shared" si="11"/>
        <v>0.1467</v>
      </c>
      <c r="N64" s="207">
        <f t="shared" si="11"/>
        <v>0.1467</v>
      </c>
      <c r="O64" s="207">
        <f t="shared" si="11"/>
        <v>0.1467</v>
      </c>
      <c r="P64" s="207">
        <f t="shared" si="11"/>
        <v>0.1467</v>
      </c>
      <c r="Q64" s="59"/>
      <c r="R64" s="59"/>
      <c r="S64" s="59"/>
      <c r="T64" s="59"/>
      <c r="U64" s="59"/>
      <c r="V64" s="59"/>
      <c r="W64" s="59"/>
      <c r="X64" s="59"/>
      <c r="Y64" s="59"/>
      <c r="Z64" s="59"/>
      <c r="AA64" s="59"/>
      <c r="AB64" s="59"/>
      <c r="AC64" s="59"/>
      <c r="AD64" s="59"/>
      <c r="AE64" s="59"/>
      <c r="AF64" s="59"/>
      <c r="AG64" s="59"/>
      <c r="AH64" s="59"/>
      <c r="AI64" s="59"/>
      <c r="AJ64" s="59"/>
    </row>
    <row r="65" spans="1:36" ht="14.75" customHeight="1" outlineLevel="1" x14ac:dyDescent="0.15">
      <c r="A65" s="59"/>
      <c r="B65" s="59"/>
      <c r="C65" s="128" t="s">
        <v>357</v>
      </c>
      <c r="D65" s="128"/>
      <c r="E65" s="208" t="s">
        <v>356</v>
      </c>
      <c r="F65" s="59"/>
      <c r="G65" s="208" t="s">
        <v>356</v>
      </c>
      <c r="H65" s="207">
        <f t="shared" ref="H65:P65" si="12">H63/G63-1</f>
        <v>7.007069163163937E-2</v>
      </c>
      <c r="I65" s="207">
        <f t="shared" si="12"/>
        <v>6.5482301477480576E-2</v>
      </c>
      <c r="J65" s="207">
        <f t="shared" si="12"/>
        <v>0.12000000000000011</v>
      </c>
      <c r="K65" s="207">
        <f t="shared" si="12"/>
        <v>0.12000000000000011</v>
      </c>
      <c r="L65" s="207">
        <f t="shared" si="12"/>
        <v>0.12000000000000011</v>
      </c>
      <c r="M65" s="207">
        <f t="shared" si="12"/>
        <v>0.12000000000000011</v>
      </c>
      <c r="N65" s="207">
        <f t="shared" si="12"/>
        <v>0.12000000000000011</v>
      </c>
      <c r="O65" s="207">
        <f t="shared" si="12"/>
        <v>0.12000000000000011</v>
      </c>
      <c r="P65" s="207">
        <f t="shared" si="12"/>
        <v>0.12000000000000011</v>
      </c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9"/>
      <c r="AB65" s="59"/>
      <c r="AC65" s="59"/>
      <c r="AD65" s="59"/>
      <c r="AE65" s="59"/>
      <c r="AF65" s="59"/>
      <c r="AG65" s="59"/>
      <c r="AH65" s="59"/>
      <c r="AI65" s="59"/>
      <c r="AJ65" s="59"/>
    </row>
    <row r="66" spans="1:36" outlineLevel="1" x14ac:dyDescent="0.15">
      <c r="A66" s="59"/>
      <c r="B66" s="59"/>
      <c r="C66" s="67"/>
      <c r="D66" s="59"/>
      <c r="E66" s="59"/>
      <c r="F66" s="59"/>
      <c r="G66" s="145"/>
      <c r="H66" s="145"/>
      <c r="I66" s="145"/>
      <c r="J66" s="145"/>
      <c r="K66" s="145"/>
      <c r="L66" s="145"/>
      <c r="M66" s="145"/>
      <c r="N66" s="145"/>
      <c r="O66" s="145"/>
      <c r="P66" s="145"/>
      <c r="Q66" s="59"/>
      <c r="R66" s="59"/>
      <c r="S66" s="59"/>
      <c r="T66" s="59"/>
      <c r="U66" s="59"/>
      <c r="V66" s="59"/>
      <c r="W66" s="59"/>
      <c r="X66" s="59"/>
      <c r="Y66" s="59"/>
      <c r="Z66" s="59"/>
      <c r="AA66" s="59"/>
      <c r="AB66" s="59"/>
      <c r="AC66" s="59"/>
      <c r="AD66" s="59"/>
      <c r="AE66" s="59"/>
      <c r="AF66" s="59"/>
      <c r="AG66" s="59"/>
      <c r="AH66" s="59"/>
      <c r="AI66" s="59"/>
      <c r="AJ66" s="59"/>
    </row>
    <row r="67" spans="1:36" outlineLevel="1" x14ac:dyDescent="0.15">
      <c r="A67" s="59"/>
      <c r="B67" s="59"/>
      <c r="C67" s="59"/>
      <c r="D67" s="59"/>
      <c r="E67" s="59"/>
      <c r="F67" s="59"/>
      <c r="G67" s="59"/>
      <c r="H67" s="59"/>
      <c r="I67" s="59"/>
      <c r="J67" s="206" t="s">
        <v>355</v>
      </c>
      <c r="K67" s="59"/>
      <c r="L67" s="59"/>
      <c r="M67" s="59"/>
      <c r="N67" s="59"/>
      <c r="O67" s="59"/>
      <c r="P67" s="59"/>
      <c r="Q67" s="59"/>
      <c r="R67" s="201"/>
      <c r="S67" s="59"/>
      <c r="T67" s="59"/>
      <c r="U67" s="59"/>
      <c r="V67" s="59"/>
      <c r="W67" s="59"/>
      <c r="X67" s="59"/>
      <c r="Y67" s="59"/>
      <c r="Z67" s="59"/>
      <c r="AA67" s="59"/>
      <c r="AB67" s="59"/>
      <c r="AC67" s="59"/>
      <c r="AD67" s="59"/>
      <c r="AE67" s="59"/>
      <c r="AF67" s="59"/>
      <c r="AG67" s="59"/>
      <c r="AH67" s="59"/>
      <c r="AI67" s="59"/>
      <c r="AJ67" s="59"/>
    </row>
    <row r="68" spans="1:36" ht="17" outlineLevel="1" x14ac:dyDescent="0.3">
      <c r="A68" s="59"/>
      <c r="B68" s="59"/>
      <c r="C68" s="59"/>
      <c r="D68" s="59"/>
      <c r="E68" s="59"/>
      <c r="F68" s="59"/>
      <c r="G68" s="59"/>
      <c r="H68" s="59"/>
      <c r="I68" s="59"/>
      <c r="J68" s="205">
        <v>43830</v>
      </c>
      <c r="K68" s="59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59"/>
      <c r="AA68" s="59"/>
      <c r="AB68" s="59"/>
      <c r="AC68" s="59"/>
      <c r="AD68" s="59"/>
      <c r="AE68" s="59"/>
      <c r="AF68" s="59"/>
      <c r="AG68" s="59"/>
      <c r="AH68" s="59"/>
      <c r="AI68" s="59"/>
      <c r="AJ68" s="59"/>
    </row>
    <row r="69" spans="1:36" ht="14" customHeight="1" outlineLevel="1" x14ac:dyDescent="0.15">
      <c r="A69" s="59"/>
      <c r="B69" s="59"/>
      <c r="C69" s="59" t="s">
        <v>354</v>
      </c>
      <c r="D69" s="59"/>
      <c r="E69" s="59"/>
      <c r="F69" s="59"/>
      <c r="G69" s="59"/>
      <c r="H69" s="59"/>
      <c r="I69" s="59"/>
      <c r="J69" s="182">
        <f>J63/4*0</f>
        <v>0</v>
      </c>
      <c r="K69" s="69">
        <v>0</v>
      </c>
      <c r="L69" s="69">
        <v>0</v>
      </c>
      <c r="M69" s="69">
        <v>0</v>
      </c>
      <c r="N69" s="69">
        <v>0</v>
      </c>
      <c r="O69" s="69">
        <v>0</v>
      </c>
      <c r="P69" s="69">
        <v>0</v>
      </c>
      <c r="Q69" s="59"/>
      <c r="R69" s="59"/>
      <c r="S69" s="59"/>
      <c r="T69" s="59"/>
      <c r="U69" s="59"/>
      <c r="V69" s="59"/>
      <c r="W69" s="59"/>
      <c r="X69" s="59"/>
      <c r="Y69" s="59"/>
      <c r="Z69" s="59"/>
      <c r="AA69" s="59"/>
      <c r="AB69" s="59"/>
      <c r="AC69" s="59"/>
      <c r="AD69" s="59"/>
      <c r="AE69" s="59"/>
      <c r="AF69" s="59"/>
      <c r="AG69" s="59"/>
      <c r="AH69" s="59"/>
      <c r="AI69" s="59"/>
      <c r="AJ69" s="59"/>
    </row>
    <row r="70" spans="1:36" ht="14" customHeight="1" outlineLevel="1" x14ac:dyDescent="0.15">
      <c r="A70" s="59"/>
      <c r="B70" s="59"/>
      <c r="C70" s="59" t="s">
        <v>353</v>
      </c>
      <c r="D70" s="59"/>
      <c r="E70" s="59"/>
      <c r="F70" s="59"/>
      <c r="G70" s="59"/>
      <c r="H70" s="59"/>
      <c r="I70" s="59"/>
      <c r="J70" s="204">
        <f>-J121/4*4</f>
        <v>124.64129493874256</v>
      </c>
      <c r="K70" s="187">
        <f t="shared" ref="K70:P70" si="13">-K121</f>
        <v>158.90356198761438</v>
      </c>
      <c r="L70" s="187">
        <f t="shared" si="13"/>
        <v>194.51939941717612</v>
      </c>
      <c r="M70" s="187">
        <f t="shared" si="13"/>
        <v>232.04522162527843</v>
      </c>
      <c r="N70" s="187">
        <f t="shared" si="13"/>
        <v>272.04792903006148</v>
      </c>
      <c r="O70" s="187">
        <f t="shared" si="13"/>
        <v>315.11420692202574</v>
      </c>
      <c r="P70" s="187">
        <f t="shared" si="13"/>
        <v>361.85979153126033</v>
      </c>
      <c r="Q70" s="59"/>
      <c r="R70" s="84"/>
      <c r="S70" s="59"/>
      <c r="T70" s="59"/>
      <c r="U70" s="59"/>
      <c r="V70" s="59"/>
      <c r="W70" s="59"/>
      <c r="X70" s="59"/>
      <c r="Y70" s="59"/>
      <c r="Z70" s="59"/>
      <c r="AA70" s="59"/>
      <c r="AB70" s="59"/>
      <c r="AC70" s="59"/>
      <c r="AD70" s="59"/>
      <c r="AE70" s="59"/>
      <c r="AF70" s="59"/>
      <c r="AG70" s="59"/>
      <c r="AH70" s="59"/>
      <c r="AI70" s="59"/>
      <c r="AJ70" s="59"/>
    </row>
    <row r="71" spans="1:36" ht="14" customHeight="1" outlineLevel="1" x14ac:dyDescent="0.15">
      <c r="A71" s="59"/>
      <c r="B71" s="59"/>
      <c r="C71" s="67" t="s">
        <v>352</v>
      </c>
      <c r="D71" s="59"/>
      <c r="E71" s="59"/>
      <c r="F71" s="59"/>
      <c r="G71" s="59"/>
      <c r="H71" s="59"/>
      <c r="I71" s="59"/>
      <c r="J71" s="186">
        <f t="shared" ref="J71:P71" si="14">J63-SUM(J69:J70)</f>
        <v>2548.7987050612574</v>
      </c>
      <c r="K71" s="186">
        <f t="shared" si="14"/>
        <v>2835.3492380123857</v>
      </c>
      <c r="L71" s="186">
        <f t="shared" si="14"/>
        <v>3159.0437365828247</v>
      </c>
      <c r="M71" s="186">
        <f t="shared" si="14"/>
        <v>3523.9454906947226</v>
      </c>
      <c r="N71" s="186">
        <f t="shared" si="14"/>
        <v>3934.6616687683404</v>
      </c>
      <c r="O71" s="186">
        <f t="shared" si="14"/>
        <v>4396.4005426121848</v>
      </c>
      <c r="P71" s="186">
        <f t="shared" si="14"/>
        <v>4915.0367279470565</v>
      </c>
      <c r="Q71" s="59"/>
      <c r="R71" s="86"/>
      <c r="S71" s="59"/>
      <c r="T71" s="59"/>
      <c r="U71" s="59"/>
      <c r="V71" s="59"/>
      <c r="W71" s="59"/>
      <c r="X71" s="59"/>
      <c r="Y71" s="59"/>
      <c r="Z71" s="59"/>
      <c r="AA71" s="59"/>
      <c r="AB71" s="59"/>
      <c r="AC71" s="59"/>
      <c r="AD71" s="59"/>
      <c r="AE71" s="59"/>
      <c r="AF71" s="59"/>
      <c r="AG71" s="59"/>
      <c r="AH71" s="59"/>
      <c r="AI71" s="59"/>
      <c r="AJ71" s="59"/>
    </row>
    <row r="72" spans="1:36" ht="14" customHeight="1" outlineLevel="1" x14ac:dyDescent="0.15">
      <c r="A72" s="59"/>
      <c r="B72" s="59"/>
      <c r="C72" s="67"/>
      <c r="D72" s="59"/>
      <c r="E72" s="59"/>
      <c r="F72" s="59"/>
      <c r="G72" s="59"/>
      <c r="H72" s="59"/>
      <c r="I72" s="59"/>
      <c r="J72" s="145"/>
      <c r="K72" s="145"/>
      <c r="L72" s="145"/>
      <c r="M72" s="145"/>
      <c r="N72" s="145"/>
      <c r="O72" s="145"/>
      <c r="P72" s="145"/>
      <c r="Q72" s="59"/>
      <c r="R72" s="86"/>
      <c r="S72" s="59"/>
      <c r="T72" s="59"/>
      <c r="U72" s="59"/>
      <c r="V72" s="59"/>
      <c r="W72" s="59"/>
      <c r="X72" s="59"/>
      <c r="Y72" s="59"/>
      <c r="Z72" s="59"/>
      <c r="AA72" s="59"/>
      <c r="AB72" s="59"/>
      <c r="AC72" s="59"/>
      <c r="AD72" s="59"/>
      <c r="AE72" s="59"/>
      <c r="AF72" s="59"/>
      <c r="AG72" s="59"/>
      <c r="AH72" s="59"/>
      <c r="AI72" s="59"/>
      <c r="AJ72" s="59"/>
    </row>
    <row r="73" spans="1:36" ht="14" customHeight="1" outlineLevel="1" x14ac:dyDescent="0.15">
      <c r="A73" s="59"/>
      <c r="B73" s="59"/>
      <c r="C73" s="59" t="s">
        <v>323</v>
      </c>
      <c r="D73" s="59"/>
      <c r="E73" s="59"/>
      <c r="F73" s="59"/>
      <c r="G73" s="59"/>
      <c r="H73" s="59"/>
      <c r="I73" s="59"/>
      <c r="J73" s="187">
        <f t="shared" ref="J73:P73" ca="1" si="15">J117</f>
        <v>452.93531246388096</v>
      </c>
      <c r="K73" s="187">
        <f t="shared" ca="1" si="15"/>
        <v>402.02854813565529</v>
      </c>
      <c r="L73" s="187">
        <f t="shared" ca="1" si="15"/>
        <v>349.462805124</v>
      </c>
      <c r="M73" s="187">
        <f t="shared" ca="1" si="15"/>
        <v>295.01409281471007</v>
      </c>
      <c r="N73" s="187">
        <f t="shared" ca="1" si="15"/>
        <v>238.42490332251359</v>
      </c>
      <c r="O73" s="187">
        <f t="shared" ca="1" si="15"/>
        <v>179.39918729692931</v>
      </c>
      <c r="P73" s="187">
        <f t="shared" ca="1" si="15"/>
        <v>117.59657567584537</v>
      </c>
      <c r="Q73" s="59"/>
      <c r="R73" s="59"/>
      <c r="S73" s="59"/>
      <c r="T73" s="59"/>
      <c r="U73" s="59"/>
      <c r="V73" s="59"/>
      <c r="W73" s="59"/>
      <c r="X73" s="59"/>
      <c r="Y73" s="59"/>
      <c r="Z73" s="59"/>
      <c r="AA73" s="59"/>
      <c r="AB73" s="59"/>
      <c r="AC73" s="59"/>
      <c r="AD73" s="59"/>
      <c r="AE73" s="59"/>
      <c r="AF73" s="59"/>
      <c r="AG73" s="59"/>
      <c r="AH73" s="59"/>
      <c r="AI73" s="59"/>
      <c r="AJ73" s="59"/>
    </row>
    <row r="74" spans="1:36" ht="14" customHeight="1" outlineLevel="1" x14ac:dyDescent="0.15">
      <c r="A74" s="59"/>
      <c r="B74" s="59"/>
      <c r="C74" s="67" t="s">
        <v>351</v>
      </c>
      <c r="D74" s="59"/>
      <c r="E74" s="59"/>
      <c r="F74" s="59"/>
      <c r="G74" s="59"/>
      <c r="H74" s="59"/>
      <c r="I74" s="59"/>
      <c r="J74" s="186">
        <f t="shared" ref="J74:P74" ca="1" si="16">J71-J73</f>
        <v>1795.3695605057151</v>
      </c>
      <c r="K74" s="186">
        <f t="shared" ca="1" si="16"/>
        <v>2182.2327715525698</v>
      </c>
      <c r="L74" s="186">
        <f t="shared" ca="1" si="16"/>
        <v>2621.3326117516208</v>
      </c>
      <c r="M74" s="186">
        <f t="shared" ca="1" si="16"/>
        <v>3120.4534073643931</v>
      </c>
      <c r="N74" s="186">
        <f t="shared" ca="1" si="16"/>
        <v>3688.5508111167173</v>
      </c>
      <c r="O74" s="186">
        <f t="shared" ca="1" si="16"/>
        <v>4335.9269607938404</v>
      </c>
      <c r="P74" s="186">
        <f t="shared" ca="1" si="16"/>
        <v>5074.4319887591</v>
      </c>
      <c r="Q74" s="59"/>
      <c r="R74" s="59"/>
      <c r="S74" s="59"/>
      <c r="T74" s="59"/>
      <c r="U74" s="59"/>
      <c r="V74" s="59"/>
      <c r="W74" s="59"/>
      <c r="X74" s="59"/>
      <c r="Y74" s="59"/>
      <c r="Z74" s="59"/>
      <c r="AA74" s="59"/>
      <c r="AB74" s="59"/>
      <c r="AC74" s="59"/>
      <c r="AD74" s="59"/>
      <c r="AE74" s="59"/>
      <c r="AF74" s="59"/>
      <c r="AG74" s="59"/>
      <c r="AH74" s="59"/>
      <c r="AI74" s="59"/>
      <c r="AJ74" s="59"/>
    </row>
    <row r="75" spans="1:36" outlineLevel="1" x14ac:dyDescent="0.15">
      <c r="A75" s="59"/>
      <c r="B75" s="59"/>
      <c r="C75" s="59"/>
      <c r="D75" s="59"/>
      <c r="E75" s="59"/>
      <c r="F75" s="59"/>
      <c r="G75" s="59"/>
      <c r="H75" s="59"/>
      <c r="I75" s="59"/>
      <c r="J75" s="59"/>
      <c r="K75" s="59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59"/>
      <c r="AA75" s="59"/>
      <c r="AB75" s="59"/>
      <c r="AC75" s="59"/>
      <c r="AD75" s="59"/>
      <c r="AE75" s="59"/>
      <c r="AF75" s="59"/>
      <c r="AG75" s="59"/>
      <c r="AH75" s="59"/>
      <c r="AI75" s="59"/>
      <c r="AJ75" s="59"/>
    </row>
    <row r="76" spans="1:36" outlineLevel="1" x14ac:dyDescent="0.15">
      <c r="A76" s="59"/>
      <c r="B76" s="59"/>
      <c r="C76" s="59" t="s">
        <v>350</v>
      </c>
      <c r="D76" s="59"/>
      <c r="E76" s="59"/>
      <c r="F76" s="59"/>
      <c r="G76" s="59"/>
      <c r="I76" s="59"/>
      <c r="J76" s="187">
        <f t="shared" ref="J76:P76" ca="1" si="17">$V76*J$74</f>
        <v>314.18967308850011</v>
      </c>
      <c r="K76" s="187">
        <f t="shared" ca="1" si="17"/>
        <v>381.8907350216997</v>
      </c>
      <c r="L76" s="187">
        <f t="shared" ca="1" si="17"/>
        <v>458.73320705653362</v>
      </c>
      <c r="M76" s="187">
        <f t="shared" ca="1" si="17"/>
        <v>546.07934628876876</v>
      </c>
      <c r="N76" s="187">
        <f t="shared" ca="1" si="17"/>
        <v>645.49639194542544</v>
      </c>
      <c r="O76" s="187">
        <f t="shared" ca="1" si="17"/>
        <v>758.78721813892207</v>
      </c>
      <c r="P76" s="187">
        <f t="shared" ca="1" si="17"/>
        <v>888.02559803284248</v>
      </c>
      <c r="Q76" s="59"/>
      <c r="R76" s="59"/>
      <c r="S76" s="59"/>
      <c r="T76" s="59"/>
      <c r="U76" s="59"/>
      <c r="V76" s="203">
        <v>0.35</v>
      </c>
      <c r="W76" s="189" t="s">
        <v>349</v>
      </c>
      <c r="X76" s="59"/>
      <c r="Y76" s="59"/>
      <c r="Z76" s="59"/>
      <c r="AA76" s="59"/>
      <c r="AB76" s="59"/>
      <c r="AC76" s="59"/>
      <c r="AD76" s="59"/>
      <c r="AE76" s="59"/>
      <c r="AF76" s="59"/>
      <c r="AG76" s="59"/>
      <c r="AH76" s="59"/>
      <c r="AI76" s="59"/>
      <c r="AJ76" s="59"/>
    </row>
    <row r="77" spans="1:36" outlineLevel="1" x14ac:dyDescent="0.15">
      <c r="A77" s="59"/>
      <c r="B77" s="59"/>
      <c r="C77" s="67" t="s">
        <v>101</v>
      </c>
      <c r="D77" s="59"/>
      <c r="E77" s="59"/>
      <c r="F77" s="59"/>
      <c r="G77" s="59"/>
      <c r="H77" s="59"/>
      <c r="I77" s="59"/>
      <c r="J77" s="186">
        <f t="shared" ref="J77:P77" ca="1" si="18">J74-J76</f>
        <v>1481.179887417215</v>
      </c>
      <c r="K77" s="186">
        <f t="shared" ca="1" si="18"/>
        <v>1800.3420365308702</v>
      </c>
      <c r="L77" s="186">
        <f t="shared" ca="1" si="18"/>
        <v>2162.5994046950873</v>
      </c>
      <c r="M77" s="186">
        <f t="shared" ca="1" si="18"/>
        <v>2574.3740610756245</v>
      </c>
      <c r="N77" s="186">
        <f t="shared" ca="1" si="18"/>
        <v>3043.054419171292</v>
      </c>
      <c r="O77" s="186">
        <f t="shared" ca="1" si="18"/>
        <v>3577.1397426549183</v>
      </c>
      <c r="P77" s="186">
        <f t="shared" ca="1" si="18"/>
        <v>4186.4063907262571</v>
      </c>
      <c r="Q77" s="59"/>
      <c r="R77" s="59"/>
      <c r="S77" s="59"/>
      <c r="T77" s="59"/>
      <c r="U77" s="59"/>
      <c r="V77" s="59"/>
      <c r="W77" s="59"/>
      <c r="X77" s="59"/>
      <c r="Y77" s="59"/>
      <c r="Z77" s="59"/>
      <c r="AA77" s="59"/>
      <c r="AB77" s="59"/>
      <c r="AC77" s="59"/>
      <c r="AD77" s="59"/>
      <c r="AE77" s="59"/>
      <c r="AF77" s="59"/>
      <c r="AG77" s="59"/>
      <c r="AH77" s="59"/>
      <c r="AI77" s="59"/>
      <c r="AJ77" s="59"/>
    </row>
    <row r="78" spans="1:36" outlineLevel="1" x14ac:dyDescent="0.15">
      <c r="A78" s="59"/>
      <c r="B78" s="59"/>
      <c r="C78" s="181" t="s">
        <v>348</v>
      </c>
      <c r="E78" s="59"/>
      <c r="F78" s="59"/>
      <c r="G78" s="59"/>
      <c r="H78" s="59"/>
      <c r="I78" s="59"/>
      <c r="J78" s="69">
        <f t="shared" ref="J78:P78" si="19">J70</f>
        <v>124.64129493874256</v>
      </c>
      <c r="K78" s="69">
        <f t="shared" si="19"/>
        <v>158.90356198761438</v>
      </c>
      <c r="L78" s="69">
        <f t="shared" si="19"/>
        <v>194.51939941717612</v>
      </c>
      <c r="M78" s="69">
        <f t="shared" si="19"/>
        <v>232.04522162527843</v>
      </c>
      <c r="N78" s="69">
        <f t="shared" si="19"/>
        <v>272.04792903006148</v>
      </c>
      <c r="O78" s="69">
        <f t="shared" si="19"/>
        <v>315.11420692202574</v>
      </c>
      <c r="P78" s="69">
        <f t="shared" si="19"/>
        <v>361.85979153126033</v>
      </c>
      <c r="Q78" s="59"/>
      <c r="R78" s="59"/>
      <c r="S78" s="59"/>
      <c r="T78" s="59"/>
      <c r="U78" s="59"/>
      <c r="V78" s="59"/>
      <c r="W78" s="59"/>
      <c r="X78" s="59"/>
      <c r="Y78" s="59"/>
      <c r="Z78" s="59"/>
      <c r="AA78" s="59"/>
      <c r="AB78" s="59"/>
      <c r="AC78" s="59"/>
      <c r="AD78" s="59"/>
      <c r="AE78" s="59"/>
      <c r="AF78" s="59"/>
      <c r="AG78" s="59"/>
      <c r="AH78" s="59"/>
      <c r="AI78" s="59"/>
      <c r="AJ78" s="59"/>
    </row>
    <row r="79" spans="1:36" outlineLevel="1" x14ac:dyDescent="0.15">
      <c r="A79" s="59"/>
      <c r="B79" s="59"/>
      <c r="C79" s="123" t="s">
        <v>347</v>
      </c>
      <c r="E79" s="59"/>
      <c r="F79" s="59"/>
      <c r="G79" s="59"/>
      <c r="H79" s="59"/>
      <c r="I79" s="59"/>
      <c r="J79" s="182">
        <v>0</v>
      </c>
      <c r="K79" s="182">
        <v>0</v>
      </c>
      <c r="L79" s="182">
        <v>0</v>
      </c>
      <c r="M79" s="182">
        <v>0</v>
      </c>
      <c r="N79" s="182">
        <v>0</v>
      </c>
      <c r="O79" s="182">
        <v>0</v>
      </c>
      <c r="P79" s="182">
        <v>0</v>
      </c>
      <c r="Q79" s="59"/>
      <c r="R79" s="59"/>
      <c r="S79" s="59"/>
      <c r="T79" s="59"/>
      <c r="U79" s="59"/>
      <c r="V79" s="59"/>
      <c r="W79" s="59"/>
      <c r="X79" s="59"/>
      <c r="Y79" s="59"/>
      <c r="Z79" s="59"/>
      <c r="AA79" s="59"/>
      <c r="AB79" s="59"/>
      <c r="AC79" s="59"/>
      <c r="AD79" s="59"/>
      <c r="AE79" s="59"/>
      <c r="AF79" s="59"/>
      <c r="AG79" s="59"/>
      <c r="AH79" s="59"/>
      <c r="AI79" s="59"/>
      <c r="AJ79" s="59"/>
    </row>
    <row r="80" spans="1:36" outlineLevel="1" x14ac:dyDescent="0.15">
      <c r="A80" s="59"/>
      <c r="B80" s="59"/>
      <c r="C80" s="123" t="s">
        <v>346</v>
      </c>
      <c r="D80" s="59"/>
      <c r="E80" s="59"/>
      <c r="F80" s="59"/>
      <c r="G80" s="69"/>
      <c r="H80" s="69"/>
      <c r="I80" s="69"/>
      <c r="J80" s="202">
        <f>-J120/4*4</f>
        <v>-364.47716428084527</v>
      </c>
      <c r="K80" s="69">
        <f t="shared" ref="K80:P80" si="20">-K120</f>
        <v>-408.21442399454673</v>
      </c>
      <c r="L80" s="69">
        <f t="shared" si="20"/>
        <v>-457.20015487389242</v>
      </c>
      <c r="M80" s="69">
        <f t="shared" si="20"/>
        <v>-512.06417345875957</v>
      </c>
      <c r="N80" s="69">
        <f t="shared" si="20"/>
        <v>-573.5118742738108</v>
      </c>
      <c r="O80" s="69">
        <f t="shared" si="20"/>
        <v>-642.33329918666811</v>
      </c>
      <c r="P80" s="69">
        <f t="shared" si="20"/>
        <v>-719.41329508906847</v>
      </c>
      <c r="Q80" s="201"/>
      <c r="R80" s="201"/>
      <c r="S80" s="59"/>
      <c r="T80" s="59"/>
      <c r="U80" s="59"/>
      <c r="V80" s="59"/>
      <c r="W80" s="59"/>
      <c r="X80" s="59"/>
      <c r="Y80" s="59"/>
      <c r="Z80" s="59"/>
      <c r="AA80" s="59"/>
      <c r="AB80" s="59"/>
      <c r="AC80" s="59"/>
      <c r="AD80" s="59"/>
      <c r="AE80" s="59"/>
      <c r="AF80" s="59"/>
      <c r="AG80" s="59"/>
      <c r="AH80" s="59"/>
      <c r="AI80" s="59"/>
      <c r="AJ80" s="59"/>
    </row>
    <row r="81" spans="1:36" ht="15" outlineLevel="1" thickBot="1" x14ac:dyDescent="0.2">
      <c r="A81" s="59"/>
      <c r="B81" s="59"/>
      <c r="C81" s="67" t="s">
        <v>345</v>
      </c>
      <c r="D81" s="59"/>
      <c r="E81" s="59"/>
      <c r="F81" s="59"/>
      <c r="G81" s="59"/>
      <c r="H81" s="59"/>
      <c r="I81" s="59"/>
      <c r="J81" s="146">
        <f t="shared" ref="J81:P81" ca="1" si="21">SUM(J77:J80)</f>
        <v>1417.8750144476189</v>
      </c>
      <c r="K81" s="146">
        <f t="shared" ca="1" si="21"/>
        <v>1728.8307168426452</v>
      </c>
      <c r="L81" s="146">
        <f t="shared" ca="1" si="21"/>
        <v>2081.4664878194658</v>
      </c>
      <c r="M81" s="146">
        <f t="shared" ca="1" si="21"/>
        <v>2482.0184358965207</v>
      </c>
      <c r="N81" s="146">
        <f t="shared" ca="1" si="21"/>
        <v>2937.6573609820603</v>
      </c>
      <c r="O81" s="146">
        <f t="shared" ca="1" si="21"/>
        <v>3456.6290492516478</v>
      </c>
      <c r="P81" s="146">
        <f t="shared" ca="1" si="21"/>
        <v>4048.4155991819357</v>
      </c>
      <c r="Q81" s="59"/>
      <c r="R81" s="59"/>
      <c r="S81" s="59"/>
      <c r="T81" s="59"/>
      <c r="U81" s="59"/>
      <c r="V81" s="59"/>
      <c r="W81" s="59"/>
      <c r="X81" s="59"/>
      <c r="Y81" s="59"/>
      <c r="Z81" s="59"/>
      <c r="AA81" s="59"/>
      <c r="AB81" s="59"/>
      <c r="AC81" s="59"/>
      <c r="AD81" s="59"/>
      <c r="AE81" s="59"/>
      <c r="AF81" s="59"/>
      <c r="AG81" s="59"/>
      <c r="AH81" s="59"/>
      <c r="AI81" s="59"/>
      <c r="AJ81" s="59"/>
    </row>
    <row r="82" spans="1:36" ht="15" outlineLevel="1" thickTop="1" x14ac:dyDescent="0.15">
      <c r="A82" s="59"/>
      <c r="B82" s="59"/>
      <c r="C82" s="67"/>
      <c r="D82" s="59"/>
      <c r="E82" s="59"/>
      <c r="F82" s="59"/>
      <c r="G82" s="59"/>
      <c r="H82" s="59"/>
      <c r="I82" s="59"/>
      <c r="J82" s="143"/>
      <c r="K82" s="143"/>
      <c r="L82" s="143"/>
      <c r="M82" s="143"/>
      <c r="N82" s="143"/>
      <c r="O82" s="143"/>
      <c r="P82" s="143"/>
      <c r="Q82" s="59"/>
      <c r="R82" s="59"/>
      <c r="S82" s="59"/>
      <c r="T82" s="59"/>
      <c r="U82" s="59"/>
      <c r="V82" s="59"/>
      <c r="W82" s="59"/>
      <c r="X82" s="59"/>
      <c r="Y82" s="59"/>
      <c r="Z82" s="59"/>
      <c r="AA82" s="59"/>
      <c r="AB82" s="59"/>
      <c r="AC82" s="59"/>
      <c r="AD82" s="59"/>
      <c r="AE82" s="59"/>
      <c r="AF82" s="59"/>
      <c r="AG82" s="59"/>
      <c r="AH82" s="59"/>
      <c r="AI82" s="59"/>
      <c r="AJ82" s="59"/>
    </row>
    <row r="83" spans="1:36" outlineLevel="1" x14ac:dyDescent="0.15">
      <c r="A83" s="59"/>
      <c r="B83" s="59"/>
      <c r="U83" s="59"/>
      <c r="V83" s="59"/>
      <c r="W83" s="59"/>
      <c r="X83" s="59"/>
      <c r="Y83" s="59"/>
      <c r="Z83" s="59"/>
      <c r="AA83" s="59"/>
      <c r="AB83" s="59"/>
      <c r="AC83" s="59"/>
      <c r="AD83" s="59"/>
      <c r="AE83" s="59"/>
      <c r="AF83" s="59"/>
      <c r="AG83" s="59"/>
      <c r="AH83" s="59"/>
      <c r="AI83" s="59"/>
      <c r="AJ83" s="59"/>
    </row>
    <row r="84" spans="1:36" outlineLevel="1" x14ac:dyDescent="0.15">
      <c r="A84" s="59"/>
      <c r="B84" s="59"/>
      <c r="C84" s="59"/>
      <c r="D84" s="59"/>
      <c r="E84" s="59"/>
      <c r="F84" s="59"/>
      <c r="G84" s="59"/>
      <c r="H84" s="59"/>
      <c r="I84" s="59"/>
      <c r="J84" s="59"/>
      <c r="K84" s="59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59"/>
      <c r="AA84" s="59"/>
      <c r="AB84" s="59"/>
      <c r="AC84" s="59"/>
      <c r="AD84" s="59"/>
      <c r="AE84" s="59"/>
      <c r="AF84" s="59"/>
      <c r="AG84" s="59"/>
      <c r="AH84" s="59"/>
      <c r="AI84" s="59"/>
      <c r="AJ84" s="59"/>
    </row>
    <row r="85" spans="1:36" outlineLevel="1" x14ac:dyDescent="0.15">
      <c r="A85" s="59"/>
      <c r="B85" s="59"/>
      <c r="C85" s="59"/>
      <c r="D85" s="59"/>
      <c r="E85" s="59"/>
      <c r="F85" s="59"/>
      <c r="G85" s="59"/>
      <c r="H85" s="59"/>
      <c r="I85" s="59"/>
      <c r="J85" s="59"/>
      <c r="K85" s="59"/>
      <c r="L85" s="59"/>
      <c r="M85" s="59"/>
      <c r="N85" s="59"/>
      <c r="O85" s="59"/>
      <c r="P85" s="59"/>
      <c r="Q85" s="59"/>
      <c r="R85" s="59"/>
      <c r="S85" s="59"/>
      <c r="T85" s="59"/>
      <c r="U85" s="59"/>
      <c r="V85" s="59"/>
      <c r="W85" s="59"/>
      <c r="X85" s="59"/>
      <c r="Y85" s="59"/>
      <c r="Z85" s="59"/>
      <c r="AA85" s="59"/>
      <c r="AB85" s="59"/>
      <c r="AC85" s="59"/>
      <c r="AD85" s="59"/>
      <c r="AE85" s="59"/>
      <c r="AF85" s="59"/>
      <c r="AG85" s="59"/>
      <c r="AH85" s="59"/>
      <c r="AI85" s="59"/>
      <c r="AJ85" s="59"/>
    </row>
    <row r="86" spans="1:36" ht="17" customHeight="1" outlineLevel="1" x14ac:dyDescent="0.3">
      <c r="A86" s="73" t="s">
        <v>270</v>
      </c>
      <c r="B86" s="59"/>
      <c r="C86" s="65" t="s">
        <v>344</v>
      </c>
      <c r="D86" s="65"/>
      <c r="E86" s="65"/>
      <c r="F86" s="65"/>
      <c r="G86" s="65"/>
      <c r="H86" s="65"/>
      <c r="I86" s="65"/>
      <c r="J86" s="65"/>
      <c r="K86" s="65"/>
      <c r="L86" s="65"/>
      <c r="M86" s="65"/>
      <c r="N86" s="65"/>
      <c r="O86" s="65"/>
      <c r="P86" s="65"/>
      <c r="Q86" s="65"/>
      <c r="R86" s="65"/>
      <c r="S86" s="59"/>
      <c r="T86" s="59"/>
      <c r="U86" s="59"/>
      <c r="V86" s="59"/>
      <c r="W86" s="59"/>
      <c r="X86" s="59"/>
      <c r="Y86" s="59"/>
      <c r="Z86" s="59"/>
      <c r="AA86" s="59"/>
      <c r="AB86" s="59"/>
      <c r="AC86" s="59"/>
      <c r="AD86" s="59"/>
      <c r="AE86" s="59"/>
      <c r="AF86" s="59"/>
      <c r="AG86" s="59"/>
      <c r="AH86" s="59"/>
      <c r="AI86" s="59"/>
      <c r="AJ86" s="59"/>
    </row>
    <row r="87" spans="1:36" ht="16.25" customHeight="1" outlineLevel="1" x14ac:dyDescent="0.3">
      <c r="A87" s="59"/>
      <c r="B87" s="59"/>
      <c r="C87" s="59"/>
      <c r="D87" s="59"/>
      <c r="E87" s="59"/>
      <c r="F87" s="59"/>
      <c r="G87" s="59"/>
      <c r="H87" s="59"/>
      <c r="I87" s="59"/>
      <c r="J87" s="65" t="s">
        <v>315</v>
      </c>
      <c r="K87" s="65"/>
      <c r="L87" s="65"/>
      <c r="M87" s="65"/>
      <c r="N87" s="72"/>
      <c r="O87" s="72"/>
      <c r="P87" s="72"/>
      <c r="Q87" s="59"/>
      <c r="R87" s="59"/>
      <c r="S87" s="59"/>
      <c r="T87" s="59"/>
      <c r="U87" s="59"/>
      <c r="V87" s="59"/>
      <c r="W87" s="59"/>
      <c r="X87" s="59"/>
      <c r="Y87" s="59"/>
      <c r="Z87" s="59"/>
      <c r="AA87" s="59"/>
      <c r="AB87" s="59"/>
      <c r="AC87" s="59"/>
      <c r="AD87" s="59"/>
      <c r="AE87" s="59"/>
      <c r="AF87" s="59"/>
      <c r="AG87" s="59"/>
      <c r="AH87" s="59"/>
      <c r="AI87" s="59"/>
      <c r="AJ87" s="59"/>
    </row>
    <row r="88" spans="1:36" ht="16.25" customHeight="1" outlineLevel="1" x14ac:dyDescent="0.15">
      <c r="A88" s="59"/>
      <c r="B88" s="59"/>
      <c r="C88" s="59"/>
      <c r="D88" s="59"/>
      <c r="E88" s="59"/>
      <c r="F88" s="59"/>
      <c r="G88" s="59"/>
      <c r="H88" s="59"/>
      <c r="I88" s="59"/>
      <c r="J88" s="177">
        <f t="shared" ref="J88:P88" si="22">+J52</f>
        <v>44650.25</v>
      </c>
      <c r="K88" s="177">
        <f t="shared" si="22"/>
        <v>45015.5</v>
      </c>
      <c r="L88" s="177">
        <f t="shared" si="22"/>
        <v>45380.75</v>
      </c>
      <c r="M88" s="177">
        <f t="shared" si="22"/>
        <v>45746</v>
      </c>
      <c r="N88" s="177">
        <f t="shared" si="22"/>
        <v>46111.25</v>
      </c>
      <c r="O88" s="177">
        <f t="shared" si="22"/>
        <v>46476.5</v>
      </c>
      <c r="P88" s="177">
        <f t="shared" si="22"/>
        <v>46841.75</v>
      </c>
      <c r="Q88" s="59"/>
      <c r="R88" s="59"/>
      <c r="S88" s="59"/>
      <c r="T88" s="59"/>
      <c r="U88" s="59"/>
      <c r="V88" s="59"/>
      <c r="W88" s="59"/>
      <c r="X88" s="59"/>
      <c r="Y88" s="59"/>
      <c r="Z88" s="59"/>
      <c r="AA88" s="59"/>
      <c r="AB88" s="59"/>
      <c r="AC88" s="59"/>
      <c r="AD88" s="59"/>
      <c r="AE88" s="59"/>
      <c r="AF88" s="59"/>
      <c r="AG88" s="59"/>
      <c r="AH88" s="59"/>
      <c r="AI88" s="59"/>
      <c r="AJ88" s="59"/>
    </row>
    <row r="89" spans="1:36" outlineLevel="1" x14ac:dyDescent="0.15">
      <c r="A89" s="59"/>
      <c r="B89" s="59"/>
      <c r="C89" s="59"/>
      <c r="D89" s="59"/>
      <c r="E89" s="59"/>
      <c r="F89" s="59"/>
      <c r="G89" s="59"/>
      <c r="H89" s="59"/>
      <c r="I89" s="59"/>
      <c r="J89" s="59"/>
      <c r="K89" s="59"/>
      <c r="L89" s="59"/>
      <c r="M89" s="59"/>
      <c r="N89" s="59"/>
      <c r="O89" s="59"/>
      <c r="P89" s="59"/>
      <c r="Q89" s="59"/>
      <c r="R89" s="59"/>
      <c r="S89" s="59"/>
      <c r="T89" s="59"/>
      <c r="U89" s="59"/>
      <c r="V89" s="59"/>
      <c r="W89" s="59"/>
      <c r="X89" s="59"/>
      <c r="Y89" s="59"/>
      <c r="Z89" s="59"/>
      <c r="AA89" s="59"/>
      <c r="AB89" s="59"/>
      <c r="AC89" s="59"/>
      <c r="AD89" s="59"/>
      <c r="AE89" s="59"/>
      <c r="AF89" s="59"/>
      <c r="AG89" s="59"/>
      <c r="AH89" s="59"/>
      <c r="AI89" s="59"/>
      <c r="AJ89" s="59"/>
    </row>
    <row r="90" spans="1:36" outlineLevel="1" x14ac:dyDescent="0.15">
      <c r="A90" s="59"/>
      <c r="B90" s="59"/>
      <c r="C90" s="59"/>
      <c r="D90" s="59"/>
      <c r="E90" s="59"/>
      <c r="F90" s="59"/>
      <c r="G90" s="59"/>
      <c r="H90" s="59"/>
      <c r="I90" s="59"/>
      <c r="J90" s="59"/>
      <c r="K90" s="59"/>
      <c r="L90" s="59"/>
      <c r="M90" s="59"/>
      <c r="N90" s="59"/>
      <c r="O90" s="59"/>
      <c r="P90" s="59"/>
      <c r="Q90" s="59"/>
      <c r="R90" s="59"/>
      <c r="S90" s="59"/>
      <c r="T90" s="59"/>
      <c r="U90" s="59"/>
      <c r="V90" s="59"/>
      <c r="W90" s="59"/>
      <c r="X90" s="59"/>
      <c r="Y90" s="59"/>
      <c r="Z90" s="59"/>
      <c r="AA90" s="59"/>
      <c r="AB90" s="59"/>
      <c r="AC90" s="59"/>
      <c r="AD90" s="59"/>
      <c r="AE90" s="59"/>
      <c r="AF90" s="59"/>
      <c r="AG90" s="59"/>
      <c r="AH90" s="59"/>
      <c r="AI90" s="59"/>
      <c r="AJ90" s="59"/>
    </row>
    <row r="91" spans="1:36" outlineLevel="1" x14ac:dyDescent="0.15">
      <c r="A91" s="59"/>
      <c r="B91" s="59"/>
      <c r="D91" s="59"/>
      <c r="E91" s="59"/>
      <c r="F91" s="59"/>
      <c r="G91" s="59"/>
      <c r="H91" s="59"/>
      <c r="I91" s="162" t="s">
        <v>310</v>
      </c>
      <c r="J91" s="59"/>
      <c r="K91" s="59"/>
      <c r="L91" s="59"/>
      <c r="M91" s="59"/>
      <c r="N91" s="59"/>
      <c r="O91" s="59"/>
      <c r="P91" s="59"/>
      <c r="Q91" s="59"/>
      <c r="R91" s="59"/>
      <c r="S91" s="59"/>
      <c r="T91" s="59"/>
      <c r="U91" s="59"/>
      <c r="V91" s="59"/>
      <c r="W91" s="59"/>
      <c r="X91" s="59"/>
      <c r="Y91" s="59"/>
      <c r="Z91" s="59"/>
      <c r="AA91" s="59"/>
      <c r="AB91" s="59"/>
      <c r="AC91" s="59"/>
      <c r="AD91" s="59"/>
      <c r="AE91" s="59"/>
      <c r="AF91" s="59"/>
      <c r="AG91" s="59"/>
      <c r="AH91" s="59"/>
      <c r="AI91" s="59"/>
      <c r="AJ91" s="59"/>
    </row>
    <row r="92" spans="1:36" ht="15" customHeight="1" outlineLevel="1" x14ac:dyDescent="0.15">
      <c r="A92" s="59"/>
      <c r="B92" s="59"/>
      <c r="C92" s="188" t="s">
        <v>343</v>
      </c>
      <c r="D92" s="59"/>
      <c r="E92" s="59"/>
      <c r="F92" s="59"/>
      <c r="G92" s="59"/>
      <c r="H92" s="59"/>
      <c r="I92" s="200">
        <f>+$E$52</f>
        <v>44256</v>
      </c>
      <c r="J92" s="59"/>
      <c r="K92" s="59"/>
      <c r="L92" s="59"/>
      <c r="M92" s="59"/>
      <c r="N92" s="59"/>
      <c r="O92" s="59"/>
      <c r="P92" s="59"/>
      <c r="Q92" s="59"/>
      <c r="R92" s="59"/>
      <c r="S92" s="59"/>
      <c r="T92" s="59"/>
      <c r="U92" s="59"/>
      <c r="V92" s="59"/>
      <c r="W92" s="59"/>
      <c r="X92" s="59"/>
      <c r="Y92" s="59"/>
      <c r="Z92" s="59"/>
      <c r="AA92" s="59"/>
      <c r="AB92" s="59"/>
      <c r="AC92" s="59"/>
      <c r="AD92" s="59"/>
      <c r="AE92" s="59"/>
      <c r="AF92" s="59"/>
      <c r="AG92" s="59"/>
      <c r="AH92" s="59"/>
      <c r="AI92" s="59"/>
      <c r="AJ92" s="59"/>
    </row>
    <row r="93" spans="1:36" ht="5" customHeight="1" outlineLevel="1" x14ac:dyDescent="0.15">
      <c r="A93" s="59"/>
      <c r="B93" s="59"/>
      <c r="C93" s="188"/>
      <c r="D93" s="59"/>
      <c r="E93" s="59"/>
      <c r="F93" s="59"/>
      <c r="G93" s="59"/>
      <c r="H93" s="59"/>
      <c r="I93" s="162"/>
      <c r="J93" s="59"/>
      <c r="K93" s="59"/>
      <c r="L93" s="59"/>
      <c r="M93" s="59"/>
      <c r="N93" s="59"/>
      <c r="O93" s="59"/>
      <c r="P93" s="59"/>
      <c r="Q93" s="59"/>
      <c r="R93" s="59"/>
      <c r="S93" s="59"/>
      <c r="T93" s="59"/>
      <c r="U93" s="59"/>
      <c r="V93" s="59"/>
      <c r="W93" s="59"/>
      <c r="X93" s="59"/>
      <c r="Y93" s="59"/>
      <c r="Z93" s="59"/>
      <c r="AA93" s="59"/>
      <c r="AB93" s="59"/>
      <c r="AC93" s="59"/>
      <c r="AD93" s="59"/>
      <c r="AE93" s="59"/>
      <c r="AF93" s="59"/>
      <c r="AG93" s="59"/>
      <c r="AH93" s="59"/>
      <c r="AI93" s="59"/>
      <c r="AJ93" s="59"/>
    </row>
    <row r="94" spans="1:36" outlineLevel="1" x14ac:dyDescent="0.15">
      <c r="A94" s="59"/>
      <c r="B94" s="59"/>
      <c r="C94" s="59" t="s">
        <v>328</v>
      </c>
      <c r="D94" s="59"/>
      <c r="I94" s="199">
        <f>L8</f>
        <v>0</v>
      </c>
      <c r="J94" s="71">
        <f t="shared" ref="J94:P94" ca="1" si="23">SUM(I94,J106)</f>
        <v>0</v>
      </c>
      <c r="K94" s="71">
        <f t="shared" ca="1" si="23"/>
        <v>0</v>
      </c>
      <c r="L94" s="71">
        <f t="shared" ca="1" si="23"/>
        <v>0</v>
      </c>
      <c r="M94" s="71">
        <f t="shared" ca="1" si="23"/>
        <v>0</v>
      </c>
      <c r="N94" s="71">
        <f t="shared" ca="1" si="23"/>
        <v>0</v>
      </c>
      <c r="O94" s="71">
        <f t="shared" ca="1" si="23"/>
        <v>0</v>
      </c>
      <c r="P94" s="71">
        <f t="shared" ca="1" si="23"/>
        <v>0</v>
      </c>
      <c r="Q94" s="59"/>
      <c r="R94" s="59"/>
      <c r="S94" s="59"/>
      <c r="T94" s="59"/>
      <c r="U94" s="59"/>
      <c r="V94" s="59"/>
      <c r="W94" s="59"/>
      <c r="X94" s="59"/>
      <c r="Y94" s="59"/>
      <c r="Z94" s="59"/>
      <c r="AA94" s="59"/>
      <c r="AB94" s="59"/>
      <c r="AC94" s="59"/>
      <c r="AD94" s="59"/>
      <c r="AE94" s="59"/>
      <c r="AF94" s="59"/>
      <c r="AG94" s="59"/>
      <c r="AH94" s="59"/>
      <c r="AI94" s="59"/>
      <c r="AJ94" s="59"/>
    </row>
    <row r="95" spans="1:36" outlineLevel="1" x14ac:dyDescent="0.15">
      <c r="A95" s="59"/>
      <c r="B95" s="59"/>
      <c r="C95" s="59" t="s">
        <v>327</v>
      </c>
      <c r="D95" s="59"/>
      <c r="I95" s="198">
        <f>L9</f>
        <v>6683.5999999999995</v>
      </c>
      <c r="J95" s="71">
        <f t="shared" ref="J95:P95" ca="1" si="24">SUM(I95,J105)</f>
        <v>5400</v>
      </c>
      <c r="K95" s="71">
        <f t="shared" ca="1" si="24"/>
        <v>4800</v>
      </c>
      <c r="L95" s="71">
        <f t="shared" ca="1" si="24"/>
        <v>4200</v>
      </c>
      <c r="M95" s="71">
        <f t="shared" ca="1" si="24"/>
        <v>3600</v>
      </c>
      <c r="N95" s="71">
        <f t="shared" ca="1" si="24"/>
        <v>3000</v>
      </c>
      <c r="O95" s="71">
        <f t="shared" ca="1" si="24"/>
        <v>2400</v>
      </c>
      <c r="P95" s="71">
        <f t="shared" ca="1" si="24"/>
        <v>1800</v>
      </c>
      <c r="Q95" s="59"/>
      <c r="R95" s="59"/>
      <c r="S95" s="59"/>
      <c r="T95" s="59"/>
      <c r="U95" s="59"/>
      <c r="V95" s="59"/>
      <c r="W95" s="59"/>
      <c r="X95" s="59"/>
      <c r="Y95" s="59"/>
      <c r="Z95" s="59"/>
      <c r="AA95" s="59"/>
      <c r="AB95" s="59"/>
      <c r="AC95" s="59"/>
      <c r="AD95" s="59"/>
      <c r="AE95" s="59"/>
      <c r="AF95" s="59"/>
      <c r="AG95" s="59"/>
      <c r="AH95" s="59"/>
      <c r="AI95" s="59"/>
      <c r="AJ95" s="59"/>
    </row>
    <row r="96" spans="1:36" outlineLevel="1" x14ac:dyDescent="0.15">
      <c r="A96" s="59"/>
      <c r="B96" s="59"/>
      <c r="C96" s="59" t="s">
        <v>326</v>
      </c>
      <c r="D96" s="59"/>
      <c r="I96" s="197">
        <f>L10</f>
        <v>1383</v>
      </c>
      <c r="J96" s="182">
        <v>0</v>
      </c>
      <c r="K96" s="182">
        <v>0</v>
      </c>
      <c r="L96" s="182">
        <v>0</v>
      </c>
      <c r="M96" s="182">
        <v>0</v>
      </c>
      <c r="N96" s="182">
        <v>0</v>
      </c>
      <c r="O96" s="182">
        <v>0</v>
      </c>
      <c r="P96" s="182">
        <v>0</v>
      </c>
      <c r="Q96" s="59"/>
      <c r="R96" s="59"/>
      <c r="S96" s="59"/>
      <c r="T96" s="59"/>
      <c r="U96" s="59"/>
      <c r="V96" s="59"/>
      <c r="W96" s="59"/>
      <c r="X96" s="59"/>
      <c r="Y96" s="59"/>
      <c r="Z96" s="59"/>
      <c r="AA96" s="59"/>
      <c r="AB96" s="59"/>
      <c r="AC96" s="59"/>
      <c r="AD96" s="59"/>
      <c r="AE96" s="59"/>
      <c r="AF96" s="59"/>
      <c r="AG96" s="59"/>
      <c r="AH96" s="59"/>
      <c r="AI96" s="59"/>
      <c r="AJ96" s="59"/>
    </row>
    <row r="97" spans="1:36" outlineLevel="1" x14ac:dyDescent="0.15">
      <c r="A97" s="59"/>
      <c r="B97" s="59"/>
      <c r="C97" s="67" t="s">
        <v>342</v>
      </c>
      <c r="I97" s="196">
        <f t="shared" ref="I97:P97" si="25">SUM(I94:I96)</f>
        <v>8066.5999999999995</v>
      </c>
      <c r="J97" s="62">
        <f t="shared" ca="1" si="25"/>
        <v>5400</v>
      </c>
      <c r="K97" s="62">
        <f t="shared" ca="1" si="25"/>
        <v>4800</v>
      </c>
      <c r="L97" s="62">
        <f t="shared" ca="1" si="25"/>
        <v>4200</v>
      </c>
      <c r="M97" s="62">
        <f t="shared" ca="1" si="25"/>
        <v>3600</v>
      </c>
      <c r="N97" s="62">
        <f t="shared" ca="1" si="25"/>
        <v>3000</v>
      </c>
      <c r="O97" s="62">
        <f t="shared" ca="1" si="25"/>
        <v>2400</v>
      </c>
      <c r="P97" s="62">
        <f t="shared" ca="1" si="25"/>
        <v>1800</v>
      </c>
      <c r="Q97" s="59"/>
      <c r="R97" s="59"/>
      <c r="S97" s="59"/>
      <c r="T97" s="59"/>
      <c r="U97" s="59"/>
      <c r="V97" s="59"/>
      <c r="W97" s="59"/>
      <c r="X97" s="59"/>
      <c r="Y97" s="59"/>
      <c r="Z97" s="59"/>
      <c r="AA97" s="59"/>
      <c r="AB97" s="59"/>
      <c r="AC97" s="59"/>
      <c r="AD97" s="59"/>
      <c r="AE97" s="59"/>
      <c r="AF97" s="59"/>
      <c r="AG97" s="59"/>
      <c r="AH97" s="59"/>
      <c r="AI97" s="59"/>
      <c r="AJ97" s="59"/>
    </row>
    <row r="98" spans="1:36" outlineLevel="1" x14ac:dyDescent="0.15">
      <c r="A98" s="59"/>
      <c r="B98" s="59"/>
      <c r="C98" s="128" t="s">
        <v>341</v>
      </c>
      <c r="D98" s="59"/>
      <c r="E98" s="59"/>
      <c r="F98" s="59"/>
      <c r="G98" s="59"/>
      <c r="H98" s="59"/>
      <c r="I98" s="195">
        <f>-Q19</f>
        <v>-477.40000000000003</v>
      </c>
      <c r="J98" s="69">
        <f t="shared" ref="J98:P98" ca="1" si="26">-J108</f>
        <v>-825.87501444761892</v>
      </c>
      <c r="K98" s="69">
        <f t="shared" ca="1" si="26"/>
        <v>-1562.7057312902643</v>
      </c>
      <c r="L98" s="69">
        <f t="shared" ca="1" si="26"/>
        <v>-2652.1722191097301</v>
      </c>
      <c r="M98" s="69">
        <f t="shared" ca="1" si="26"/>
        <v>-4142.1906550062504</v>
      </c>
      <c r="N98" s="69">
        <f t="shared" ca="1" si="26"/>
        <v>-6087.8480159883111</v>
      </c>
      <c r="O98" s="69">
        <f t="shared" ca="1" si="26"/>
        <v>-8552.4770652399584</v>
      </c>
      <c r="P98" s="69">
        <f t="shared" ca="1" si="26"/>
        <v>-11608.892664421894</v>
      </c>
      <c r="Q98" s="59"/>
      <c r="R98" s="59"/>
      <c r="S98" s="59"/>
      <c r="T98" s="59"/>
      <c r="U98" s="59"/>
      <c r="V98" s="59"/>
      <c r="W98" s="59"/>
      <c r="X98" s="59"/>
      <c r="Y98" s="59"/>
      <c r="Z98" s="59"/>
      <c r="AA98" s="59"/>
      <c r="AB98" s="59"/>
      <c r="AC98" s="59"/>
      <c r="AD98" s="59"/>
      <c r="AE98" s="59"/>
      <c r="AF98" s="59"/>
      <c r="AG98" s="59"/>
      <c r="AH98" s="59"/>
      <c r="AI98" s="59"/>
      <c r="AJ98" s="59"/>
    </row>
    <row r="99" spans="1:36" ht="15" outlineLevel="1" thickBot="1" x14ac:dyDescent="0.2">
      <c r="A99" s="59"/>
      <c r="B99" s="59"/>
      <c r="C99" s="67" t="s">
        <v>340</v>
      </c>
      <c r="D99" s="59"/>
      <c r="E99" s="59"/>
      <c r="F99" s="59"/>
      <c r="G99" s="59"/>
      <c r="H99" s="59"/>
      <c r="I99" s="194">
        <f t="shared" ref="I99:P99" si="27">SUM(I97:I98)</f>
        <v>7589.2</v>
      </c>
      <c r="J99" s="146">
        <f t="shared" ca="1" si="27"/>
        <v>4574.1249855523811</v>
      </c>
      <c r="K99" s="146">
        <f t="shared" ca="1" si="27"/>
        <v>3237.2942687097357</v>
      </c>
      <c r="L99" s="146">
        <f t="shared" ca="1" si="27"/>
        <v>1547.8277808902699</v>
      </c>
      <c r="M99" s="146">
        <f t="shared" ca="1" si="27"/>
        <v>-542.19065500625038</v>
      </c>
      <c r="N99" s="146">
        <f t="shared" ca="1" si="27"/>
        <v>-3087.8480159883111</v>
      </c>
      <c r="O99" s="146">
        <f t="shared" ca="1" si="27"/>
        <v>-6152.4770652399584</v>
      </c>
      <c r="P99" s="146">
        <f t="shared" ca="1" si="27"/>
        <v>-9808.8926644218936</v>
      </c>
      <c r="Q99" s="59"/>
      <c r="R99" s="59"/>
      <c r="S99" s="59"/>
      <c r="T99" s="59"/>
      <c r="U99" s="59"/>
      <c r="V99" s="59"/>
      <c r="W99" s="59"/>
      <c r="X99" s="59"/>
      <c r="Y99" s="59"/>
      <c r="Z99" s="59"/>
      <c r="AA99" s="59"/>
      <c r="AB99" s="59"/>
      <c r="AC99" s="59"/>
      <c r="AD99" s="59"/>
      <c r="AE99" s="59"/>
      <c r="AF99" s="59"/>
      <c r="AG99" s="59"/>
      <c r="AH99" s="59"/>
      <c r="AI99" s="59"/>
      <c r="AJ99" s="59"/>
    </row>
    <row r="100" spans="1:36" ht="15" outlineLevel="1" thickTop="1" x14ac:dyDescent="0.15">
      <c r="A100" s="59"/>
      <c r="B100" s="59"/>
      <c r="C100" s="59"/>
      <c r="D100" s="59"/>
      <c r="E100" s="59"/>
      <c r="F100" s="59"/>
      <c r="G100" s="59"/>
      <c r="H100" s="59"/>
      <c r="I100" s="193"/>
      <c r="J100" s="59"/>
      <c r="K100" s="59"/>
      <c r="L100" s="59"/>
      <c r="M100" s="59"/>
      <c r="N100" s="59"/>
      <c r="O100" s="59"/>
      <c r="P100" s="59"/>
      <c r="Q100" s="59"/>
      <c r="R100" s="59"/>
      <c r="S100" s="59"/>
      <c r="T100" s="59"/>
      <c r="U100" s="59"/>
      <c r="V100" s="59"/>
      <c r="W100" s="59"/>
      <c r="X100" s="59"/>
      <c r="Y100" s="59"/>
      <c r="Z100" s="59"/>
      <c r="AA100" s="59"/>
      <c r="AB100" s="59"/>
      <c r="AC100" s="59"/>
      <c r="AD100" s="59"/>
      <c r="AE100" s="59"/>
      <c r="AF100" s="59"/>
      <c r="AG100" s="59"/>
      <c r="AH100" s="59"/>
      <c r="AI100" s="59"/>
      <c r="AJ100" s="59"/>
    </row>
    <row r="101" spans="1:36" outlineLevel="1" x14ac:dyDescent="0.15">
      <c r="A101" s="59"/>
      <c r="B101" s="59"/>
      <c r="C101" s="188" t="s">
        <v>339</v>
      </c>
      <c r="D101" s="59"/>
      <c r="E101" s="59"/>
      <c r="F101" s="59"/>
      <c r="G101" s="59"/>
      <c r="H101" s="59"/>
      <c r="I101" s="59"/>
      <c r="J101" s="59"/>
      <c r="K101" s="59"/>
      <c r="L101" s="59"/>
      <c r="M101" s="59"/>
      <c r="N101" s="59"/>
      <c r="O101" s="59"/>
      <c r="P101" s="59"/>
      <c r="Q101" s="59"/>
      <c r="R101" s="59"/>
      <c r="S101" s="59"/>
      <c r="T101" s="59"/>
      <c r="U101" s="59"/>
      <c r="V101" s="59"/>
      <c r="W101" s="59"/>
      <c r="X101" s="59"/>
      <c r="Y101" s="59"/>
      <c r="Z101" s="59"/>
      <c r="AA101" s="59"/>
      <c r="AB101" s="59"/>
      <c r="AC101" s="59"/>
      <c r="AD101" s="59"/>
      <c r="AE101" s="59"/>
      <c r="AF101" s="59"/>
      <c r="AG101" s="59"/>
      <c r="AH101" s="59"/>
      <c r="AI101" s="59"/>
      <c r="AJ101" s="59"/>
    </row>
    <row r="102" spans="1:36" ht="5" customHeight="1" outlineLevel="1" x14ac:dyDescent="0.15">
      <c r="A102" s="59"/>
      <c r="B102" s="59"/>
      <c r="C102" s="188"/>
      <c r="D102" s="59"/>
      <c r="E102" s="59"/>
      <c r="F102" s="59"/>
      <c r="G102" s="59"/>
      <c r="H102" s="59"/>
      <c r="I102" s="59"/>
      <c r="J102" s="59"/>
      <c r="K102" s="59"/>
      <c r="L102" s="59"/>
      <c r="M102" s="59"/>
      <c r="N102" s="59"/>
      <c r="O102" s="59"/>
      <c r="P102" s="59"/>
      <c r="Q102" s="59"/>
      <c r="R102" s="59"/>
      <c r="S102" s="59"/>
      <c r="T102" s="59"/>
      <c r="U102" s="59"/>
      <c r="V102" s="59"/>
      <c r="W102" s="59"/>
      <c r="X102" s="59"/>
      <c r="Y102" s="59"/>
      <c r="Z102" s="59"/>
      <c r="AA102" s="59"/>
      <c r="AB102" s="59"/>
      <c r="AC102" s="59"/>
      <c r="AD102" s="59"/>
      <c r="AE102" s="59"/>
      <c r="AF102" s="59"/>
      <c r="AG102" s="59"/>
      <c r="AH102" s="59"/>
      <c r="AI102" s="59"/>
      <c r="AJ102" s="59"/>
    </row>
    <row r="103" spans="1:36" outlineLevel="1" x14ac:dyDescent="0.15">
      <c r="A103" s="67"/>
      <c r="B103" s="67"/>
      <c r="C103" s="67" t="s">
        <v>338</v>
      </c>
      <c r="D103" s="67"/>
      <c r="E103" s="67"/>
      <c r="F103" s="67"/>
      <c r="G103" s="67"/>
      <c r="H103" s="67"/>
      <c r="I103" s="67"/>
      <c r="J103" s="143">
        <f>-I98</f>
        <v>477.40000000000003</v>
      </c>
      <c r="K103" s="143">
        <f t="shared" ref="K103:P103" ca="1" si="28">J108</f>
        <v>825.87501444761892</v>
      </c>
      <c r="L103" s="143">
        <f t="shared" ca="1" si="28"/>
        <v>1562.7057312902643</v>
      </c>
      <c r="M103" s="143">
        <f t="shared" ca="1" si="28"/>
        <v>2652.1722191097301</v>
      </c>
      <c r="N103" s="143">
        <f t="shared" ca="1" si="28"/>
        <v>4142.1906550062504</v>
      </c>
      <c r="O103" s="143">
        <f t="shared" ca="1" si="28"/>
        <v>6087.8480159883111</v>
      </c>
      <c r="P103" s="143">
        <f t="shared" ca="1" si="28"/>
        <v>8552.4770652399584</v>
      </c>
      <c r="Q103" s="67"/>
      <c r="R103" s="67"/>
      <c r="S103" s="67"/>
      <c r="T103" s="67"/>
      <c r="U103" s="67"/>
      <c r="V103" s="192">
        <f>Q19</f>
        <v>477.40000000000003</v>
      </c>
      <c r="W103" s="189" t="s">
        <v>337</v>
      </c>
      <c r="X103" s="67"/>
      <c r="Y103" s="67"/>
      <c r="Z103" s="67"/>
      <c r="AA103" s="67"/>
      <c r="AB103" s="67"/>
      <c r="AC103" s="67"/>
      <c r="AD103" s="67"/>
      <c r="AE103" s="67"/>
      <c r="AF103" s="67"/>
      <c r="AG103" s="67"/>
      <c r="AH103" s="67"/>
      <c r="AI103" s="67"/>
      <c r="AJ103" s="67"/>
    </row>
    <row r="104" spans="1:36" outlineLevel="1" x14ac:dyDescent="0.15">
      <c r="A104" s="59"/>
      <c r="B104" s="59"/>
      <c r="C104" s="123" t="s">
        <v>336</v>
      </c>
      <c r="D104" s="128"/>
      <c r="E104" s="59"/>
      <c r="F104" s="59"/>
      <c r="G104" s="59"/>
      <c r="H104" s="59"/>
      <c r="I104" s="59"/>
      <c r="J104" s="69">
        <f t="shared" ref="J104:P104" ca="1" si="29">J81</f>
        <v>1417.8750144476189</v>
      </c>
      <c r="K104" s="69">
        <f t="shared" ca="1" si="29"/>
        <v>1728.8307168426452</v>
      </c>
      <c r="L104" s="69">
        <f t="shared" ca="1" si="29"/>
        <v>2081.4664878194658</v>
      </c>
      <c r="M104" s="69">
        <f t="shared" ca="1" si="29"/>
        <v>2482.0184358965207</v>
      </c>
      <c r="N104" s="69">
        <f t="shared" ca="1" si="29"/>
        <v>2937.6573609820603</v>
      </c>
      <c r="O104" s="69">
        <f t="shared" ca="1" si="29"/>
        <v>3456.6290492516478</v>
      </c>
      <c r="P104" s="69">
        <f t="shared" ca="1" si="29"/>
        <v>4048.4155991819357</v>
      </c>
      <c r="Q104" s="59"/>
      <c r="R104" s="59"/>
      <c r="S104" s="59"/>
      <c r="T104" s="59"/>
      <c r="U104" s="59"/>
      <c r="V104" s="191"/>
      <c r="W104" s="59"/>
      <c r="X104" s="59"/>
      <c r="Y104" s="59"/>
      <c r="Z104" s="59"/>
      <c r="AA104" s="59"/>
      <c r="AB104" s="59"/>
      <c r="AC104" s="59"/>
      <c r="AD104" s="59"/>
      <c r="AE104" s="59"/>
      <c r="AF104" s="59"/>
      <c r="AG104" s="59"/>
      <c r="AH104" s="59"/>
      <c r="AI104" s="59"/>
      <c r="AJ104" s="59"/>
    </row>
    <row r="105" spans="1:36" outlineLevel="1" x14ac:dyDescent="0.15">
      <c r="A105" s="59"/>
      <c r="B105" s="59"/>
      <c r="C105" s="123" t="s">
        <v>335</v>
      </c>
      <c r="D105" s="128"/>
      <c r="E105" s="59"/>
      <c r="F105" s="59"/>
      <c r="G105" s="59"/>
      <c r="H105" s="59"/>
      <c r="I105" s="59"/>
      <c r="J105" s="182">
        <f t="shared" ref="J105:P105" ca="1" si="30">-MIN($I$95/$V$105,J95)</f>
        <v>-600</v>
      </c>
      <c r="K105" s="182">
        <f t="shared" ca="1" si="30"/>
        <v>-600</v>
      </c>
      <c r="L105" s="182">
        <f t="shared" ca="1" si="30"/>
        <v>-600</v>
      </c>
      <c r="M105" s="182">
        <f t="shared" ca="1" si="30"/>
        <v>-600</v>
      </c>
      <c r="N105" s="182">
        <f t="shared" ca="1" si="30"/>
        <v>-600</v>
      </c>
      <c r="O105" s="182">
        <f t="shared" ca="1" si="30"/>
        <v>-600</v>
      </c>
      <c r="P105" s="182">
        <f t="shared" ca="1" si="30"/>
        <v>-600</v>
      </c>
      <c r="Q105" s="59"/>
      <c r="R105" s="59"/>
      <c r="S105" s="59"/>
      <c r="T105" s="59"/>
      <c r="U105" s="59"/>
      <c r="V105" s="190">
        <v>10</v>
      </c>
      <c r="W105" s="189" t="s">
        <v>334</v>
      </c>
      <c r="X105" s="59"/>
      <c r="Y105" s="59"/>
      <c r="Z105" s="59"/>
      <c r="AA105" s="59"/>
      <c r="AB105" s="59"/>
      <c r="AC105" s="59"/>
      <c r="AD105" s="59"/>
      <c r="AE105" s="59"/>
      <c r="AF105" s="59"/>
      <c r="AG105" s="59"/>
      <c r="AH105" s="59"/>
      <c r="AI105" s="59"/>
      <c r="AJ105" s="59"/>
    </row>
    <row r="106" spans="1:36" outlineLevel="1" x14ac:dyDescent="0.15">
      <c r="A106" s="123"/>
      <c r="B106" s="59"/>
      <c r="C106" s="123" t="s">
        <v>333</v>
      </c>
      <c r="D106" s="128"/>
      <c r="E106" s="59"/>
      <c r="F106" s="59"/>
      <c r="G106" s="59"/>
      <c r="H106" s="59"/>
      <c r="I106" s="59"/>
      <c r="J106" s="69">
        <f t="shared" ref="J106:P106" ca="1" si="31">IF(SUM(J103:J105,J107,-$V$106)&lt;0,-SUM(J103:J105,J107,-$V$106),0) - IF(AND(SUM(J103:J105,J107,-$V$106)&gt;=0,I94&gt;0),MIN(I94,SUM(J103:J105,J107,-$V$106)),0)</f>
        <v>0</v>
      </c>
      <c r="K106" s="69">
        <f t="shared" ca="1" si="31"/>
        <v>0</v>
      </c>
      <c r="L106" s="69">
        <f t="shared" ca="1" si="31"/>
        <v>0</v>
      </c>
      <c r="M106" s="69">
        <f t="shared" ca="1" si="31"/>
        <v>0</v>
      </c>
      <c r="N106" s="69">
        <f t="shared" ca="1" si="31"/>
        <v>0</v>
      </c>
      <c r="O106" s="69">
        <f t="shared" ca="1" si="31"/>
        <v>0</v>
      </c>
      <c r="P106" s="69">
        <f t="shared" ca="1" si="31"/>
        <v>0</v>
      </c>
      <c r="Q106" s="59"/>
      <c r="R106" s="59"/>
      <c r="S106" s="59"/>
      <c r="T106" s="59"/>
      <c r="U106" s="59"/>
      <c r="V106" s="59"/>
      <c r="W106" s="59"/>
      <c r="X106" s="59"/>
      <c r="Y106" s="59"/>
      <c r="Z106" s="59"/>
      <c r="AA106" s="59"/>
      <c r="AB106" s="59"/>
      <c r="AC106" s="59"/>
      <c r="AD106" s="59"/>
      <c r="AE106" s="59"/>
      <c r="AF106" s="59"/>
      <c r="AG106" s="59"/>
      <c r="AH106" s="59"/>
      <c r="AI106" s="59"/>
      <c r="AJ106" s="59"/>
    </row>
    <row r="107" spans="1:36" outlineLevel="1" x14ac:dyDescent="0.15">
      <c r="A107" s="59"/>
      <c r="B107" s="59"/>
      <c r="C107" s="123" t="s">
        <v>332</v>
      </c>
      <c r="D107" s="128"/>
      <c r="E107" s="59"/>
      <c r="F107" s="59"/>
      <c r="G107" s="59"/>
      <c r="H107" s="59"/>
      <c r="I107" s="59"/>
      <c r="J107" s="182">
        <f t="shared" ref="J107:P107" si="32">-J150-J158</f>
        <v>-317.37040000000007</v>
      </c>
      <c r="K107" s="182">
        <f t="shared" si="32"/>
        <v>-317.37040000000007</v>
      </c>
      <c r="L107" s="182">
        <f t="shared" si="32"/>
        <v>-317.37040000000007</v>
      </c>
      <c r="M107" s="182">
        <f t="shared" si="32"/>
        <v>-317.37040000000007</v>
      </c>
      <c r="N107" s="182">
        <f t="shared" si="32"/>
        <v>-317.37040000000007</v>
      </c>
      <c r="O107" s="182">
        <f t="shared" si="32"/>
        <v>-317.37040000000007</v>
      </c>
      <c r="P107" s="182">
        <f t="shared" si="32"/>
        <v>-317.37040000000007</v>
      </c>
      <c r="Q107" s="59"/>
      <c r="R107" s="59"/>
      <c r="S107" s="59"/>
      <c r="T107" s="59"/>
      <c r="U107" s="59"/>
      <c r="V107" s="59"/>
      <c r="W107" s="59"/>
      <c r="X107" s="59"/>
      <c r="Y107" s="59"/>
      <c r="Z107" s="59"/>
      <c r="AA107" s="59"/>
      <c r="AB107" s="59"/>
      <c r="AC107" s="59"/>
      <c r="AD107" s="59"/>
      <c r="AE107" s="59"/>
      <c r="AF107" s="59"/>
      <c r="AG107" s="59"/>
      <c r="AH107" s="59"/>
      <c r="AI107" s="59"/>
      <c r="AJ107" s="59"/>
    </row>
    <row r="108" spans="1:36" ht="15" outlineLevel="1" thickBot="1" x14ac:dyDescent="0.2">
      <c r="A108" s="59"/>
      <c r="B108" s="59"/>
      <c r="C108" s="67" t="s">
        <v>331</v>
      </c>
      <c r="D108" s="59"/>
      <c r="E108" s="59"/>
      <c r="F108" s="59"/>
      <c r="G108" s="59"/>
      <c r="H108" s="59"/>
      <c r="I108" s="59"/>
      <c r="J108" s="146">
        <f t="shared" ref="J108:P108" ca="1" si="33">SUM(J103:J107)</f>
        <v>825.87501444761892</v>
      </c>
      <c r="K108" s="146">
        <f t="shared" ca="1" si="33"/>
        <v>1562.7057312902643</v>
      </c>
      <c r="L108" s="146">
        <f t="shared" ca="1" si="33"/>
        <v>2652.1722191097301</v>
      </c>
      <c r="M108" s="146">
        <f t="shared" ca="1" si="33"/>
        <v>4142.1906550062504</v>
      </c>
      <c r="N108" s="146">
        <f t="shared" ca="1" si="33"/>
        <v>6087.8480159883111</v>
      </c>
      <c r="O108" s="146">
        <f t="shared" ca="1" si="33"/>
        <v>8552.4770652399584</v>
      </c>
      <c r="P108" s="146">
        <f t="shared" ca="1" si="33"/>
        <v>11608.892664421894</v>
      </c>
      <c r="Q108" s="59"/>
      <c r="R108" s="59"/>
      <c r="S108" s="59"/>
      <c r="T108" s="59"/>
      <c r="U108" s="59"/>
      <c r="V108" s="59"/>
      <c r="W108" s="59"/>
      <c r="X108" s="59"/>
      <c r="Y108" s="59"/>
      <c r="Z108" s="59"/>
      <c r="AA108" s="59"/>
      <c r="AB108" s="59"/>
      <c r="AC108" s="59"/>
      <c r="AD108" s="59"/>
      <c r="AE108" s="59"/>
      <c r="AF108" s="59"/>
      <c r="AG108" s="59"/>
      <c r="AH108" s="59"/>
      <c r="AI108" s="59"/>
      <c r="AJ108" s="59"/>
    </row>
    <row r="109" spans="1:36" ht="15" outlineLevel="1" thickTop="1" x14ac:dyDescent="0.15">
      <c r="A109" s="59"/>
      <c r="B109" s="59"/>
      <c r="C109" s="59"/>
      <c r="D109" s="59"/>
      <c r="E109" s="59"/>
      <c r="F109" s="59"/>
      <c r="G109" s="59"/>
      <c r="H109" s="59"/>
      <c r="I109" s="59"/>
      <c r="J109" s="59"/>
      <c r="K109" s="59"/>
      <c r="L109" s="59"/>
      <c r="M109" s="59"/>
      <c r="N109" s="59"/>
      <c r="O109" s="59"/>
      <c r="P109" s="59"/>
      <c r="Q109" s="59"/>
      <c r="R109" s="59"/>
      <c r="S109" s="59"/>
      <c r="T109" s="59"/>
      <c r="U109" s="59"/>
      <c r="V109" s="59"/>
      <c r="W109" s="59"/>
      <c r="X109" s="59"/>
      <c r="Y109" s="59"/>
      <c r="Z109" s="59"/>
      <c r="AA109" s="59"/>
      <c r="AB109" s="59"/>
      <c r="AC109" s="59"/>
      <c r="AD109" s="59"/>
      <c r="AE109" s="59"/>
      <c r="AF109" s="59"/>
      <c r="AG109" s="59"/>
      <c r="AH109" s="59"/>
      <c r="AI109" s="59"/>
      <c r="AJ109" s="59"/>
    </row>
    <row r="110" spans="1:36" ht="17" outlineLevel="1" x14ac:dyDescent="0.3">
      <c r="A110" s="59"/>
      <c r="B110" s="59"/>
      <c r="C110" s="188" t="s">
        <v>330</v>
      </c>
      <c r="D110" s="59"/>
      <c r="E110" s="59"/>
      <c r="F110" s="59"/>
      <c r="G110" s="59"/>
      <c r="H110" s="59"/>
      <c r="J110" s="59"/>
      <c r="K110" s="59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65" t="s">
        <v>329</v>
      </c>
      <c r="W110" s="59"/>
      <c r="X110" s="59"/>
      <c r="Y110" s="59"/>
      <c r="Z110" s="59"/>
      <c r="AA110" s="59"/>
      <c r="AB110" s="59"/>
      <c r="AC110" s="59"/>
      <c r="AD110" s="59"/>
      <c r="AE110" s="59"/>
      <c r="AF110" s="59"/>
      <c r="AG110" s="59"/>
      <c r="AH110" s="59"/>
      <c r="AI110" s="59"/>
      <c r="AJ110" s="59"/>
    </row>
    <row r="111" spans="1:36" ht="5" customHeight="1" outlineLevel="1" x14ac:dyDescent="0.3">
      <c r="A111" s="59"/>
      <c r="B111" s="59"/>
      <c r="C111" s="188"/>
      <c r="D111" s="59"/>
      <c r="E111" s="59"/>
      <c r="F111" s="59"/>
      <c r="G111" s="59"/>
      <c r="H111" s="59"/>
      <c r="J111" s="59"/>
      <c r="K111" s="59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65"/>
      <c r="W111" s="59"/>
      <c r="X111" s="59"/>
      <c r="Y111" s="59"/>
      <c r="Z111" s="59"/>
      <c r="AA111" s="59"/>
      <c r="AB111" s="59"/>
      <c r="AC111" s="59"/>
      <c r="AD111" s="59"/>
      <c r="AE111" s="59"/>
      <c r="AF111" s="59"/>
      <c r="AG111" s="59"/>
      <c r="AH111" s="59"/>
      <c r="AI111" s="59"/>
      <c r="AJ111" s="59"/>
    </row>
    <row r="112" spans="1:36" outlineLevel="1" x14ac:dyDescent="0.15">
      <c r="A112" s="59"/>
      <c r="B112" s="59"/>
      <c r="C112" s="59" t="s">
        <v>328</v>
      </c>
      <c r="D112" s="59"/>
      <c r="E112" s="59"/>
      <c r="F112" s="59"/>
      <c r="G112" s="59"/>
      <c r="H112" s="59"/>
      <c r="J112" s="71">
        <f ca="1">AVERAGE(I94:J94)*$V112/4*4</f>
        <v>0</v>
      </c>
      <c r="K112" s="71">
        <f t="shared" ref="K112:P114" ca="1" si="34">AVERAGE(J94:K94)*$V112</f>
        <v>0</v>
      </c>
      <c r="L112" s="71">
        <f t="shared" ca="1" si="34"/>
        <v>0</v>
      </c>
      <c r="M112" s="71">
        <f t="shared" ca="1" si="34"/>
        <v>0</v>
      </c>
      <c r="N112" s="71">
        <f t="shared" ca="1" si="34"/>
        <v>0</v>
      </c>
      <c r="O112" s="71">
        <f t="shared" ca="1" si="34"/>
        <v>0</v>
      </c>
      <c r="P112" s="71">
        <f t="shared" ca="1" si="34"/>
        <v>0</v>
      </c>
      <c r="Q112" s="59"/>
      <c r="R112" s="59"/>
      <c r="S112" s="59"/>
      <c r="T112" s="59"/>
      <c r="U112" s="59"/>
      <c r="V112" s="184">
        <v>0.08</v>
      </c>
      <c r="W112" s="59"/>
      <c r="X112" s="59"/>
      <c r="Y112" s="59"/>
      <c r="Z112" s="59"/>
      <c r="AA112" s="59"/>
      <c r="AB112" s="59"/>
      <c r="AC112" s="59"/>
      <c r="AD112" s="59"/>
      <c r="AE112" s="59"/>
      <c r="AF112" s="59"/>
      <c r="AG112" s="59"/>
      <c r="AH112" s="59"/>
      <c r="AI112" s="59"/>
      <c r="AJ112" s="59"/>
    </row>
    <row r="113" spans="1:36" outlineLevel="1" x14ac:dyDescent="0.15">
      <c r="A113" s="59"/>
      <c r="B113" s="59"/>
      <c r="C113" s="59" t="s">
        <v>327</v>
      </c>
      <c r="D113" s="59"/>
      <c r="E113" s="59"/>
      <c r="F113" s="59"/>
      <c r="G113" s="59"/>
      <c r="H113" s="59"/>
      <c r="I113" s="59"/>
      <c r="J113" s="71">
        <f ca="1">AVERAGE(I95:J95)*$V113/4*4</f>
        <v>456</v>
      </c>
      <c r="K113" s="71">
        <f t="shared" ca="1" si="34"/>
        <v>408</v>
      </c>
      <c r="L113" s="71">
        <f t="shared" ca="1" si="34"/>
        <v>360</v>
      </c>
      <c r="M113" s="71">
        <f t="shared" ca="1" si="34"/>
        <v>312</v>
      </c>
      <c r="N113" s="71">
        <f t="shared" ca="1" si="34"/>
        <v>264</v>
      </c>
      <c r="O113" s="71">
        <f t="shared" ca="1" si="34"/>
        <v>216</v>
      </c>
      <c r="P113" s="71">
        <f t="shared" ca="1" si="34"/>
        <v>168</v>
      </c>
      <c r="Q113" s="59"/>
      <c r="R113" s="59"/>
      <c r="S113" s="59"/>
      <c r="T113" s="59"/>
      <c r="U113" s="59"/>
      <c r="V113" s="184">
        <v>0.08</v>
      </c>
      <c r="W113" s="59"/>
      <c r="X113" s="59"/>
      <c r="Y113" s="59"/>
      <c r="Z113" s="59"/>
      <c r="AA113" s="59"/>
      <c r="AB113" s="59"/>
      <c r="AC113" s="59"/>
      <c r="AD113" s="59"/>
      <c r="AE113" s="59"/>
      <c r="AF113" s="59"/>
      <c r="AG113" s="59"/>
      <c r="AH113" s="59"/>
      <c r="AI113" s="59"/>
      <c r="AJ113" s="59"/>
    </row>
    <row r="114" spans="1:36" outlineLevel="1" x14ac:dyDescent="0.15">
      <c r="A114" s="59"/>
      <c r="B114" s="59"/>
      <c r="C114" s="59" t="s">
        <v>326</v>
      </c>
      <c r="D114" s="59"/>
      <c r="E114" s="59"/>
      <c r="F114" s="59"/>
      <c r="G114" s="59"/>
      <c r="H114" s="59"/>
      <c r="I114" s="59"/>
      <c r="J114" s="187">
        <f>AVERAGE(I96:J96)*$V114/4*4</f>
        <v>69.150000000000006</v>
      </c>
      <c r="K114" s="187">
        <f t="shared" si="34"/>
        <v>0</v>
      </c>
      <c r="L114" s="187">
        <f t="shared" si="34"/>
        <v>0</v>
      </c>
      <c r="M114" s="187">
        <f t="shared" si="34"/>
        <v>0</v>
      </c>
      <c r="N114" s="187">
        <f t="shared" si="34"/>
        <v>0</v>
      </c>
      <c r="O114" s="187">
        <f t="shared" si="34"/>
        <v>0</v>
      </c>
      <c r="P114" s="187">
        <f t="shared" si="34"/>
        <v>0</v>
      </c>
      <c r="Q114" s="59"/>
      <c r="R114" s="59"/>
      <c r="S114" s="59"/>
      <c r="T114" s="59"/>
      <c r="U114" s="59"/>
      <c r="V114" s="184">
        <v>0.1</v>
      </c>
      <c r="W114" s="59"/>
      <c r="X114" s="59"/>
      <c r="Y114" s="59"/>
      <c r="Z114" s="59"/>
      <c r="AA114" s="59"/>
      <c r="AB114" s="59"/>
      <c r="AC114" s="59"/>
      <c r="AD114" s="59"/>
      <c r="AE114" s="59"/>
      <c r="AF114" s="59"/>
      <c r="AG114" s="59"/>
      <c r="AH114" s="59"/>
      <c r="AI114" s="59"/>
      <c r="AJ114" s="59"/>
    </row>
    <row r="115" spans="1:36" outlineLevel="1" x14ac:dyDescent="0.15">
      <c r="A115" s="59"/>
      <c r="B115" s="59"/>
      <c r="C115" s="67" t="s">
        <v>325</v>
      </c>
      <c r="D115" s="59"/>
      <c r="E115" s="59"/>
      <c r="F115" s="59"/>
      <c r="G115" s="59"/>
      <c r="H115" s="59"/>
      <c r="I115" s="59"/>
      <c r="J115" s="186">
        <f t="shared" ref="J115:P115" ca="1" si="35">SUM(J112:J114)</f>
        <v>456</v>
      </c>
      <c r="K115" s="186">
        <f t="shared" ca="1" si="35"/>
        <v>408</v>
      </c>
      <c r="L115" s="186">
        <f t="shared" ca="1" si="35"/>
        <v>360</v>
      </c>
      <c r="M115" s="186">
        <f t="shared" ca="1" si="35"/>
        <v>312</v>
      </c>
      <c r="N115" s="186">
        <f t="shared" ca="1" si="35"/>
        <v>264</v>
      </c>
      <c r="O115" s="186">
        <f t="shared" ca="1" si="35"/>
        <v>216</v>
      </c>
      <c r="P115" s="186">
        <f t="shared" ca="1" si="35"/>
        <v>168</v>
      </c>
      <c r="Q115" s="59"/>
      <c r="R115" s="59"/>
      <c r="S115" s="59"/>
      <c r="T115" s="59"/>
      <c r="U115" s="59"/>
      <c r="V115" s="185"/>
      <c r="W115" s="59"/>
      <c r="X115" s="59"/>
      <c r="Y115" s="59"/>
      <c r="Z115" s="59"/>
      <c r="AA115" s="59"/>
      <c r="AB115" s="59"/>
      <c r="AC115" s="59"/>
      <c r="AD115" s="59"/>
      <c r="AE115" s="59"/>
      <c r="AF115" s="59"/>
      <c r="AG115" s="59"/>
      <c r="AH115" s="59"/>
      <c r="AI115" s="59"/>
      <c r="AJ115" s="59"/>
    </row>
    <row r="116" spans="1:36" outlineLevel="1" x14ac:dyDescent="0.15">
      <c r="A116" s="59"/>
      <c r="B116" s="59"/>
      <c r="C116" s="128" t="s">
        <v>324</v>
      </c>
      <c r="D116" s="59"/>
      <c r="E116" s="59"/>
      <c r="F116" s="59"/>
      <c r="G116" s="59"/>
      <c r="H116" s="59"/>
      <c r="I116" s="59"/>
      <c r="J116" s="71">
        <f ca="1">AVERAGE(I98:J98)*$V116/4*4</f>
        <v>-3.0646875361190475</v>
      </c>
      <c r="K116" s="71">
        <f t="shared" ref="K116:P116" ca="1" si="36">AVERAGE(J98:K98)*$V116</f>
        <v>-5.9714518643447079</v>
      </c>
      <c r="L116" s="71">
        <f t="shared" ca="1" si="36"/>
        <v>-10.537194875999985</v>
      </c>
      <c r="M116" s="71">
        <f t="shared" ca="1" si="36"/>
        <v>-16.985907185289953</v>
      </c>
      <c r="N116" s="71">
        <f t="shared" ca="1" si="36"/>
        <v>-25.575096677486403</v>
      </c>
      <c r="O116" s="71">
        <f t="shared" ca="1" si="36"/>
        <v>-36.600812703070673</v>
      </c>
      <c r="P116" s="71">
        <f t="shared" ca="1" si="36"/>
        <v>-50.403424324154628</v>
      </c>
      <c r="Q116" s="59"/>
      <c r="R116" s="59"/>
      <c r="S116" s="59"/>
      <c r="T116" s="59"/>
      <c r="U116" s="59"/>
      <c r="V116" s="184">
        <v>5.0000000000000001E-3</v>
      </c>
      <c r="W116" s="59"/>
      <c r="X116" s="59"/>
      <c r="Y116" s="59"/>
      <c r="Z116" s="59"/>
      <c r="AA116" s="59"/>
      <c r="AB116" s="59"/>
      <c r="AC116" s="59"/>
      <c r="AD116" s="59"/>
      <c r="AE116" s="59"/>
      <c r="AF116" s="59"/>
      <c r="AG116" s="59"/>
      <c r="AH116" s="59"/>
      <c r="AI116" s="59"/>
      <c r="AJ116" s="59"/>
    </row>
    <row r="117" spans="1:36" ht="15" outlineLevel="1" thickBot="1" x14ac:dyDescent="0.2">
      <c r="A117" s="59"/>
      <c r="B117" s="59"/>
      <c r="C117" s="67" t="s">
        <v>323</v>
      </c>
      <c r="D117" s="59"/>
      <c r="E117" s="59"/>
      <c r="F117" s="59"/>
      <c r="G117" s="59"/>
      <c r="H117" s="59"/>
      <c r="I117" s="59"/>
      <c r="J117" s="178">
        <f t="shared" ref="J117:P117" ca="1" si="37">SUM(J115:J116)</f>
        <v>452.93531246388096</v>
      </c>
      <c r="K117" s="178">
        <f t="shared" ca="1" si="37"/>
        <v>402.02854813565529</v>
      </c>
      <c r="L117" s="178">
        <f t="shared" ca="1" si="37"/>
        <v>349.462805124</v>
      </c>
      <c r="M117" s="178">
        <f t="shared" ca="1" si="37"/>
        <v>295.01409281471007</v>
      </c>
      <c r="N117" s="178">
        <f t="shared" ca="1" si="37"/>
        <v>238.42490332251359</v>
      </c>
      <c r="O117" s="178">
        <f t="shared" ca="1" si="37"/>
        <v>179.39918729692931</v>
      </c>
      <c r="P117" s="178">
        <f t="shared" ca="1" si="37"/>
        <v>117.59657567584537</v>
      </c>
      <c r="Q117" s="59"/>
      <c r="R117" s="59"/>
      <c r="S117" s="59"/>
      <c r="T117" s="59"/>
      <c r="U117" s="59"/>
      <c r="V117" s="183"/>
      <c r="W117" s="59"/>
      <c r="X117" s="59"/>
      <c r="Y117" s="59"/>
      <c r="Z117" s="59"/>
      <c r="AA117" s="59"/>
      <c r="AB117" s="59"/>
      <c r="AC117" s="59"/>
      <c r="AD117" s="59"/>
      <c r="AE117" s="59"/>
      <c r="AF117" s="59"/>
      <c r="AG117" s="59"/>
      <c r="AH117" s="59"/>
      <c r="AI117" s="59"/>
      <c r="AJ117" s="59"/>
    </row>
    <row r="118" spans="1:36" ht="15" outlineLevel="1" thickTop="1" x14ac:dyDescent="0.15">
      <c r="A118" s="59"/>
      <c r="B118" s="59"/>
      <c r="C118" s="59"/>
      <c r="D118" s="59"/>
      <c r="E118" s="59"/>
      <c r="F118" s="59"/>
      <c r="G118" s="59"/>
      <c r="H118" s="59"/>
      <c r="I118" s="59"/>
      <c r="J118" s="59"/>
      <c r="K118" s="59"/>
      <c r="L118" s="59"/>
      <c r="M118" s="59"/>
      <c r="N118" s="59"/>
      <c r="O118" s="59"/>
      <c r="P118" s="59"/>
      <c r="Q118" s="59"/>
      <c r="R118" s="59"/>
      <c r="S118" s="59"/>
      <c r="T118" s="59"/>
      <c r="U118" s="59"/>
      <c r="V118" s="59"/>
      <c r="W118" s="59"/>
      <c r="X118" s="59"/>
      <c r="Y118" s="59"/>
      <c r="Z118" s="59"/>
      <c r="AA118" s="59"/>
      <c r="AB118" s="59"/>
      <c r="AC118" s="59"/>
      <c r="AD118" s="59"/>
      <c r="AE118" s="59"/>
      <c r="AF118" s="59"/>
      <c r="AG118" s="59"/>
      <c r="AH118" s="59"/>
      <c r="AI118" s="59"/>
      <c r="AJ118" s="59"/>
    </row>
    <row r="119" spans="1:36" ht="14.75" customHeight="1" outlineLevel="1" x14ac:dyDescent="0.15">
      <c r="A119" s="59"/>
      <c r="B119" s="59"/>
      <c r="C119" s="67" t="s">
        <v>322</v>
      </c>
      <c r="D119" s="59"/>
      <c r="E119" s="59"/>
      <c r="F119" s="59"/>
      <c r="G119" s="182">
        <v>120</v>
      </c>
      <c r="H119" s="71">
        <f t="shared" ref="H119:P119" si="38">+G122</f>
        <v>388.28318239361181</v>
      </c>
      <c r="I119" s="71">
        <f t="shared" si="38"/>
        <v>638.24019587385044</v>
      </c>
      <c r="J119" s="71">
        <f t="shared" si="38"/>
        <v>872.4890645711979</v>
      </c>
      <c r="K119" s="71">
        <f t="shared" si="38"/>
        <v>1112.3249339133006</v>
      </c>
      <c r="L119" s="71">
        <f t="shared" si="38"/>
        <v>1361.6357959202328</v>
      </c>
      <c r="M119" s="71">
        <f t="shared" si="38"/>
        <v>1624.3165513769491</v>
      </c>
      <c r="N119" s="71">
        <f t="shared" si="38"/>
        <v>1904.3355032104305</v>
      </c>
      <c r="O119" s="71">
        <f t="shared" si="38"/>
        <v>2205.79944845418</v>
      </c>
      <c r="P119" s="71">
        <f t="shared" si="38"/>
        <v>2533.0185407188224</v>
      </c>
      <c r="Q119" s="59"/>
      <c r="R119" s="59"/>
      <c r="S119" s="59"/>
      <c r="T119" s="59"/>
      <c r="U119" s="59"/>
      <c r="V119" s="59"/>
      <c r="W119" s="59"/>
      <c r="X119" s="59"/>
      <c r="Y119" s="59"/>
      <c r="Z119" s="59"/>
      <c r="AA119" s="59"/>
      <c r="AB119" s="59"/>
      <c r="AC119" s="59"/>
      <c r="AD119" s="59"/>
      <c r="AE119" s="59"/>
      <c r="AF119" s="59"/>
      <c r="AG119" s="59"/>
      <c r="AH119" s="59"/>
      <c r="AI119" s="59"/>
      <c r="AJ119" s="59"/>
    </row>
    <row r="120" spans="1:36" ht="14.75" customHeight="1" outlineLevel="1" x14ac:dyDescent="0.15">
      <c r="A120" s="59"/>
      <c r="B120" s="59"/>
      <c r="C120" s="181" t="s">
        <v>321</v>
      </c>
      <c r="D120" s="59"/>
      <c r="E120" s="179" t="s">
        <v>320</v>
      </c>
      <c r="F120" s="180">
        <v>0.02</v>
      </c>
      <c r="G120" s="71">
        <f t="shared" ref="G120:P120" si="39">G55*$F$120</f>
        <v>285.42603953646898</v>
      </c>
      <c r="H120" s="71">
        <f t="shared" si="39"/>
        <v>305.42603953646898</v>
      </c>
      <c r="I120" s="71">
        <f t="shared" si="39"/>
        <v>325.42603953646898</v>
      </c>
      <c r="J120" s="71">
        <f t="shared" si="39"/>
        <v>364.47716428084527</v>
      </c>
      <c r="K120" s="71">
        <f t="shared" si="39"/>
        <v>408.21442399454673</v>
      </c>
      <c r="L120" s="71">
        <f t="shared" si="39"/>
        <v>457.20015487389242</v>
      </c>
      <c r="M120" s="71">
        <f t="shared" si="39"/>
        <v>512.06417345875957</v>
      </c>
      <c r="N120" s="71">
        <f t="shared" si="39"/>
        <v>573.5118742738108</v>
      </c>
      <c r="O120" s="71">
        <f t="shared" si="39"/>
        <v>642.33329918666811</v>
      </c>
      <c r="P120" s="71">
        <f t="shared" si="39"/>
        <v>719.41329508906847</v>
      </c>
      <c r="Q120" s="59"/>
      <c r="R120" s="59"/>
      <c r="S120" s="59"/>
      <c r="T120" s="59"/>
      <c r="U120" s="59"/>
      <c r="V120" s="59"/>
      <c r="W120" s="59"/>
      <c r="X120" s="59"/>
      <c r="Y120" s="59"/>
      <c r="Z120" s="59"/>
      <c r="AA120" s="59"/>
      <c r="AB120" s="59"/>
      <c r="AC120" s="59"/>
      <c r="AD120" s="59"/>
      <c r="AE120" s="59"/>
      <c r="AF120" s="59"/>
      <c r="AG120" s="59"/>
      <c r="AH120" s="59"/>
      <c r="AI120" s="59"/>
      <c r="AJ120" s="59"/>
    </row>
    <row r="121" spans="1:36" ht="14.75" customHeight="1" outlineLevel="1" x14ac:dyDescent="0.15">
      <c r="A121" s="59"/>
      <c r="B121" s="59"/>
      <c r="C121" s="128" t="s">
        <v>319</v>
      </c>
      <c r="D121" s="59"/>
      <c r="E121" s="179" t="s">
        <v>318</v>
      </c>
      <c r="F121" s="170">
        <v>7</v>
      </c>
      <c r="G121" s="69">
        <f t="shared" ref="G121:P121" si="40">-G119/$F$121</f>
        <v>-17.142857142857142</v>
      </c>
      <c r="H121" s="69">
        <f t="shared" si="40"/>
        <v>-55.469026056230256</v>
      </c>
      <c r="I121" s="69">
        <f t="shared" si="40"/>
        <v>-91.177170839121487</v>
      </c>
      <c r="J121" s="69">
        <f t="shared" si="40"/>
        <v>-124.64129493874256</v>
      </c>
      <c r="K121" s="69">
        <f t="shared" si="40"/>
        <v>-158.90356198761438</v>
      </c>
      <c r="L121" s="69">
        <f t="shared" si="40"/>
        <v>-194.51939941717612</v>
      </c>
      <c r="M121" s="69">
        <f t="shared" si="40"/>
        <v>-232.04522162527843</v>
      </c>
      <c r="N121" s="69">
        <f t="shared" si="40"/>
        <v>-272.04792903006148</v>
      </c>
      <c r="O121" s="69">
        <f t="shared" si="40"/>
        <v>-315.11420692202574</v>
      </c>
      <c r="P121" s="69">
        <f t="shared" si="40"/>
        <v>-361.85979153126033</v>
      </c>
      <c r="Q121" s="59"/>
      <c r="R121" s="59"/>
      <c r="S121" s="59"/>
      <c r="T121" s="59"/>
      <c r="U121" s="59"/>
      <c r="V121" s="59"/>
      <c r="W121" s="59"/>
      <c r="X121" s="59"/>
      <c r="Y121" s="59"/>
      <c r="Z121" s="59"/>
      <c r="AA121" s="59"/>
      <c r="AB121" s="59"/>
      <c r="AC121" s="59"/>
      <c r="AD121" s="59"/>
      <c r="AE121" s="59"/>
      <c r="AF121" s="59"/>
      <c r="AG121" s="59"/>
      <c r="AH121" s="59"/>
      <c r="AI121" s="59"/>
      <c r="AJ121" s="59"/>
    </row>
    <row r="122" spans="1:36" ht="14.75" customHeight="1" outlineLevel="1" thickBot="1" x14ac:dyDescent="0.2">
      <c r="A122" s="59"/>
      <c r="B122" s="59"/>
      <c r="C122" s="67" t="s">
        <v>317</v>
      </c>
      <c r="D122" s="59"/>
      <c r="E122" s="59"/>
      <c r="F122" s="59"/>
      <c r="G122" s="178">
        <f t="shared" ref="G122:P122" si="41">SUM(G119:G121)</f>
        <v>388.28318239361181</v>
      </c>
      <c r="H122" s="178">
        <f t="shared" si="41"/>
        <v>638.24019587385044</v>
      </c>
      <c r="I122" s="178">
        <f t="shared" si="41"/>
        <v>872.4890645711979</v>
      </c>
      <c r="J122" s="178">
        <f t="shared" si="41"/>
        <v>1112.3249339133006</v>
      </c>
      <c r="K122" s="178">
        <f t="shared" si="41"/>
        <v>1361.6357959202328</v>
      </c>
      <c r="L122" s="178">
        <f t="shared" si="41"/>
        <v>1624.3165513769491</v>
      </c>
      <c r="M122" s="178">
        <f t="shared" si="41"/>
        <v>1904.3355032104305</v>
      </c>
      <c r="N122" s="178">
        <f t="shared" si="41"/>
        <v>2205.79944845418</v>
      </c>
      <c r="O122" s="178">
        <f t="shared" si="41"/>
        <v>2533.0185407188224</v>
      </c>
      <c r="P122" s="178">
        <f t="shared" si="41"/>
        <v>2890.5720442766305</v>
      </c>
      <c r="Q122" s="59"/>
      <c r="R122" s="59"/>
      <c r="S122" s="59"/>
      <c r="T122" s="59"/>
      <c r="U122" s="59"/>
      <c r="V122" s="59"/>
      <c r="W122" s="59"/>
      <c r="X122" s="59"/>
      <c r="Y122" s="59"/>
      <c r="Z122" s="59"/>
      <c r="AA122" s="59"/>
      <c r="AB122" s="59"/>
      <c r="AC122" s="59"/>
      <c r="AD122" s="59"/>
      <c r="AE122" s="59"/>
      <c r="AF122" s="59"/>
      <c r="AG122" s="59"/>
      <c r="AH122" s="59"/>
      <c r="AI122" s="59"/>
      <c r="AJ122" s="59"/>
    </row>
    <row r="123" spans="1:36" ht="14.75" customHeight="1" thickTop="1" x14ac:dyDescent="0.15">
      <c r="A123" s="59"/>
      <c r="B123" s="59"/>
      <c r="C123" s="67"/>
      <c r="D123" s="59"/>
      <c r="E123" s="59"/>
      <c r="F123" s="59"/>
      <c r="G123" s="145"/>
      <c r="H123" s="145"/>
      <c r="I123" s="145"/>
      <c r="J123" s="145"/>
      <c r="K123" s="145"/>
      <c r="L123" s="145"/>
      <c r="M123" s="145"/>
      <c r="N123" s="145"/>
      <c r="O123" s="145"/>
      <c r="P123" s="145"/>
      <c r="Q123" s="59"/>
      <c r="R123" s="59"/>
      <c r="S123" s="59"/>
      <c r="T123" s="59"/>
      <c r="U123" s="59"/>
      <c r="V123" s="59"/>
      <c r="W123" s="59"/>
      <c r="X123" s="59"/>
      <c r="Y123" s="59"/>
      <c r="Z123" s="59"/>
      <c r="AA123" s="59"/>
      <c r="AB123" s="59"/>
      <c r="AC123" s="59"/>
      <c r="AD123" s="59"/>
      <c r="AE123" s="59"/>
      <c r="AF123" s="59"/>
      <c r="AG123" s="59"/>
      <c r="AH123" s="59"/>
      <c r="AI123" s="59"/>
      <c r="AJ123" s="59"/>
    </row>
    <row r="124" spans="1:36" ht="14.75" customHeight="1" x14ac:dyDescent="0.15">
      <c r="A124" s="59"/>
      <c r="B124" s="59"/>
      <c r="C124" s="67"/>
      <c r="D124" s="59"/>
      <c r="E124" s="59"/>
      <c r="F124" s="59"/>
      <c r="G124" s="59"/>
      <c r="H124" s="59"/>
      <c r="I124" s="162"/>
      <c r="J124" s="143"/>
      <c r="K124" s="143"/>
      <c r="L124" s="143"/>
      <c r="M124" s="143"/>
      <c r="N124" s="143"/>
      <c r="O124" s="143"/>
      <c r="P124" s="143"/>
      <c r="Q124" s="59"/>
      <c r="R124" s="59"/>
      <c r="S124" s="59"/>
      <c r="T124" s="59"/>
      <c r="U124" s="59"/>
      <c r="V124" s="59"/>
      <c r="W124" s="59"/>
      <c r="X124" s="59"/>
      <c r="Y124" s="59"/>
      <c r="Z124" s="59"/>
      <c r="AA124" s="59"/>
      <c r="AB124" s="59"/>
      <c r="AC124" s="59"/>
      <c r="AD124" s="59"/>
      <c r="AE124" s="59"/>
      <c r="AF124" s="59"/>
      <c r="AG124" s="59"/>
      <c r="AH124" s="59"/>
      <c r="AI124" s="59"/>
      <c r="AJ124" s="59"/>
    </row>
    <row r="125" spans="1:36" ht="17" customHeight="1" x14ac:dyDescent="0.3">
      <c r="A125" s="73" t="s">
        <v>270</v>
      </c>
      <c r="B125" s="59"/>
      <c r="C125" s="65" t="s">
        <v>316</v>
      </c>
      <c r="D125" s="65"/>
      <c r="E125" s="65"/>
      <c r="F125" s="65"/>
      <c r="G125" s="65"/>
      <c r="H125" s="65"/>
      <c r="I125" s="65"/>
      <c r="J125" s="65"/>
      <c r="K125" s="65"/>
      <c r="L125" s="65"/>
      <c r="M125" s="65"/>
      <c r="N125" s="65"/>
      <c r="O125" s="65"/>
      <c r="P125" s="65"/>
      <c r="Q125" s="65"/>
      <c r="R125" s="65"/>
      <c r="S125" s="59"/>
      <c r="T125" s="59"/>
      <c r="U125" s="59"/>
      <c r="V125" s="59"/>
      <c r="W125" s="59"/>
      <c r="X125" s="59"/>
      <c r="Y125" s="59"/>
      <c r="Z125" s="59"/>
      <c r="AA125" s="59"/>
      <c r="AB125" s="59"/>
      <c r="AC125" s="59"/>
      <c r="AD125" s="59"/>
      <c r="AE125" s="59"/>
      <c r="AF125" s="59"/>
      <c r="AG125" s="59"/>
      <c r="AH125" s="59"/>
      <c r="AI125" s="59"/>
      <c r="AJ125" s="59"/>
    </row>
    <row r="126" spans="1:36" ht="14.75" customHeight="1" x14ac:dyDescent="0.3">
      <c r="A126" s="59"/>
      <c r="B126" s="59"/>
      <c r="C126" s="67"/>
      <c r="D126" s="59"/>
      <c r="E126" s="59"/>
      <c r="F126" s="59"/>
      <c r="G126" s="59"/>
      <c r="H126" s="59"/>
      <c r="J126" s="65" t="s">
        <v>315</v>
      </c>
      <c r="K126" s="65"/>
      <c r="L126" s="65"/>
      <c r="M126" s="65"/>
      <c r="N126" s="72"/>
      <c r="O126" s="72"/>
      <c r="P126" s="72"/>
      <c r="Q126" s="59"/>
      <c r="R126" s="59"/>
      <c r="S126" s="59"/>
      <c r="T126" s="59"/>
      <c r="U126" s="59"/>
      <c r="V126" s="59"/>
      <c r="W126" s="59"/>
      <c r="X126" s="59"/>
      <c r="Y126" s="59"/>
      <c r="Z126" s="59"/>
      <c r="AA126" s="59"/>
      <c r="AB126" s="59"/>
      <c r="AC126" s="59"/>
      <c r="AD126" s="59"/>
      <c r="AE126" s="59"/>
      <c r="AF126" s="59"/>
      <c r="AG126" s="59"/>
      <c r="AH126" s="59"/>
      <c r="AI126" s="59"/>
      <c r="AJ126" s="59"/>
    </row>
    <row r="127" spans="1:36" ht="14.75" customHeight="1" x14ac:dyDescent="0.15">
      <c r="A127" s="59"/>
      <c r="B127" s="59"/>
      <c r="C127" s="67"/>
      <c r="D127" s="59"/>
      <c r="E127" s="59"/>
      <c r="F127" s="59"/>
      <c r="G127" s="59"/>
      <c r="H127" s="59"/>
      <c r="J127" s="177">
        <f t="shared" ref="J127:P127" si="42">+J$52</f>
        <v>44650.25</v>
      </c>
      <c r="K127" s="177">
        <f t="shared" si="42"/>
        <v>45015.5</v>
      </c>
      <c r="L127" s="177">
        <f t="shared" si="42"/>
        <v>45380.75</v>
      </c>
      <c r="M127" s="177">
        <f t="shared" si="42"/>
        <v>45746</v>
      </c>
      <c r="N127" s="177">
        <f t="shared" si="42"/>
        <v>46111.25</v>
      </c>
      <c r="O127" s="177">
        <f t="shared" si="42"/>
        <v>46476.5</v>
      </c>
      <c r="P127" s="177">
        <f t="shared" si="42"/>
        <v>46841.75</v>
      </c>
      <c r="Q127" s="59"/>
      <c r="R127" s="59"/>
      <c r="S127" s="59"/>
      <c r="T127" s="59"/>
      <c r="U127" s="59"/>
      <c r="V127" s="59"/>
      <c r="W127" s="59"/>
      <c r="X127" s="59"/>
      <c r="Y127" s="59"/>
      <c r="Z127" s="59"/>
      <c r="AA127" s="59"/>
      <c r="AB127" s="59"/>
      <c r="AC127" s="59"/>
      <c r="AD127" s="59"/>
      <c r="AE127" s="59"/>
      <c r="AF127" s="59"/>
      <c r="AG127" s="59"/>
      <c r="AH127" s="59"/>
      <c r="AI127" s="59"/>
      <c r="AJ127" s="59"/>
    </row>
    <row r="128" spans="1:36" ht="14.75" customHeight="1" outlineLevel="1" x14ac:dyDescent="0.15">
      <c r="A128" s="176">
        <v>1</v>
      </c>
      <c r="B128" s="59"/>
      <c r="C128" s="67"/>
      <c r="D128" s="59"/>
      <c r="E128" s="59"/>
      <c r="F128" s="59"/>
      <c r="G128" s="59"/>
      <c r="H128" s="59"/>
      <c r="I128" s="162"/>
      <c r="J128" s="175">
        <f t="shared" ref="J128:P128" si="43">+J$53</f>
        <v>1</v>
      </c>
      <c r="K128" s="175">
        <f t="shared" si="43"/>
        <v>2</v>
      </c>
      <c r="L128" s="175">
        <f t="shared" si="43"/>
        <v>3</v>
      </c>
      <c r="M128" s="175">
        <f t="shared" si="43"/>
        <v>4</v>
      </c>
      <c r="N128" s="175">
        <f t="shared" si="43"/>
        <v>5</v>
      </c>
      <c r="O128" s="175">
        <f t="shared" si="43"/>
        <v>6</v>
      </c>
      <c r="P128" s="175">
        <f t="shared" si="43"/>
        <v>7</v>
      </c>
      <c r="Q128" s="59"/>
      <c r="R128" s="59"/>
      <c r="S128" s="59"/>
      <c r="T128" s="59"/>
      <c r="U128" s="59"/>
      <c r="V128" s="59"/>
      <c r="W128" s="59"/>
      <c r="X128" s="59"/>
      <c r="Y128" s="59"/>
      <c r="Z128" s="59"/>
      <c r="AA128" s="59"/>
      <c r="AB128" s="59"/>
      <c r="AC128" s="59"/>
      <c r="AD128" s="59"/>
      <c r="AE128" s="59"/>
      <c r="AF128" s="59"/>
      <c r="AG128" s="59"/>
      <c r="AH128" s="59"/>
      <c r="AI128" s="59"/>
      <c r="AJ128" s="59"/>
    </row>
    <row r="129" spans="1:36" ht="17" customHeight="1" thickBot="1" x14ac:dyDescent="0.35">
      <c r="A129" s="141">
        <f t="shared" ref="A129:A155" si="44">+A128+1</f>
        <v>2</v>
      </c>
      <c r="B129" s="59"/>
      <c r="C129" s="67"/>
      <c r="D129" s="59"/>
      <c r="E129" s="59"/>
      <c r="F129" s="59"/>
      <c r="G129" s="59"/>
      <c r="H129" s="59"/>
      <c r="I129" s="157" t="s">
        <v>314</v>
      </c>
      <c r="J129" s="87"/>
      <c r="K129" s="87"/>
      <c r="L129" s="87"/>
      <c r="M129" s="87"/>
      <c r="N129" s="87"/>
      <c r="O129" s="87"/>
      <c r="P129" s="87"/>
      <c r="R129" s="174"/>
      <c r="S129" s="173"/>
      <c r="T129" s="59"/>
      <c r="U129" s="59"/>
      <c r="V129" s="59"/>
      <c r="W129" s="59"/>
      <c r="X129" s="59"/>
      <c r="Y129" s="59"/>
      <c r="Z129" s="59"/>
      <c r="AA129" s="59"/>
      <c r="AB129" s="59"/>
      <c r="AC129" s="59"/>
      <c r="AD129" s="59"/>
      <c r="AE129" s="59"/>
      <c r="AF129" s="59"/>
      <c r="AG129" s="59"/>
      <c r="AH129" s="59"/>
      <c r="AI129" s="59"/>
      <c r="AJ129" s="59"/>
    </row>
    <row r="130" spans="1:36" ht="14.75" customHeight="1" thickTop="1" x14ac:dyDescent="0.15">
      <c r="A130" s="141">
        <f t="shared" si="44"/>
        <v>3</v>
      </c>
      <c r="B130" s="59"/>
      <c r="C130" s="170" t="s">
        <v>266</v>
      </c>
      <c r="D130" s="59"/>
      <c r="E130" s="59"/>
      <c r="I130" s="60">
        <f>AA37</f>
        <v>0</v>
      </c>
      <c r="J130" s="161">
        <f t="shared" ref="J130:P130" si="45">($V130*(1+$I130)^(J$53-1)*$AA38)+($V130*(1-$AA38))</f>
        <v>0</v>
      </c>
      <c r="K130" s="161">
        <f t="shared" si="45"/>
        <v>0</v>
      </c>
      <c r="L130" s="161">
        <f t="shared" si="45"/>
        <v>0</v>
      </c>
      <c r="M130" s="161">
        <f t="shared" si="45"/>
        <v>0</v>
      </c>
      <c r="N130" s="161">
        <f t="shared" si="45"/>
        <v>0</v>
      </c>
      <c r="O130" s="172">
        <f t="shared" si="45"/>
        <v>0</v>
      </c>
      <c r="P130" s="161">
        <f t="shared" si="45"/>
        <v>0</v>
      </c>
      <c r="Q130" s="59"/>
      <c r="S130" s="169"/>
      <c r="T130" s="59"/>
      <c r="U130" s="59"/>
      <c r="V130" s="171">
        <f>I130*I143</f>
        <v>0</v>
      </c>
      <c r="Y130" s="59"/>
      <c r="Z130" s="59"/>
      <c r="AA130" s="59"/>
      <c r="AB130" s="59"/>
      <c r="AC130" s="59"/>
      <c r="AD130" s="59"/>
      <c r="AE130" s="59"/>
      <c r="AF130" s="59"/>
      <c r="AG130" s="59"/>
      <c r="AH130" s="59"/>
      <c r="AI130" s="59"/>
      <c r="AJ130" s="59"/>
    </row>
    <row r="131" spans="1:36" ht="14.75" customHeight="1" x14ac:dyDescent="0.15">
      <c r="A131" s="141">
        <f t="shared" si="44"/>
        <v>4</v>
      </c>
      <c r="B131" s="59"/>
      <c r="C131" s="170" t="s">
        <v>265</v>
      </c>
      <c r="D131" s="59"/>
      <c r="E131" s="59"/>
      <c r="I131" s="60">
        <f>+AB37</f>
        <v>0</v>
      </c>
      <c r="J131" s="161">
        <f t="shared" ref="J131:P131" si="46">($V131*(1+$I131)^(J$53-1)*$AB38)+($V131*(1-$AB38))</f>
        <v>0</v>
      </c>
      <c r="K131" s="161">
        <f t="shared" si="46"/>
        <v>0</v>
      </c>
      <c r="L131" s="161">
        <f t="shared" si="46"/>
        <v>0</v>
      </c>
      <c r="M131" s="161">
        <f t="shared" si="46"/>
        <v>0</v>
      </c>
      <c r="N131" s="161">
        <f t="shared" si="46"/>
        <v>0</v>
      </c>
      <c r="O131" s="161">
        <f t="shared" si="46"/>
        <v>0</v>
      </c>
      <c r="P131" s="161">
        <f t="shared" si="46"/>
        <v>0</v>
      </c>
      <c r="Q131" s="59"/>
      <c r="S131" s="169"/>
      <c r="T131" s="59"/>
      <c r="U131" s="59"/>
      <c r="V131" s="168">
        <f>I131*I144</f>
        <v>0</v>
      </c>
      <c r="Y131" s="59"/>
      <c r="Z131" s="59"/>
      <c r="AA131" s="59"/>
      <c r="AB131" s="59"/>
      <c r="AC131" s="59"/>
      <c r="AD131" s="59"/>
      <c r="AE131" s="59"/>
      <c r="AF131" s="59"/>
      <c r="AG131" s="59"/>
      <c r="AH131" s="59"/>
      <c r="AI131" s="59"/>
      <c r="AJ131" s="59"/>
    </row>
    <row r="132" spans="1:36" ht="14.75" customHeight="1" thickBot="1" x14ac:dyDescent="0.2">
      <c r="A132" s="141">
        <f t="shared" si="44"/>
        <v>5</v>
      </c>
      <c r="B132" s="59"/>
      <c r="C132" s="67" t="s">
        <v>311</v>
      </c>
      <c r="D132" s="59"/>
      <c r="E132" s="59"/>
      <c r="F132" s="59"/>
      <c r="J132" s="160">
        <f t="shared" ref="J132:P132" si="47">SUM(J130:J131)</f>
        <v>0</v>
      </c>
      <c r="K132" s="160">
        <f t="shared" si="47"/>
        <v>0</v>
      </c>
      <c r="L132" s="160">
        <f t="shared" si="47"/>
        <v>0</v>
      </c>
      <c r="M132" s="160">
        <f t="shared" si="47"/>
        <v>0</v>
      </c>
      <c r="N132" s="160">
        <f t="shared" si="47"/>
        <v>0</v>
      </c>
      <c r="O132" s="160">
        <f t="shared" si="47"/>
        <v>0</v>
      </c>
      <c r="P132" s="160">
        <f t="shared" si="47"/>
        <v>0</v>
      </c>
      <c r="Q132" s="59"/>
      <c r="R132" s="59"/>
      <c r="S132" s="59"/>
      <c r="T132" s="59"/>
      <c r="U132" s="59"/>
      <c r="V132" s="167">
        <f>SUM(V130:V131)</f>
        <v>0</v>
      </c>
      <c r="W132" s="59"/>
      <c r="Y132" s="59"/>
      <c r="Z132" s="59"/>
      <c r="AA132" s="59"/>
      <c r="AB132" s="59"/>
      <c r="AC132" s="59"/>
      <c r="AD132" s="59"/>
      <c r="AE132" s="59"/>
      <c r="AF132" s="59"/>
      <c r="AG132" s="59"/>
      <c r="AH132" s="59"/>
      <c r="AI132" s="59"/>
      <c r="AJ132" s="59"/>
    </row>
    <row r="133" spans="1:36" ht="14.75" customHeight="1" thickTop="1" x14ac:dyDescent="0.15">
      <c r="A133" s="141">
        <f t="shared" si="44"/>
        <v>6</v>
      </c>
      <c r="B133" s="59"/>
      <c r="C133" s="67"/>
      <c r="D133" s="59"/>
      <c r="E133" s="59"/>
      <c r="F133" s="59"/>
      <c r="J133" s="159"/>
      <c r="K133" s="159"/>
      <c r="L133" s="159"/>
      <c r="M133" s="159"/>
      <c r="N133" s="159"/>
      <c r="O133" s="159"/>
      <c r="P133" s="159"/>
      <c r="Q133" s="59"/>
      <c r="R133" s="59"/>
      <c r="S133" s="59"/>
      <c r="T133" s="59"/>
      <c r="U133" s="59"/>
      <c r="V133" s="165"/>
      <c r="W133" s="59"/>
      <c r="Y133" s="59"/>
      <c r="Z133" s="59"/>
      <c r="AA133" s="59"/>
      <c r="AB133" s="59"/>
      <c r="AC133" s="59"/>
      <c r="AD133" s="59"/>
      <c r="AE133" s="59"/>
      <c r="AF133" s="59"/>
      <c r="AG133" s="59"/>
      <c r="AH133" s="59"/>
      <c r="AI133" s="59"/>
      <c r="AJ133" s="59"/>
    </row>
    <row r="134" spans="1:36" ht="14.75" customHeight="1" x14ac:dyDescent="0.15">
      <c r="A134" s="141">
        <f t="shared" si="44"/>
        <v>7</v>
      </c>
      <c r="B134" s="59"/>
      <c r="C134" s="140" t="str">
        <f>+$C$130</f>
        <v>Series A</v>
      </c>
      <c r="D134" s="140"/>
      <c r="E134" s="140"/>
      <c r="F134" s="140"/>
      <c r="G134" s="140"/>
      <c r="H134" s="140"/>
      <c r="I134" s="147"/>
      <c r="J134" s="147">
        <f t="shared" ref="J134:P135" si="48">I134+J130</f>
        <v>0</v>
      </c>
      <c r="K134" s="147">
        <f t="shared" si="48"/>
        <v>0</v>
      </c>
      <c r="L134" s="147">
        <f t="shared" si="48"/>
        <v>0</v>
      </c>
      <c r="M134" s="147">
        <f t="shared" si="48"/>
        <v>0</v>
      </c>
      <c r="N134" s="147">
        <f t="shared" si="48"/>
        <v>0</v>
      </c>
      <c r="O134" s="147">
        <f t="shared" si="48"/>
        <v>0</v>
      </c>
      <c r="P134" s="147">
        <f t="shared" si="48"/>
        <v>0</v>
      </c>
      <c r="R134" s="59"/>
      <c r="S134" s="59"/>
      <c r="T134" s="59"/>
      <c r="U134" s="59"/>
      <c r="V134" s="165"/>
      <c r="W134" s="59"/>
      <c r="Y134" s="59"/>
      <c r="Z134" s="59"/>
      <c r="AA134" s="59"/>
      <c r="AB134" s="59"/>
      <c r="AC134" s="59"/>
      <c r="AD134" s="59"/>
      <c r="AE134" s="59"/>
      <c r="AF134" s="59"/>
      <c r="AG134" s="59"/>
      <c r="AH134" s="59"/>
      <c r="AI134" s="59"/>
      <c r="AJ134" s="59"/>
    </row>
    <row r="135" spans="1:36" ht="14.75" customHeight="1" x14ac:dyDescent="0.15">
      <c r="A135" s="141">
        <f t="shared" si="44"/>
        <v>8</v>
      </c>
      <c r="B135" s="59"/>
      <c r="C135" s="140" t="str">
        <f>+$C$131</f>
        <v>Series B</v>
      </c>
      <c r="D135" s="140"/>
      <c r="E135" s="140"/>
      <c r="F135" s="140"/>
      <c r="G135" s="140"/>
      <c r="H135" s="140"/>
      <c r="I135" s="147"/>
      <c r="J135" s="147">
        <f t="shared" si="48"/>
        <v>0</v>
      </c>
      <c r="K135" s="147">
        <f t="shared" si="48"/>
        <v>0</v>
      </c>
      <c r="L135" s="147">
        <f t="shared" si="48"/>
        <v>0</v>
      </c>
      <c r="M135" s="147">
        <f t="shared" si="48"/>
        <v>0</v>
      </c>
      <c r="N135" s="147">
        <f t="shared" si="48"/>
        <v>0</v>
      </c>
      <c r="O135" s="147">
        <f t="shared" si="48"/>
        <v>0</v>
      </c>
      <c r="P135" s="147">
        <f t="shared" si="48"/>
        <v>0</v>
      </c>
      <c r="R135" s="59"/>
      <c r="S135" s="59"/>
      <c r="T135" s="59"/>
      <c r="U135" s="59"/>
      <c r="V135" s="165"/>
      <c r="W135" s="59"/>
      <c r="Y135" s="59"/>
      <c r="Z135" s="59"/>
      <c r="AA135" s="59"/>
      <c r="AB135" s="59"/>
      <c r="AC135" s="59"/>
      <c r="AD135" s="59"/>
      <c r="AE135" s="59"/>
      <c r="AF135" s="59"/>
      <c r="AG135" s="59"/>
      <c r="AH135" s="59"/>
      <c r="AI135" s="59"/>
      <c r="AJ135" s="59"/>
    </row>
    <row r="136" spans="1:36" ht="14.75" customHeight="1" thickBot="1" x14ac:dyDescent="0.2">
      <c r="A136" s="141">
        <f t="shared" si="44"/>
        <v>9</v>
      </c>
      <c r="B136" s="59"/>
      <c r="C136" s="164" t="s">
        <v>313</v>
      </c>
      <c r="D136" s="140"/>
      <c r="E136" s="140"/>
      <c r="F136" s="140"/>
      <c r="G136" s="140"/>
      <c r="H136" s="140"/>
      <c r="I136" s="144"/>
      <c r="J136" s="166">
        <f t="shared" ref="J136:P136" si="49">SUM(J134:J135)</f>
        <v>0</v>
      </c>
      <c r="K136" s="166">
        <f t="shared" si="49"/>
        <v>0</v>
      </c>
      <c r="L136" s="166">
        <f t="shared" si="49"/>
        <v>0</v>
      </c>
      <c r="M136" s="166">
        <f t="shared" si="49"/>
        <v>0</v>
      </c>
      <c r="N136" s="166">
        <f t="shared" si="49"/>
        <v>0</v>
      </c>
      <c r="O136" s="166">
        <f t="shared" si="49"/>
        <v>0</v>
      </c>
      <c r="P136" s="166">
        <f t="shared" si="49"/>
        <v>0</v>
      </c>
      <c r="R136" s="59"/>
      <c r="S136" s="59"/>
      <c r="T136" s="59"/>
      <c r="U136" s="59"/>
      <c r="V136" s="165"/>
      <c r="W136" s="59"/>
      <c r="Y136" s="59"/>
      <c r="Z136" s="59"/>
      <c r="AA136" s="59"/>
      <c r="AB136" s="59"/>
      <c r="AC136" s="59"/>
      <c r="AD136" s="59"/>
      <c r="AE136" s="59"/>
      <c r="AF136" s="59"/>
      <c r="AG136" s="59"/>
      <c r="AH136" s="59"/>
      <c r="AI136" s="59"/>
      <c r="AJ136" s="59"/>
    </row>
    <row r="137" spans="1:36" ht="14.75" customHeight="1" thickTop="1" x14ac:dyDescent="0.3">
      <c r="A137" s="141">
        <f t="shared" si="44"/>
        <v>10</v>
      </c>
      <c r="B137" s="59"/>
      <c r="C137" s="67"/>
      <c r="D137" s="59"/>
      <c r="E137" s="59"/>
      <c r="F137" s="59"/>
      <c r="G137" s="59"/>
      <c r="H137" s="59"/>
      <c r="I137" s="157"/>
      <c r="J137" s="87"/>
      <c r="K137" s="87"/>
      <c r="L137" s="87"/>
      <c r="M137" s="87"/>
      <c r="N137" s="87"/>
      <c r="O137" s="87"/>
      <c r="P137" s="87"/>
      <c r="Q137" s="59"/>
      <c r="R137" s="59"/>
      <c r="S137" s="59"/>
      <c r="T137" s="59"/>
      <c r="U137" s="59"/>
      <c r="V137" s="59"/>
      <c r="W137" s="59"/>
      <c r="X137" s="59"/>
      <c r="Y137" s="59"/>
      <c r="Z137" s="59"/>
      <c r="AA137" s="59"/>
      <c r="AB137" s="59"/>
      <c r="AC137" s="59"/>
      <c r="AD137" s="59"/>
      <c r="AE137" s="59"/>
      <c r="AF137" s="59"/>
      <c r="AG137" s="59"/>
      <c r="AH137" s="59"/>
      <c r="AI137" s="59"/>
      <c r="AJ137" s="59"/>
    </row>
    <row r="138" spans="1:36" ht="14.75" customHeight="1" outlineLevel="1" x14ac:dyDescent="0.15">
      <c r="A138" s="141">
        <f t="shared" si="44"/>
        <v>11</v>
      </c>
      <c r="B138" s="59"/>
      <c r="C138" s="140" t="s">
        <v>266</v>
      </c>
      <c r="D138" s="140"/>
      <c r="E138" s="140"/>
      <c r="F138" s="140"/>
      <c r="G138" s="140"/>
      <c r="H138" s="140"/>
      <c r="I138" s="140"/>
      <c r="J138" s="139">
        <f t="shared" ref="J138:P140" si="50">J143/I143-1</f>
        <v>0</v>
      </c>
      <c r="K138" s="139">
        <f t="shared" si="50"/>
        <v>0</v>
      </c>
      <c r="L138" s="139">
        <f t="shared" si="50"/>
        <v>0</v>
      </c>
      <c r="M138" s="139">
        <f t="shared" si="50"/>
        <v>0</v>
      </c>
      <c r="N138" s="139">
        <f t="shared" si="50"/>
        <v>0</v>
      </c>
      <c r="O138" s="139">
        <f t="shared" si="50"/>
        <v>0</v>
      </c>
      <c r="P138" s="139">
        <f t="shared" si="50"/>
        <v>0</v>
      </c>
      <c r="Q138" s="59"/>
      <c r="R138" s="59"/>
      <c r="S138" s="59"/>
      <c r="T138" s="59"/>
      <c r="U138" s="59"/>
      <c r="V138" s="59"/>
      <c r="W138" s="59"/>
      <c r="X138" s="59"/>
      <c r="Y138" s="59"/>
      <c r="Z138" s="59"/>
      <c r="AA138" s="59"/>
      <c r="AB138" s="59"/>
      <c r="AC138" s="59"/>
      <c r="AD138" s="59"/>
      <c r="AE138" s="59"/>
      <c r="AF138" s="59"/>
      <c r="AG138" s="59"/>
      <c r="AH138" s="59"/>
      <c r="AI138" s="59"/>
      <c r="AJ138" s="59"/>
    </row>
    <row r="139" spans="1:36" ht="14.75" customHeight="1" outlineLevel="1" x14ac:dyDescent="0.15">
      <c r="A139" s="141">
        <f t="shared" si="44"/>
        <v>12</v>
      </c>
      <c r="B139" s="59"/>
      <c r="C139" s="140" t="s">
        <v>265</v>
      </c>
      <c r="D139" s="140"/>
      <c r="E139" s="140"/>
      <c r="F139" s="140"/>
      <c r="G139" s="140"/>
      <c r="H139" s="140"/>
      <c r="I139" s="140"/>
      <c r="J139" s="139">
        <f t="shared" si="50"/>
        <v>0</v>
      </c>
      <c r="K139" s="139">
        <f t="shared" si="50"/>
        <v>0</v>
      </c>
      <c r="L139" s="139">
        <f t="shared" si="50"/>
        <v>0</v>
      </c>
      <c r="M139" s="139">
        <f t="shared" si="50"/>
        <v>0</v>
      </c>
      <c r="N139" s="139">
        <f t="shared" si="50"/>
        <v>0</v>
      </c>
      <c r="O139" s="139">
        <f t="shared" si="50"/>
        <v>0</v>
      </c>
      <c r="P139" s="139">
        <f t="shared" si="50"/>
        <v>0</v>
      </c>
      <c r="Q139" s="59"/>
      <c r="R139" s="59"/>
      <c r="S139" s="59"/>
      <c r="T139" s="59"/>
      <c r="U139" s="59"/>
      <c r="V139" s="59" t="s">
        <v>312</v>
      </c>
      <c r="W139" s="59"/>
      <c r="X139" s="59"/>
      <c r="Y139" s="59"/>
      <c r="Z139" s="59"/>
      <c r="AA139" s="59"/>
      <c r="AB139" s="59"/>
      <c r="AC139" s="59"/>
      <c r="AD139" s="59"/>
      <c r="AE139" s="59"/>
      <c r="AF139" s="59"/>
      <c r="AG139" s="59"/>
      <c r="AH139" s="59"/>
      <c r="AI139" s="59"/>
      <c r="AJ139" s="59"/>
    </row>
    <row r="140" spans="1:36" ht="14.75" customHeight="1" outlineLevel="1" thickBot="1" x14ac:dyDescent="0.2">
      <c r="A140" s="141">
        <f t="shared" si="44"/>
        <v>13</v>
      </c>
      <c r="B140" s="59"/>
      <c r="C140" s="164" t="s">
        <v>311</v>
      </c>
      <c r="D140" s="140"/>
      <c r="E140" s="140"/>
      <c r="F140" s="140"/>
      <c r="G140" s="140"/>
      <c r="H140" s="140"/>
      <c r="I140" s="140"/>
      <c r="J140" s="163">
        <f t="shared" si="50"/>
        <v>0</v>
      </c>
      <c r="K140" s="163">
        <f t="shared" si="50"/>
        <v>0</v>
      </c>
      <c r="L140" s="163">
        <f t="shared" si="50"/>
        <v>0</v>
      </c>
      <c r="M140" s="163">
        <f t="shared" si="50"/>
        <v>0</v>
      </c>
      <c r="N140" s="163">
        <f t="shared" si="50"/>
        <v>0</v>
      </c>
      <c r="O140" s="163">
        <f t="shared" si="50"/>
        <v>0</v>
      </c>
      <c r="P140" s="163">
        <f t="shared" si="50"/>
        <v>0</v>
      </c>
      <c r="Q140" s="59"/>
      <c r="R140" s="59"/>
      <c r="S140" s="59"/>
      <c r="T140" s="59"/>
      <c r="U140" s="59"/>
      <c r="V140" s="59"/>
      <c r="W140" s="59"/>
      <c r="X140" s="59"/>
      <c r="Y140" s="59"/>
      <c r="Z140" s="59"/>
      <c r="AA140" s="59"/>
      <c r="AB140" s="59"/>
      <c r="AC140" s="59"/>
      <c r="AD140" s="59"/>
      <c r="AE140" s="59"/>
      <c r="AF140" s="59"/>
      <c r="AG140" s="59"/>
      <c r="AH140" s="59"/>
      <c r="AI140" s="59"/>
      <c r="AJ140" s="59"/>
    </row>
    <row r="141" spans="1:36" ht="14.75" customHeight="1" outlineLevel="1" thickTop="1" x14ac:dyDescent="0.15">
      <c r="A141" s="141">
        <f t="shared" si="44"/>
        <v>14</v>
      </c>
      <c r="B141" s="59"/>
      <c r="I141" s="162"/>
      <c r="Q141" s="59"/>
      <c r="R141" s="59"/>
      <c r="S141" s="59"/>
      <c r="T141" s="59"/>
      <c r="U141" s="59"/>
      <c r="V141" s="59"/>
      <c r="W141" s="59"/>
      <c r="X141" s="59"/>
      <c r="Y141" s="59"/>
      <c r="Z141" s="59"/>
      <c r="AA141" s="59"/>
      <c r="AB141" s="59"/>
      <c r="AC141" s="59"/>
      <c r="AD141" s="59"/>
      <c r="AE141" s="59"/>
      <c r="AF141" s="59"/>
      <c r="AG141" s="59"/>
      <c r="AH141" s="59"/>
      <c r="AI141" s="59"/>
      <c r="AJ141" s="59"/>
    </row>
    <row r="142" spans="1:36" ht="17" customHeight="1" x14ac:dyDescent="0.3">
      <c r="A142" s="141">
        <f t="shared" si="44"/>
        <v>15</v>
      </c>
      <c r="B142" s="59"/>
      <c r="C142" s="67"/>
      <c r="D142" s="59"/>
      <c r="E142" s="59"/>
      <c r="F142" s="59"/>
      <c r="G142" s="59"/>
      <c r="H142" s="59"/>
      <c r="I142" s="157" t="s">
        <v>310</v>
      </c>
      <c r="J142" s="87"/>
      <c r="K142" s="87"/>
      <c r="L142" s="87"/>
      <c r="M142" s="87"/>
      <c r="N142" s="87"/>
      <c r="O142" s="87"/>
      <c r="P142" s="87"/>
      <c r="Q142" s="59"/>
      <c r="R142" s="59"/>
      <c r="S142" s="59"/>
      <c r="T142" s="59"/>
      <c r="U142" s="59"/>
      <c r="V142" s="59"/>
      <c r="W142" s="59"/>
      <c r="X142" s="59"/>
      <c r="Y142" s="59"/>
      <c r="Z142" s="59"/>
      <c r="AA142" s="59"/>
      <c r="AB142" s="59"/>
      <c r="AC142" s="59"/>
      <c r="AD142" s="59"/>
      <c r="AE142" s="59"/>
      <c r="AF142" s="59"/>
      <c r="AG142" s="59"/>
      <c r="AH142" s="59"/>
      <c r="AI142" s="59"/>
      <c r="AJ142" s="59"/>
    </row>
    <row r="143" spans="1:36" ht="14.75" customHeight="1" x14ac:dyDescent="0.15">
      <c r="A143" s="141">
        <f t="shared" si="44"/>
        <v>16</v>
      </c>
      <c r="B143" s="59"/>
      <c r="C143" s="59" t="str">
        <f>+$C$130</f>
        <v>Series A</v>
      </c>
      <c r="D143" s="59"/>
      <c r="E143" s="59"/>
      <c r="F143" s="59"/>
      <c r="G143" s="59"/>
      <c r="H143" s="59"/>
      <c r="I143" s="61">
        <f>E33</f>
        <v>1068.1502395076614</v>
      </c>
      <c r="J143" s="161">
        <f t="shared" ref="J143:P144" si="51">I143+J130</f>
        <v>1068.1502395076614</v>
      </c>
      <c r="K143" s="161">
        <f t="shared" si="51"/>
        <v>1068.1502395076614</v>
      </c>
      <c r="L143" s="161">
        <f t="shared" si="51"/>
        <v>1068.1502395076614</v>
      </c>
      <c r="M143" s="161">
        <f t="shared" si="51"/>
        <v>1068.1502395076614</v>
      </c>
      <c r="N143" s="161">
        <f t="shared" si="51"/>
        <v>1068.1502395076614</v>
      </c>
      <c r="O143" s="161">
        <f t="shared" si="51"/>
        <v>1068.1502395076614</v>
      </c>
      <c r="P143" s="161">
        <f t="shared" si="51"/>
        <v>1068.1502395076614</v>
      </c>
      <c r="Q143" s="59"/>
      <c r="R143" s="59"/>
      <c r="S143" s="59"/>
      <c r="T143" s="59"/>
      <c r="U143" s="59"/>
      <c r="V143" s="59"/>
      <c r="W143" s="59"/>
      <c r="X143" s="59"/>
      <c r="Y143" s="59"/>
      <c r="Z143" s="59"/>
      <c r="AA143" s="59"/>
      <c r="AB143" s="59"/>
      <c r="AC143" s="59"/>
      <c r="AD143" s="59"/>
      <c r="AE143" s="59"/>
      <c r="AF143" s="59"/>
      <c r="AG143" s="59"/>
      <c r="AH143" s="59"/>
      <c r="AI143" s="59"/>
      <c r="AJ143" s="59"/>
    </row>
    <row r="144" spans="1:36" ht="14.75" customHeight="1" x14ac:dyDescent="0.15">
      <c r="A144" s="141">
        <f t="shared" si="44"/>
        <v>17</v>
      </c>
      <c r="B144" s="59"/>
      <c r="C144" s="59" t="str">
        <f>+$C$131</f>
        <v>Series B</v>
      </c>
      <c r="D144" s="59"/>
      <c r="E144" s="59"/>
      <c r="F144" s="59"/>
      <c r="G144" s="59"/>
      <c r="H144" s="59"/>
      <c r="I144" s="61">
        <f>F33</f>
        <v>190.33721409764297</v>
      </c>
      <c r="J144" s="161">
        <f t="shared" si="51"/>
        <v>190.33721409764297</v>
      </c>
      <c r="K144" s="161">
        <f t="shared" si="51"/>
        <v>190.33721409764297</v>
      </c>
      <c r="L144" s="161">
        <f t="shared" si="51"/>
        <v>190.33721409764297</v>
      </c>
      <c r="M144" s="161">
        <f t="shared" si="51"/>
        <v>190.33721409764297</v>
      </c>
      <c r="N144" s="161">
        <f t="shared" si="51"/>
        <v>190.33721409764297</v>
      </c>
      <c r="O144" s="161">
        <f t="shared" si="51"/>
        <v>190.33721409764297</v>
      </c>
      <c r="P144" s="161">
        <f t="shared" si="51"/>
        <v>190.33721409764297</v>
      </c>
      <c r="Q144" s="59"/>
      <c r="R144" s="59"/>
      <c r="S144" s="59"/>
      <c r="T144" s="59"/>
      <c r="U144" s="59"/>
      <c r="V144" s="59"/>
      <c r="W144" s="59"/>
      <c r="X144" s="59"/>
      <c r="Y144" s="59"/>
      <c r="Z144" s="59"/>
      <c r="AA144" s="59"/>
      <c r="AB144" s="59"/>
      <c r="AC144" s="59"/>
      <c r="AD144" s="59"/>
      <c r="AE144" s="59"/>
      <c r="AF144" s="59"/>
      <c r="AG144" s="59"/>
      <c r="AH144" s="59"/>
      <c r="AI144" s="59"/>
      <c r="AJ144" s="59"/>
    </row>
    <row r="145" spans="1:36" ht="14.75" customHeight="1" thickBot="1" x14ac:dyDescent="0.2">
      <c r="A145" s="141">
        <f t="shared" si="44"/>
        <v>18</v>
      </c>
      <c r="B145" s="59"/>
      <c r="C145" s="67" t="s">
        <v>309</v>
      </c>
      <c r="D145" s="59"/>
      <c r="E145" s="59"/>
      <c r="F145" s="59"/>
      <c r="G145" s="59"/>
      <c r="H145" s="59"/>
      <c r="I145" s="160">
        <f t="shared" ref="I145:P145" si="52">SUM(I143:I144)</f>
        <v>1258.4874536053044</v>
      </c>
      <c r="J145" s="160">
        <f t="shared" si="52"/>
        <v>1258.4874536053044</v>
      </c>
      <c r="K145" s="160">
        <f t="shared" si="52"/>
        <v>1258.4874536053044</v>
      </c>
      <c r="L145" s="160">
        <f t="shared" si="52"/>
        <v>1258.4874536053044</v>
      </c>
      <c r="M145" s="160">
        <f t="shared" si="52"/>
        <v>1258.4874536053044</v>
      </c>
      <c r="N145" s="160">
        <f t="shared" si="52"/>
        <v>1258.4874536053044</v>
      </c>
      <c r="O145" s="160">
        <f t="shared" si="52"/>
        <v>1258.4874536053044</v>
      </c>
      <c r="P145" s="160">
        <f t="shared" si="52"/>
        <v>1258.4874536053044</v>
      </c>
      <c r="Q145" s="59"/>
      <c r="R145" s="59"/>
      <c r="S145" s="59"/>
      <c r="T145" s="59"/>
      <c r="U145" s="59"/>
      <c r="V145" s="59"/>
      <c r="W145" s="59"/>
      <c r="X145" s="59"/>
      <c r="Y145" s="59"/>
      <c r="Z145" s="59"/>
      <c r="AA145" s="59"/>
      <c r="AB145" s="59"/>
      <c r="AC145" s="59"/>
      <c r="AD145" s="59"/>
      <c r="AE145" s="59"/>
      <c r="AF145" s="59"/>
      <c r="AG145" s="59"/>
      <c r="AH145" s="59"/>
      <c r="AI145" s="59"/>
      <c r="AJ145" s="59"/>
    </row>
    <row r="146" spans="1:36" ht="14.75" customHeight="1" thickTop="1" x14ac:dyDescent="0.15">
      <c r="A146" s="141">
        <f t="shared" si="44"/>
        <v>19</v>
      </c>
      <c r="B146" s="59"/>
      <c r="C146" s="67"/>
      <c r="D146" s="59"/>
      <c r="E146" s="59"/>
      <c r="F146" s="59"/>
      <c r="G146" s="59"/>
      <c r="H146" s="59"/>
      <c r="I146" s="159"/>
      <c r="J146" s="158"/>
      <c r="K146" s="158"/>
      <c r="L146" s="158"/>
      <c r="M146" s="158"/>
      <c r="N146" s="158"/>
      <c r="O146" s="158"/>
      <c r="P146" s="158"/>
      <c r="Q146" s="59"/>
      <c r="R146" s="59"/>
      <c r="S146" s="59"/>
      <c r="T146" s="59"/>
      <c r="U146" s="59"/>
      <c r="V146" s="59"/>
      <c r="W146" s="59"/>
      <c r="X146" s="59"/>
      <c r="Y146" s="59"/>
      <c r="Z146" s="59"/>
      <c r="AA146" s="59"/>
      <c r="AB146" s="59"/>
      <c r="AC146" s="59"/>
      <c r="AD146" s="59"/>
      <c r="AE146" s="59"/>
      <c r="AF146" s="59"/>
      <c r="AG146" s="59"/>
      <c r="AH146" s="59"/>
      <c r="AI146" s="59"/>
      <c r="AJ146" s="59"/>
    </row>
    <row r="147" spans="1:36" ht="14.75" customHeight="1" thickBot="1" x14ac:dyDescent="0.35">
      <c r="A147" s="141">
        <f t="shared" si="44"/>
        <v>20</v>
      </c>
      <c r="B147" s="59"/>
      <c r="C147" s="67"/>
      <c r="D147" s="59"/>
      <c r="E147" s="59"/>
      <c r="F147" s="59"/>
      <c r="G147" s="59"/>
      <c r="H147" s="59"/>
      <c r="I147" s="157" t="s">
        <v>308</v>
      </c>
      <c r="J147" s="143"/>
      <c r="K147" s="143"/>
      <c r="L147" s="143"/>
      <c r="M147" s="143"/>
      <c r="N147" s="143"/>
      <c r="O147" s="143"/>
      <c r="P147" s="143"/>
      <c r="Q147" s="59"/>
      <c r="R147" s="59"/>
      <c r="S147" s="59"/>
      <c r="T147" s="59"/>
      <c r="U147" s="59"/>
      <c r="V147" s="59"/>
      <c r="W147" s="59"/>
      <c r="X147" s="59"/>
      <c r="Y147" s="59"/>
      <c r="Z147" s="59"/>
      <c r="AA147" s="59"/>
      <c r="AB147" s="59"/>
      <c r="AC147" s="59"/>
      <c r="AD147" s="59"/>
      <c r="AE147" s="59"/>
      <c r="AF147" s="59"/>
      <c r="AG147" s="59"/>
      <c r="AH147" s="59"/>
      <c r="AI147" s="59"/>
      <c r="AJ147" s="59"/>
    </row>
    <row r="148" spans="1:36" ht="14.75" customHeight="1" x14ac:dyDescent="0.15">
      <c r="A148" s="141">
        <f t="shared" si="44"/>
        <v>21</v>
      </c>
      <c r="B148" s="59"/>
      <c r="C148" s="59" t="str">
        <f>+$C$130</f>
        <v>Series A</v>
      </c>
      <c r="D148" s="59"/>
      <c r="I148" s="152">
        <f>X148*Y148</f>
        <v>0.25218400000000002</v>
      </c>
      <c r="J148" s="69">
        <f t="shared" ref="J148:P149" si="53">J143*$I148</f>
        <v>269.37040000000007</v>
      </c>
      <c r="K148" s="69">
        <f t="shared" si="53"/>
        <v>269.37040000000007</v>
      </c>
      <c r="L148" s="69">
        <f t="shared" si="53"/>
        <v>269.37040000000007</v>
      </c>
      <c r="M148" s="69">
        <f t="shared" si="53"/>
        <v>269.37040000000007</v>
      </c>
      <c r="N148" s="69">
        <f t="shared" si="53"/>
        <v>269.37040000000007</v>
      </c>
      <c r="O148" s="69">
        <f t="shared" si="53"/>
        <v>269.37040000000007</v>
      </c>
      <c r="P148" s="69">
        <f t="shared" si="53"/>
        <v>269.37040000000007</v>
      </c>
      <c r="Q148" s="59"/>
      <c r="R148" s="59"/>
      <c r="S148" s="59"/>
      <c r="T148" s="59"/>
      <c r="U148" s="59"/>
      <c r="V148" s="156">
        <f>SUMPRODUCT($AJ28:$AJ31,J28:J31)</f>
        <v>3367.130000000001</v>
      </c>
      <c r="W148" s="155">
        <f>E33</f>
        <v>1068.1502395076614</v>
      </c>
      <c r="X148" s="154">
        <f>V148/W148</f>
        <v>3.1523000000000003</v>
      </c>
      <c r="Y148" s="153">
        <f>AA36</f>
        <v>0.08</v>
      </c>
      <c r="AA148" s="59"/>
      <c r="AB148" s="59"/>
      <c r="AC148" s="59"/>
      <c r="AD148" s="59"/>
      <c r="AE148" s="59"/>
      <c r="AF148" s="59"/>
      <c r="AG148" s="59"/>
      <c r="AH148" s="59"/>
      <c r="AI148" s="59"/>
      <c r="AJ148" s="59"/>
    </row>
    <row r="149" spans="1:36" ht="14.75" customHeight="1" thickBot="1" x14ac:dyDescent="0.2">
      <c r="A149" s="141">
        <f t="shared" si="44"/>
        <v>22</v>
      </c>
      <c r="B149" s="59"/>
      <c r="C149" s="59" t="str">
        <f>+$C$131</f>
        <v>Series B</v>
      </c>
      <c r="D149" s="59"/>
      <c r="I149" s="152">
        <f>X149*Y149</f>
        <v>0.25218400000000002</v>
      </c>
      <c r="J149" s="69">
        <f t="shared" si="53"/>
        <v>48</v>
      </c>
      <c r="K149" s="69">
        <f t="shared" si="53"/>
        <v>48</v>
      </c>
      <c r="L149" s="69">
        <f t="shared" si="53"/>
        <v>48</v>
      </c>
      <c r="M149" s="69">
        <f t="shared" si="53"/>
        <v>48</v>
      </c>
      <c r="N149" s="69">
        <f t="shared" si="53"/>
        <v>48</v>
      </c>
      <c r="O149" s="69">
        <f t="shared" si="53"/>
        <v>48</v>
      </c>
      <c r="P149" s="69">
        <f t="shared" si="53"/>
        <v>48</v>
      </c>
      <c r="Q149" s="59"/>
      <c r="R149" s="59"/>
      <c r="S149" s="59"/>
      <c r="T149" s="59"/>
      <c r="U149" s="59"/>
      <c r="V149" s="151">
        <f>SUMPRODUCT($AJ28:$AJ31,K28:K31)</f>
        <v>600</v>
      </c>
      <c r="W149" s="150">
        <f>+F33</f>
        <v>190.33721409764297</v>
      </c>
      <c r="X149" s="149">
        <f>V149/W149</f>
        <v>3.1523000000000003</v>
      </c>
      <c r="Y149" s="148">
        <f>+AB36</f>
        <v>0.08</v>
      </c>
      <c r="AA149" s="59"/>
      <c r="AB149" s="59"/>
      <c r="AC149" s="59"/>
      <c r="AD149" s="59"/>
      <c r="AE149" s="59"/>
      <c r="AF149" s="59"/>
      <c r="AG149" s="59"/>
      <c r="AH149" s="59"/>
      <c r="AI149" s="59"/>
      <c r="AJ149" s="59"/>
    </row>
    <row r="150" spans="1:36" ht="14.75" customHeight="1" thickBot="1" x14ac:dyDescent="0.2">
      <c r="A150" s="141">
        <f t="shared" si="44"/>
        <v>23</v>
      </c>
      <c r="B150" s="59"/>
      <c r="C150" s="67" t="s">
        <v>307</v>
      </c>
      <c r="D150" s="59"/>
      <c r="E150" s="59"/>
      <c r="F150" s="59"/>
      <c r="G150" s="59"/>
      <c r="H150" s="59"/>
      <c r="I150" s="59"/>
      <c r="J150" s="146">
        <f t="shared" ref="J150:P150" si="54">SUM(J148:J149)</f>
        <v>317.37040000000007</v>
      </c>
      <c r="K150" s="146">
        <f t="shared" si="54"/>
        <v>317.37040000000007</v>
      </c>
      <c r="L150" s="146">
        <f t="shared" si="54"/>
        <v>317.37040000000007</v>
      </c>
      <c r="M150" s="146">
        <f t="shared" si="54"/>
        <v>317.37040000000007</v>
      </c>
      <c r="N150" s="146">
        <f t="shared" si="54"/>
        <v>317.37040000000007</v>
      </c>
      <c r="O150" s="146">
        <f t="shared" si="54"/>
        <v>317.37040000000007</v>
      </c>
      <c r="P150" s="146">
        <f t="shared" si="54"/>
        <v>317.37040000000007</v>
      </c>
      <c r="Q150" s="59"/>
      <c r="R150" s="69"/>
      <c r="S150" s="59"/>
      <c r="T150" s="59"/>
      <c r="U150" s="59"/>
      <c r="V150" s="59"/>
      <c r="W150" s="59"/>
      <c r="X150" s="59"/>
      <c r="Y150" s="59"/>
      <c r="Z150" s="59"/>
      <c r="AA150" s="59"/>
      <c r="AB150" s="59"/>
      <c r="AC150" s="59"/>
      <c r="AD150" s="59"/>
      <c r="AE150" s="59"/>
      <c r="AF150" s="59"/>
      <c r="AG150" s="59"/>
      <c r="AH150" s="59"/>
      <c r="AI150" s="59"/>
      <c r="AJ150" s="59"/>
    </row>
    <row r="151" spans="1:36" ht="14.75" customHeight="1" thickTop="1" x14ac:dyDescent="0.15">
      <c r="A151" s="141">
        <f t="shared" si="44"/>
        <v>24</v>
      </c>
      <c r="B151" s="59"/>
      <c r="C151" s="67"/>
      <c r="D151" s="59"/>
      <c r="E151" s="59"/>
      <c r="F151" s="59"/>
      <c r="G151" s="59"/>
      <c r="H151" s="59"/>
      <c r="I151" s="59"/>
      <c r="J151" s="143"/>
      <c r="K151" s="143"/>
      <c r="L151" s="143"/>
      <c r="M151" s="143"/>
      <c r="N151" s="143"/>
      <c r="O151" s="143"/>
      <c r="P151" s="143"/>
      <c r="Q151" s="59"/>
      <c r="R151" s="59"/>
      <c r="S151" s="59"/>
      <c r="T151" s="59"/>
      <c r="U151" s="59"/>
      <c r="V151" s="59"/>
      <c r="W151" s="59"/>
      <c r="X151" s="59"/>
      <c r="Y151" s="59"/>
      <c r="Z151" s="59"/>
      <c r="AA151" s="59"/>
      <c r="AB151" s="59"/>
      <c r="AC151" s="59"/>
      <c r="AD151" s="59"/>
      <c r="AE151" s="59"/>
      <c r="AF151" s="59"/>
      <c r="AG151" s="59"/>
      <c r="AH151" s="59"/>
      <c r="AI151" s="59"/>
      <c r="AJ151" s="59"/>
    </row>
    <row r="152" spans="1:36" ht="14.75" customHeight="1" x14ac:dyDescent="0.15">
      <c r="A152" s="141">
        <f t="shared" si="44"/>
        <v>25</v>
      </c>
      <c r="B152" s="59"/>
      <c r="C152" s="59" t="str">
        <f>+$C$130</f>
        <v>Series A</v>
      </c>
      <c r="D152" s="59"/>
      <c r="E152" s="59"/>
      <c r="F152" s="59"/>
      <c r="G152" s="59"/>
      <c r="H152" s="59"/>
      <c r="I152" s="147"/>
      <c r="J152" s="69">
        <f t="shared" ref="J152:P153" si="55">I152+J148</f>
        <v>269.37040000000007</v>
      </c>
      <c r="K152" s="69">
        <f t="shared" si="55"/>
        <v>538.74080000000015</v>
      </c>
      <c r="L152" s="69">
        <f t="shared" si="55"/>
        <v>808.11120000000028</v>
      </c>
      <c r="M152" s="69">
        <f t="shared" si="55"/>
        <v>1077.4816000000003</v>
      </c>
      <c r="N152" s="69">
        <f t="shared" si="55"/>
        <v>1346.8520000000003</v>
      </c>
      <c r="O152" s="69">
        <f t="shared" si="55"/>
        <v>1616.2224000000003</v>
      </c>
      <c r="P152" s="69">
        <f t="shared" si="55"/>
        <v>1885.5928000000004</v>
      </c>
      <c r="Q152" s="59"/>
      <c r="R152" s="59"/>
      <c r="S152" s="59"/>
      <c r="T152" s="59"/>
      <c r="U152" s="59"/>
      <c r="V152" s="59"/>
      <c r="W152" s="59"/>
      <c r="X152" s="59"/>
      <c r="Y152" s="59"/>
      <c r="Z152" s="59"/>
      <c r="AA152" s="59"/>
      <c r="AB152" s="59"/>
      <c r="AC152" s="59"/>
      <c r="AD152" s="59"/>
      <c r="AE152" s="59"/>
      <c r="AF152" s="59"/>
      <c r="AG152" s="59"/>
      <c r="AH152" s="59"/>
      <c r="AI152" s="59"/>
      <c r="AJ152" s="59"/>
    </row>
    <row r="153" spans="1:36" ht="14.75" customHeight="1" x14ac:dyDescent="0.15">
      <c r="A153" s="141">
        <f t="shared" si="44"/>
        <v>26</v>
      </c>
      <c r="B153" s="59"/>
      <c r="C153" s="59" t="str">
        <f>+$C$131</f>
        <v>Series B</v>
      </c>
      <c r="D153" s="59"/>
      <c r="E153" s="59"/>
      <c r="F153" s="59"/>
      <c r="G153" s="59"/>
      <c r="H153" s="59"/>
      <c r="I153" s="147"/>
      <c r="J153" s="69">
        <f t="shared" si="55"/>
        <v>48</v>
      </c>
      <c r="K153" s="69">
        <f t="shared" si="55"/>
        <v>96</v>
      </c>
      <c r="L153" s="69">
        <f t="shared" si="55"/>
        <v>144</v>
      </c>
      <c r="M153" s="69">
        <f t="shared" si="55"/>
        <v>192</v>
      </c>
      <c r="N153" s="69">
        <f t="shared" si="55"/>
        <v>240</v>
      </c>
      <c r="O153" s="69">
        <f t="shared" si="55"/>
        <v>288</v>
      </c>
      <c r="P153" s="69">
        <f t="shared" si="55"/>
        <v>336</v>
      </c>
      <c r="Q153" s="59"/>
      <c r="R153" s="59"/>
      <c r="S153" s="59"/>
      <c r="T153" s="59"/>
      <c r="U153" s="59"/>
      <c r="V153" s="59"/>
      <c r="W153" s="59"/>
      <c r="X153" s="59"/>
      <c r="Y153" s="59"/>
      <c r="Z153" s="59"/>
      <c r="AA153" s="59"/>
      <c r="AB153" s="59"/>
      <c r="AC153" s="59"/>
      <c r="AD153" s="59"/>
      <c r="AE153" s="59"/>
      <c r="AF153" s="59"/>
      <c r="AG153" s="59"/>
      <c r="AH153" s="59"/>
      <c r="AI153" s="59"/>
      <c r="AJ153" s="59"/>
    </row>
    <row r="154" spans="1:36" ht="14.75" customHeight="1" thickBot="1" x14ac:dyDescent="0.2">
      <c r="A154" s="141">
        <f t="shared" si="44"/>
        <v>27</v>
      </c>
      <c r="B154" s="59"/>
      <c r="C154" s="67" t="s">
        <v>306</v>
      </c>
      <c r="D154" s="59"/>
      <c r="E154" s="59"/>
      <c r="F154" s="59"/>
      <c r="G154" s="145"/>
      <c r="H154" s="145"/>
      <c r="I154" s="144"/>
      <c r="J154" s="146">
        <f t="shared" ref="J154:P154" si="56">SUM(J152:J153)</f>
        <v>317.37040000000007</v>
      </c>
      <c r="K154" s="146">
        <f t="shared" si="56"/>
        <v>634.74080000000015</v>
      </c>
      <c r="L154" s="146">
        <f t="shared" si="56"/>
        <v>952.11120000000028</v>
      </c>
      <c r="M154" s="146">
        <f t="shared" si="56"/>
        <v>1269.4816000000003</v>
      </c>
      <c r="N154" s="146">
        <f t="shared" si="56"/>
        <v>1586.8520000000003</v>
      </c>
      <c r="O154" s="146">
        <f t="shared" si="56"/>
        <v>1904.2224000000003</v>
      </c>
      <c r="P154" s="146">
        <f t="shared" si="56"/>
        <v>2221.5928000000004</v>
      </c>
      <c r="Q154" s="59"/>
      <c r="R154" s="59"/>
      <c r="S154" s="59"/>
      <c r="T154" s="59"/>
      <c r="U154" s="59"/>
      <c r="V154" s="59"/>
      <c r="W154" s="59"/>
      <c r="X154" s="59"/>
      <c r="Y154" s="59"/>
      <c r="Z154" s="59"/>
      <c r="AA154" s="59"/>
      <c r="AB154" s="59"/>
      <c r="AC154" s="59"/>
      <c r="AD154" s="59"/>
      <c r="AE154" s="59"/>
      <c r="AF154" s="59"/>
      <c r="AG154" s="59"/>
      <c r="AH154" s="59"/>
      <c r="AI154" s="59"/>
      <c r="AJ154" s="59"/>
    </row>
    <row r="155" spans="1:36" ht="14.75" customHeight="1" thickTop="1" x14ac:dyDescent="0.15">
      <c r="A155" s="141">
        <f t="shared" si="44"/>
        <v>28</v>
      </c>
      <c r="B155" s="59"/>
      <c r="C155" s="67"/>
      <c r="D155" s="59"/>
      <c r="E155" s="59"/>
      <c r="F155" s="59"/>
      <c r="G155" s="145"/>
      <c r="H155" s="145"/>
      <c r="I155" s="144"/>
      <c r="J155" s="143"/>
      <c r="K155" s="143"/>
      <c r="L155" s="143"/>
      <c r="M155" s="143"/>
      <c r="N155" s="143"/>
      <c r="O155" s="143"/>
      <c r="P155" s="143"/>
      <c r="Q155" s="59"/>
      <c r="R155" s="59"/>
      <c r="S155" s="59"/>
      <c r="T155" s="59"/>
      <c r="U155" s="59"/>
      <c r="V155" s="59"/>
      <c r="W155" s="59"/>
      <c r="X155" s="59"/>
      <c r="Y155" s="59"/>
      <c r="Z155" s="59"/>
      <c r="AA155" s="59"/>
      <c r="AB155" s="59"/>
      <c r="AC155" s="59"/>
      <c r="AD155" s="59"/>
      <c r="AE155" s="59"/>
      <c r="AF155" s="59"/>
      <c r="AG155" s="59"/>
      <c r="AH155" s="59"/>
      <c r="AI155" s="59"/>
      <c r="AJ155" s="59"/>
    </row>
    <row r="156" spans="1:36" ht="14.75" customHeight="1" outlineLevel="1" x14ac:dyDescent="0.15">
      <c r="A156" s="141"/>
      <c r="B156" s="59"/>
      <c r="C156" s="140" t="s">
        <v>305</v>
      </c>
      <c r="D156" s="140"/>
      <c r="E156" s="140"/>
      <c r="F156" s="140"/>
      <c r="G156" s="140"/>
      <c r="H156" s="140"/>
      <c r="I156" s="140"/>
      <c r="J156" s="139">
        <f>$V$156</f>
        <v>0</v>
      </c>
      <c r="K156" s="139">
        <f t="shared" ref="K156:P156" si="57">J156</f>
        <v>0</v>
      </c>
      <c r="L156" s="139">
        <f t="shared" si="57"/>
        <v>0</v>
      </c>
      <c r="M156" s="139">
        <f t="shared" si="57"/>
        <v>0</v>
      </c>
      <c r="N156" s="139">
        <f t="shared" si="57"/>
        <v>0</v>
      </c>
      <c r="O156" s="139">
        <f t="shared" si="57"/>
        <v>0</v>
      </c>
      <c r="P156" s="139">
        <f t="shared" si="57"/>
        <v>0</v>
      </c>
      <c r="Q156" s="59"/>
      <c r="R156" s="59"/>
      <c r="S156" s="59"/>
      <c r="T156" s="59"/>
      <c r="U156" s="59"/>
      <c r="V156" s="138">
        <v>0</v>
      </c>
      <c r="W156" s="59"/>
      <c r="X156" s="59"/>
      <c r="Y156" s="59"/>
      <c r="Z156" s="59"/>
      <c r="AA156" s="59"/>
      <c r="AB156" s="59"/>
      <c r="AC156" s="59"/>
      <c r="AD156" s="59"/>
      <c r="AE156" s="59"/>
      <c r="AF156" s="59"/>
      <c r="AG156" s="59"/>
      <c r="AH156" s="59"/>
      <c r="AI156" s="59"/>
      <c r="AJ156" s="59"/>
    </row>
    <row r="157" spans="1:36" ht="14.75" customHeight="1" outlineLevel="1" x14ac:dyDescent="0.15">
      <c r="A157" s="141"/>
      <c r="B157" s="59"/>
      <c r="C157" s="140"/>
      <c r="D157" s="140"/>
      <c r="E157" s="140"/>
      <c r="F157" s="140"/>
      <c r="G157" s="140"/>
      <c r="H157" s="140"/>
      <c r="I157" s="140"/>
      <c r="J157" s="139"/>
      <c r="K157" s="139"/>
      <c r="L157" s="139"/>
      <c r="M157" s="139"/>
      <c r="N157" s="139"/>
      <c r="O157" s="139"/>
      <c r="P157" s="139"/>
      <c r="Q157" s="59"/>
      <c r="R157" s="59"/>
      <c r="S157" s="59"/>
      <c r="T157" s="59"/>
      <c r="U157" s="59"/>
      <c r="V157" s="138"/>
      <c r="W157" s="59"/>
      <c r="X157" s="59"/>
      <c r="Y157" s="59"/>
      <c r="Z157" s="59"/>
      <c r="AA157" s="59"/>
      <c r="AB157" s="59"/>
      <c r="AC157" s="59"/>
      <c r="AD157" s="59"/>
      <c r="AE157" s="59"/>
      <c r="AF157" s="59"/>
      <c r="AG157" s="59"/>
      <c r="AH157" s="59"/>
      <c r="AI157" s="59"/>
      <c r="AJ157" s="59"/>
    </row>
    <row r="158" spans="1:36" ht="14.75" customHeight="1" outlineLevel="1" x14ac:dyDescent="0.15">
      <c r="A158" s="141"/>
      <c r="B158" s="59"/>
      <c r="C158" s="140" t="s">
        <v>304</v>
      </c>
      <c r="D158" s="140"/>
      <c r="E158" s="140"/>
      <c r="F158" s="140"/>
      <c r="G158" s="140"/>
      <c r="H158" s="140"/>
      <c r="I158" s="140"/>
      <c r="J158" s="142">
        <f t="shared" ref="J158:P158" si="58">J156*J63</f>
        <v>0</v>
      </c>
      <c r="K158" s="142">
        <f t="shared" si="58"/>
        <v>0</v>
      </c>
      <c r="L158" s="142">
        <f t="shared" si="58"/>
        <v>0</v>
      </c>
      <c r="M158" s="142">
        <f t="shared" si="58"/>
        <v>0</v>
      </c>
      <c r="N158" s="142">
        <f t="shared" si="58"/>
        <v>0</v>
      </c>
      <c r="O158" s="142">
        <f t="shared" si="58"/>
        <v>0</v>
      </c>
      <c r="P158" s="142">
        <f t="shared" si="58"/>
        <v>0</v>
      </c>
      <c r="Q158" s="59"/>
      <c r="R158" s="59"/>
      <c r="S158" s="59"/>
      <c r="T158" s="59"/>
      <c r="U158" s="59"/>
      <c r="V158" s="138"/>
      <c r="W158" s="59"/>
      <c r="X158" s="59"/>
      <c r="Y158" s="59"/>
      <c r="Z158" s="59"/>
      <c r="AA158" s="59"/>
      <c r="AB158" s="59"/>
      <c r="AC158" s="59"/>
      <c r="AD158" s="59"/>
      <c r="AE158" s="59"/>
      <c r="AF158" s="59"/>
      <c r="AG158" s="59"/>
      <c r="AH158" s="59"/>
      <c r="AI158" s="59"/>
      <c r="AJ158" s="59"/>
    </row>
    <row r="159" spans="1:36" ht="14.75" customHeight="1" outlineLevel="1" x14ac:dyDescent="0.15">
      <c r="A159" s="141"/>
      <c r="B159" s="59"/>
      <c r="C159" s="140"/>
      <c r="D159" s="140"/>
      <c r="E159" s="140"/>
      <c r="F159" s="140"/>
      <c r="G159" s="140"/>
      <c r="H159" s="140"/>
      <c r="I159" s="140"/>
      <c r="J159" s="139"/>
      <c r="K159" s="139"/>
      <c r="L159" s="139"/>
      <c r="M159" s="139"/>
      <c r="N159" s="139"/>
      <c r="O159" s="139"/>
      <c r="P159" s="139"/>
      <c r="Q159" s="59"/>
      <c r="R159" s="59"/>
      <c r="S159" s="59"/>
      <c r="T159" s="59"/>
      <c r="U159" s="59"/>
      <c r="V159" s="138"/>
      <c r="W159" s="59"/>
      <c r="X159" s="59"/>
      <c r="Y159" s="59"/>
      <c r="Z159" s="59"/>
      <c r="AA159" s="59"/>
      <c r="AB159" s="59"/>
      <c r="AC159" s="59"/>
      <c r="AD159" s="59"/>
      <c r="AE159" s="59"/>
      <c r="AF159" s="59"/>
      <c r="AG159" s="59"/>
      <c r="AH159" s="59"/>
      <c r="AI159" s="59"/>
      <c r="AJ159" s="59"/>
    </row>
    <row r="160" spans="1:36" ht="14.75" customHeight="1" outlineLevel="1" x14ac:dyDescent="0.15">
      <c r="A160" s="141"/>
      <c r="B160" s="59"/>
      <c r="C160" s="140"/>
      <c r="D160" s="140"/>
      <c r="E160" s="140"/>
      <c r="F160" s="140"/>
      <c r="G160" s="140"/>
      <c r="H160" s="140"/>
      <c r="I160" s="140"/>
      <c r="J160" s="139"/>
      <c r="K160" s="139"/>
      <c r="L160" s="139"/>
      <c r="M160" s="139"/>
      <c r="N160" s="139"/>
      <c r="O160" s="139"/>
      <c r="P160" s="139"/>
      <c r="Q160" s="59"/>
      <c r="R160" s="59"/>
      <c r="S160" s="59"/>
      <c r="T160" s="59"/>
      <c r="U160" s="59"/>
      <c r="V160" s="138"/>
      <c r="W160" s="59"/>
      <c r="X160" s="59"/>
      <c r="Y160" s="59"/>
      <c r="Z160" s="59"/>
      <c r="AA160" s="59"/>
      <c r="AB160" s="59"/>
      <c r="AC160" s="59"/>
      <c r="AD160" s="59"/>
      <c r="AE160" s="59"/>
      <c r="AF160" s="59"/>
      <c r="AG160" s="59"/>
      <c r="AH160" s="59"/>
      <c r="AI160" s="59"/>
      <c r="AJ160" s="59"/>
    </row>
    <row r="161" spans="1:36" ht="14.75" customHeight="1" x14ac:dyDescent="0.15">
      <c r="A161" s="59"/>
      <c r="B161" s="59"/>
      <c r="C161" s="59"/>
      <c r="D161" s="59"/>
      <c r="E161" s="59"/>
      <c r="F161" s="59"/>
      <c r="G161" s="59"/>
      <c r="H161" s="59"/>
      <c r="I161" s="59"/>
      <c r="J161" s="59"/>
      <c r="K161" s="59"/>
      <c r="L161" s="59"/>
      <c r="M161" s="59"/>
      <c r="N161" s="59"/>
      <c r="O161" s="59"/>
      <c r="P161" s="59"/>
      <c r="Q161" s="59"/>
      <c r="R161" s="59"/>
      <c r="S161" s="59"/>
      <c r="T161" s="59"/>
      <c r="U161" s="59"/>
      <c r="V161" s="59"/>
      <c r="W161" s="59"/>
      <c r="X161" s="59"/>
      <c r="Y161" s="59"/>
      <c r="Z161" s="59"/>
      <c r="AA161" s="59"/>
      <c r="AB161" s="59"/>
      <c r="AC161" s="59"/>
      <c r="AD161" s="59"/>
      <c r="AE161" s="59"/>
      <c r="AF161" s="59"/>
      <c r="AG161" s="59"/>
      <c r="AH161" s="59"/>
      <c r="AI161" s="59"/>
      <c r="AJ161" s="59"/>
    </row>
    <row r="162" spans="1:36" ht="17" customHeight="1" x14ac:dyDescent="0.3">
      <c r="A162" s="73" t="s">
        <v>270</v>
      </c>
      <c r="B162" s="59"/>
      <c r="C162" s="65" t="s">
        <v>303</v>
      </c>
      <c r="D162" s="65"/>
      <c r="E162" s="65"/>
      <c r="F162" s="65"/>
      <c r="G162" s="65"/>
      <c r="H162" s="65"/>
      <c r="I162" s="65"/>
      <c r="J162" s="65"/>
      <c r="K162" s="65"/>
      <c r="L162" s="65"/>
      <c r="M162" s="65"/>
      <c r="N162" s="65"/>
      <c r="O162" s="65"/>
      <c r="P162" s="65"/>
      <c r="Q162" s="65"/>
      <c r="R162" s="65"/>
      <c r="S162" s="59"/>
      <c r="T162" s="59"/>
      <c r="U162" s="59"/>
      <c r="V162" s="59"/>
      <c r="W162" s="59"/>
      <c r="X162" s="59"/>
      <c r="Y162" s="59"/>
      <c r="Z162" s="59"/>
      <c r="AA162" s="59"/>
      <c r="AB162" s="59"/>
      <c r="AC162" s="59"/>
      <c r="AD162" s="59"/>
      <c r="AE162" s="59"/>
      <c r="AF162" s="59"/>
      <c r="AG162" s="59"/>
      <c r="AH162" s="59"/>
      <c r="AI162" s="59"/>
      <c r="AJ162" s="59"/>
    </row>
    <row r="163" spans="1:36" ht="14.75" customHeight="1" x14ac:dyDescent="0.3">
      <c r="A163" s="59"/>
      <c r="B163" s="59"/>
      <c r="C163" s="65"/>
      <c r="D163" s="65"/>
      <c r="E163" s="65"/>
      <c r="F163" s="65"/>
      <c r="G163" s="65"/>
      <c r="H163" s="65"/>
      <c r="I163" s="65"/>
      <c r="J163" s="65"/>
      <c r="K163" s="65"/>
      <c r="L163" s="65"/>
      <c r="M163" s="65"/>
      <c r="N163" s="65"/>
      <c r="O163" s="65"/>
      <c r="P163" s="65"/>
      <c r="Q163" s="65"/>
      <c r="R163" s="65"/>
      <c r="S163" s="59"/>
      <c r="T163" s="59"/>
      <c r="U163" s="59"/>
      <c r="V163" s="59"/>
      <c r="W163" s="59"/>
      <c r="X163" s="59"/>
      <c r="Y163" s="59"/>
      <c r="Z163" s="59"/>
      <c r="AA163" s="59"/>
      <c r="AB163" s="59"/>
      <c r="AC163" s="59"/>
      <c r="AD163" s="59"/>
      <c r="AE163" s="59"/>
      <c r="AF163" s="59"/>
      <c r="AG163" s="59"/>
      <c r="AH163" s="59"/>
      <c r="AI163" s="59"/>
      <c r="AJ163" s="59"/>
    </row>
    <row r="164" spans="1:36" ht="17" customHeight="1" x14ac:dyDescent="0.3">
      <c r="A164" s="59"/>
      <c r="B164" s="59"/>
      <c r="C164" s="65" t="s">
        <v>302</v>
      </c>
      <c r="D164" s="65"/>
      <c r="E164" s="65"/>
      <c r="F164" s="65"/>
      <c r="G164" s="65"/>
      <c r="H164" s="59"/>
      <c r="I164" s="65" t="s">
        <v>301</v>
      </c>
      <c r="J164" s="65"/>
      <c r="K164" s="65"/>
      <c r="L164" s="65"/>
      <c r="M164" s="65"/>
      <c r="N164" s="65"/>
      <c r="O164" s="65"/>
      <c r="P164" s="65"/>
      <c r="Q164" s="65"/>
      <c r="R164" s="65"/>
      <c r="S164" s="59"/>
      <c r="T164" s="59"/>
      <c r="U164" s="59"/>
      <c r="V164" s="59"/>
      <c r="W164" s="59"/>
      <c r="X164" s="59"/>
      <c r="Y164" s="59"/>
      <c r="Z164" s="59"/>
      <c r="AA164" s="59"/>
      <c r="AB164" s="59"/>
      <c r="AC164" s="59"/>
      <c r="AD164" s="59"/>
      <c r="AE164" s="59"/>
      <c r="AF164" s="59"/>
      <c r="AG164" s="59"/>
      <c r="AH164" s="59"/>
      <c r="AI164" s="59"/>
      <c r="AJ164" s="59"/>
    </row>
    <row r="165" spans="1:36" ht="18" customHeight="1" x14ac:dyDescent="0.3">
      <c r="A165" s="117"/>
      <c r="B165" s="59"/>
      <c r="C165" s="67" t="s">
        <v>300</v>
      </c>
      <c r="D165" s="59"/>
      <c r="E165" s="137">
        <f>[1]Sheet1!D24</f>
        <v>5</v>
      </c>
      <c r="F165" s="59"/>
      <c r="G165" s="136">
        <f>CHOOSE($E$165,J52,K52,L52,M52,N52,O52,P52)</f>
        <v>46111.25</v>
      </c>
      <c r="H165" s="59"/>
      <c r="J165" s="112">
        <f>CHOOSE(J$166,$J$178,$K$178,$L$178,$M$178,$N$178,$O$178,$P$178)</f>
        <v>46111.25</v>
      </c>
      <c r="K165" s="112">
        <f>CHOOSE(K$166,$J$178,$K$178,$L$178,$M$178,$N$178,$O$178,$P$178)</f>
        <v>46476.5</v>
      </c>
      <c r="L165" s="112">
        <f>CHOOSE(L$166,$J$178,$K$178,$L$178,$M$178,$N$178,$O$178,$P$178)</f>
        <v>46841.75</v>
      </c>
      <c r="M165" s="59"/>
      <c r="O165" s="112">
        <f t="shared" ref="O165:Q166" si="59">J165</f>
        <v>46111.25</v>
      </c>
      <c r="P165" s="112">
        <f t="shared" si="59"/>
        <v>46476.5</v>
      </c>
      <c r="Q165" s="112">
        <f t="shared" si="59"/>
        <v>46841.75</v>
      </c>
      <c r="R165" s="59"/>
      <c r="S165" s="59"/>
      <c r="T165" s="59"/>
      <c r="U165" s="59"/>
      <c r="V165" s="59"/>
      <c r="W165" s="59"/>
      <c r="X165" s="59"/>
      <c r="Y165" s="59"/>
      <c r="Z165" s="59"/>
      <c r="AA165" s="59"/>
      <c r="AB165" s="59"/>
      <c r="AC165" s="59"/>
      <c r="AD165" s="59"/>
      <c r="AE165" s="59"/>
      <c r="AF165" s="59"/>
      <c r="AG165" s="59"/>
      <c r="AH165" s="59"/>
      <c r="AI165" s="59"/>
      <c r="AJ165" s="59"/>
    </row>
    <row r="166" spans="1:36" ht="18" customHeight="1" outlineLevel="1" x14ac:dyDescent="0.15">
      <c r="A166" s="117"/>
      <c r="B166" s="59"/>
      <c r="C166" s="59"/>
      <c r="D166" s="59"/>
      <c r="E166" s="59"/>
      <c r="G166" s="59"/>
      <c r="H166" s="59"/>
      <c r="I166" s="134">
        <f ca="1">R190</f>
        <v>0.43137630820274353</v>
      </c>
      <c r="J166" s="135">
        <v>5</v>
      </c>
      <c r="K166" s="135">
        <v>6</v>
      </c>
      <c r="L166" s="135">
        <v>7</v>
      </c>
      <c r="M166" s="59"/>
      <c r="N166" s="134"/>
      <c r="O166" s="133">
        <f t="shared" si="59"/>
        <v>5</v>
      </c>
      <c r="P166" s="133">
        <f t="shared" si="59"/>
        <v>6</v>
      </c>
      <c r="Q166" s="133">
        <f t="shared" si="59"/>
        <v>7</v>
      </c>
      <c r="R166" s="59"/>
      <c r="S166" s="59"/>
      <c r="T166" s="59"/>
      <c r="U166" s="59"/>
      <c r="V166" s="59"/>
      <c r="W166" s="59"/>
      <c r="X166" s="59"/>
      <c r="Y166" s="59"/>
      <c r="Z166" s="59"/>
      <c r="AA166" s="59"/>
      <c r="AB166" s="59"/>
      <c r="AC166" s="59"/>
      <c r="AD166" s="59"/>
      <c r="AE166" s="59"/>
      <c r="AF166" s="59"/>
      <c r="AG166" s="59"/>
      <c r="AH166" s="59"/>
      <c r="AI166" s="59"/>
      <c r="AJ166" s="59"/>
    </row>
    <row r="167" spans="1:36" ht="14.75" customHeight="1" x14ac:dyDescent="0.15">
      <c r="A167" s="117"/>
      <c r="B167" s="59"/>
      <c r="C167" s="67" t="s">
        <v>299</v>
      </c>
      <c r="D167" s="67"/>
      <c r="E167" s="67"/>
      <c r="F167" s="67"/>
      <c r="G167" s="74">
        <f>CHOOSE($E$165,J63,K63,L63,M63,N63,O63,P63)</f>
        <v>4206.7095977984018</v>
      </c>
      <c r="H167" s="59"/>
      <c r="I167" s="122">
        <v>2</v>
      </c>
      <c r="J167" s="132">
        <f t="dataTable" ref="J167:L171" dt2D="1" dtr="1" r1="E165" r2="G168" ca="1"/>
        <v>0.43137630820274353</v>
      </c>
      <c r="K167" s="131">
        <v>0.43137630820274353</v>
      </c>
      <c r="L167" s="131">
        <v>0.43137630820274353</v>
      </c>
      <c r="M167" s="59"/>
      <c r="N167" s="120">
        <f>I167</f>
        <v>2</v>
      </c>
      <c r="O167" s="130">
        <f t="shared" ref="O167:Q171" ca="1" si="60">+IF(AND($E$165=O$166,$G$168=$N167),$S$190,O167)</f>
        <v>2.6720972991812881</v>
      </c>
      <c r="P167" s="129">
        <f t="shared" ca="1" si="60"/>
        <v>3.6238204342326439</v>
      </c>
      <c r="Q167" s="129">
        <f t="shared" ca="1" si="60"/>
        <v>4.7332596298565086</v>
      </c>
      <c r="R167" s="59"/>
      <c r="S167" s="59"/>
      <c r="T167" s="59"/>
      <c r="U167" s="59"/>
      <c r="V167" s="59"/>
      <c r="W167" s="59"/>
      <c r="X167" s="59"/>
      <c r="Y167" s="59"/>
      <c r="Z167" s="59"/>
      <c r="AA167" s="59"/>
      <c r="AB167" s="59"/>
      <c r="AC167" s="59"/>
      <c r="AD167" s="59"/>
      <c r="AE167" s="59"/>
      <c r="AF167" s="59"/>
      <c r="AG167" s="59"/>
      <c r="AH167" s="59"/>
      <c r="AI167" s="59"/>
      <c r="AJ167" s="59"/>
    </row>
    <row r="168" spans="1:36" ht="14.75" customHeight="1" x14ac:dyDescent="0.15">
      <c r="A168" s="59"/>
      <c r="B168" s="59"/>
      <c r="C168" s="128" t="s">
        <v>298</v>
      </c>
      <c r="D168" s="59"/>
      <c r="E168" s="59"/>
      <c r="G168" s="127">
        <f>[1]Sheet1!D26</f>
        <v>5</v>
      </c>
      <c r="H168" s="59"/>
      <c r="I168" s="122">
        <f>+I167+1</f>
        <v>3</v>
      </c>
      <c r="J168" s="121">
        <v>0.43137630820274353</v>
      </c>
      <c r="K168" s="63">
        <v>0.43137630820274353</v>
      </c>
      <c r="L168" s="63">
        <v>0.43137630820274353</v>
      </c>
      <c r="M168" s="59"/>
      <c r="N168" s="120">
        <f>I168</f>
        <v>3</v>
      </c>
      <c r="O168" s="119">
        <f t="shared" ca="1" si="60"/>
        <v>3.4930594165282258</v>
      </c>
      <c r="P168" s="118">
        <f t="shared" ca="1" si="60"/>
        <v>0</v>
      </c>
      <c r="Q168" s="118">
        <f t="shared" ca="1" si="60"/>
        <v>5.8189820300478345</v>
      </c>
      <c r="R168" s="59"/>
      <c r="S168" s="59"/>
      <c r="T168" s="59"/>
      <c r="U168" s="59"/>
      <c r="V168" s="59"/>
      <c r="W168" s="59"/>
      <c r="X168" s="59"/>
      <c r="Y168" s="59"/>
      <c r="Z168" s="59"/>
      <c r="AA168" s="59"/>
      <c r="AB168" s="59"/>
      <c r="AC168" s="59"/>
      <c r="AD168" s="59"/>
      <c r="AE168" s="59"/>
      <c r="AF168" s="59"/>
      <c r="AG168" s="59"/>
      <c r="AH168" s="59"/>
      <c r="AI168" s="59"/>
      <c r="AJ168" s="59"/>
    </row>
    <row r="169" spans="1:36" ht="14.75" customHeight="1" x14ac:dyDescent="0.15">
      <c r="A169" s="117"/>
      <c r="B169" s="59"/>
      <c r="C169" s="67" t="s">
        <v>297</v>
      </c>
      <c r="D169" s="59"/>
      <c r="E169" s="59"/>
      <c r="F169" s="59"/>
      <c r="G169" s="126">
        <f>G167*G168</f>
        <v>21033.54798899201</v>
      </c>
      <c r="H169" s="59"/>
      <c r="I169" s="122">
        <f>+I168+1</f>
        <v>4</v>
      </c>
      <c r="J169" s="121">
        <v>0.43137630820274353</v>
      </c>
      <c r="K169" s="125">
        <v>0.43137630820274353</v>
      </c>
      <c r="L169" s="63">
        <v>0.43137630820274353</v>
      </c>
      <c r="M169" s="59"/>
      <c r="N169" s="120">
        <f>I169</f>
        <v>4</v>
      </c>
      <c r="O169" s="119">
        <f t="shared" ca="1" si="60"/>
        <v>4.3140215338751648</v>
      </c>
      <c r="P169" s="124">
        <f t="shared" ca="1" si="60"/>
        <v>5.5120333041306022</v>
      </c>
      <c r="Q169" s="118">
        <f t="shared" ca="1" si="60"/>
        <v>6.9047044302391587</v>
      </c>
      <c r="R169" s="59"/>
      <c r="S169" s="59"/>
      <c r="T169" s="59"/>
      <c r="U169" s="59"/>
      <c r="V169" s="59"/>
      <c r="W169" s="59"/>
      <c r="X169" s="59"/>
      <c r="Y169" s="59"/>
      <c r="Z169" s="59"/>
      <c r="AA169" s="59"/>
      <c r="AB169" s="59"/>
      <c r="AC169" s="59"/>
      <c r="AD169" s="59"/>
      <c r="AE169" s="59"/>
      <c r="AF169" s="59"/>
      <c r="AG169" s="59"/>
      <c r="AH169" s="59"/>
      <c r="AI169" s="59"/>
      <c r="AJ169" s="59"/>
    </row>
    <row r="170" spans="1:36" ht="14.75" customHeight="1" x14ac:dyDescent="0.15">
      <c r="A170" s="117"/>
      <c r="B170" s="59"/>
      <c r="C170" s="123" t="s">
        <v>296</v>
      </c>
      <c r="D170" s="67"/>
      <c r="E170" s="59"/>
      <c r="F170" s="59"/>
      <c r="G170" s="71">
        <f ca="1">-CHOOSE($E$165,J99,K99,L99,M99,N99,O99,P99)</f>
        <v>3087.8480159883111</v>
      </c>
      <c r="H170" s="59"/>
      <c r="I170" s="122">
        <f>+I169+1</f>
        <v>5</v>
      </c>
      <c r="J170" s="121">
        <v>0.43137630820274353</v>
      </c>
      <c r="K170" s="63">
        <v>0.43137630820274353</v>
      </c>
      <c r="L170" s="63">
        <v>0.43137630820274353</v>
      </c>
      <c r="M170" s="59"/>
      <c r="N170" s="120">
        <f>I170</f>
        <v>5</v>
      </c>
      <c r="O170" s="119">
        <f t="shared" ca="1" si="60"/>
        <v>5.134983651222103</v>
      </c>
      <c r="P170" s="118">
        <f t="shared" ca="1" si="60"/>
        <v>6.4561397390795818</v>
      </c>
      <c r="Q170" s="118">
        <f t="shared" ca="1" si="60"/>
        <v>7.9904268304304855</v>
      </c>
      <c r="R170" s="59"/>
      <c r="S170" s="59"/>
      <c r="T170" s="59"/>
      <c r="U170" s="59"/>
      <c r="V170" s="59"/>
      <c r="W170" s="59"/>
      <c r="X170" s="59"/>
      <c r="Y170" s="59"/>
      <c r="Z170" s="59"/>
      <c r="AA170" s="59"/>
      <c r="AB170" s="59"/>
      <c r="AC170" s="59"/>
      <c r="AD170" s="59"/>
      <c r="AE170" s="59"/>
      <c r="AF170" s="59"/>
      <c r="AG170" s="59"/>
      <c r="AH170" s="59"/>
      <c r="AI170" s="59"/>
      <c r="AJ170" s="59"/>
    </row>
    <row r="171" spans="1:36" ht="14.75" customHeight="1" thickBot="1" x14ac:dyDescent="0.2">
      <c r="A171" s="117"/>
      <c r="B171" s="59"/>
      <c r="C171" s="67" t="s">
        <v>295</v>
      </c>
      <c r="D171" s="59"/>
      <c r="E171" s="59"/>
      <c r="F171" s="59"/>
      <c r="G171" s="100">
        <f ca="1">SUM(G169:G170)</f>
        <v>23201.419890988305</v>
      </c>
      <c r="H171" s="59"/>
      <c r="I171" s="122">
        <f>+I170+1</f>
        <v>6</v>
      </c>
      <c r="J171" s="121">
        <v>0.43137630820274353</v>
      </c>
      <c r="K171" s="63">
        <v>0.43137630820274353</v>
      </c>
      <c r="L171" s="63">
        <v>0.43137630820274353</v>
      </c>
      <c r="M171" s="59"/>
      <c r="N171" s="120">
        <f>I171</f>
        <v>6</v>
      </c>
      <c r="O171" s="119">
        <f t="shared" ca="1" si="60"/>
        <v>5.9559457685690429</v>
      </c>
      <c r="P171" s="118">
        <f t="shared" ca="1" si="60"/>
        <v>7.4002461740285623</v>
      </c>
      <c r="Q171" s="118">
        <f t="shared" ca="1" si="60"/>
        <v>8.6503417690907227</v>
      </c>
      <c r="R171" s="59"/>
      <c r="S171" s="59"/>
      <c r="T171" s="59"/>
      <c r="U171" s="59"/>
      <c r="V171" s="59"/>
      <c r="W171" s="59"/>
      <c r="X171" s="59"/>
      <c r="Y171" s="59"/>
      <c r="Z171" s="59"/>
      <c r="AA171" s="59"/>
      <c r="AB171" s="59"/>
      <c r="AC171" s="59"/>
      <c r="AD171" s="59"/>
      <c r="AE171" s="59"/>
      <c r="AF171" s="59"/>
      <c r="AG171" s="59"/>
      <c r="AH171" s="59"/>
      <c r="AI171" s="59"/>
      <c r="AJ171" s="59"/>
    </row>
    <row r="172" spans="1:36" ht="14.75" customHeight="1" thickTop="1" x14ac:dyDescent="0.15">
      <c r="A172" s="117"/>
      <c r="B172" s="59"/>
      <c r="C172" s="67"/>
      <c r="D172" s="59"/>
      <c r="E172" s="59"/>
      <c r="F172" s="74"/>
      <c r="G172" s="59"/>
      <c r="H172" s="59"/>
      <c r="I172" s="59"/>
      <c r="J172" s="59"/>
      <c r="K172" s="59"/>
      <c r="L172" s="59"/>
      <c r="M172" s="59"/>
      <c r="N172" s="59"/>
      <c r="O172" s="59"/>
      <c r="P172" s="59"/>
      <c r="Q172" s="59"/>
      <c r="R172" s="59"/>
      <c r="S172" s="59"/>
      <c r="T172" s="59"/>
      <c r="U172" s="59"/>
      <c r="V172" s="59"/>
      <c r="W172" s="59"/>
      <c r="X172" s="59"/>
      <c r="Y172" s="59"/>
      <c r="Z172" s="59"/>
      <c r="AA172" s="59"/>
      <c r="AB172" s="59"/>
      <c r="AC172" s="59"/>
      <c r="AD172" s="59"/>
      <c r="AE172" s="59"/>
      <c r="AF172" s="59"/>
      <c r="AG172" s="59"/>
      <c r="AH172" s="59"/>
      <c r="AI172" s="59"/>
      <c r="AJ172" s="59"/>
    </row>
    <row r="173" spans="1:36" ht="14.75" customHeight="1" x14ac:dyDescent="0.15">
      <c r="A173" s="117"/>
      <c r="B173" s="59"/>
      <c r="C173" s="67"/>
      <c r="D173" s="59"/>
      <c r="E173" s="59"/>
      <c r="F173" s="74"/>
      <c r="G173" s="59"/>
      <c r="H173" s="59"/>
      <c r="I173" s="59"/>
      <c r="J173" s="59"/>
      <c r="K173" s="59"/>
      <c r="L173" s="59"/>
      <c r="M173" s="59"/>
      <c r="N173" s="59"/>
      <c r="O173" s="59"/>
      <c r="P173" s="59"/>
      <c r="Q173" s="59"/>
      <c r="R173" s="59"/>
      <c r="S173" s="59"/>
      <c r="T173" s="59"/>
      <c r="U173" s="59"/>
      <c r="V173" s="59"/>
      <c r="W173" s="59"/>
      <c r="X173" s="59"/>
      <c r="Y173" s="59"/>
      <c r="Z173" s="59"/>
      <c r="AA173" s="59"/>
      <c r="AB173" s="59"/>
      <c r="AC173" s="74"/>
      <c r="AD173" s="59"/>
      <c r="AE173" s="59"/>
      <c r="AF173" s="59"/>
      <c r="AG173" s="59"/>
      <c r="AH173" s="59"/>
      <c r="AI173" s="59"/>
      <c r="AJ173" s="59"/>
    </row>
    <row r="174" spans="1:36" ht="14.75" customHeight="1" x14ac:dyDescent="0.15">
      <c r="A174" s="117"/>
      <c r="B174" s="59"/>
      <c r="C174" s="59"/>
      <c r="D174" s="59"/>
      <c r="E174" s="59"/>
      <c r="F174" s="59"/>
      <c r="G174" s="59"/>
      <c r="H174" s="59"/>
      <c r="I174" s="59"/>
      <c r="J174" s="59"/>
      <c r="K174" s="59"/>
      <c r="L174" s="59"/>
      <c r="M174" s="59"/>
      <c r="N174" s="59"/>
      <c r="O174" s="59"/>
      <c r="P174" s="59"/>
      <c r="Q174" s="59"/>
      <c r="R174" s="59"/>
      <c r="S174" s="59"/>
      <c r="T174" s="59"/>
      <c r="U174" s="59"/>
      <c r="V174" s="59"/>
      <c r="W174" s="59"/>
      <c r="X174" s="59"/>
      <c r="Y174" s="59"/>
      <c r="Z174" s="59"/>
      <c r="AA174" s="59"/>
      <c r="AB174" s="59"/>
      <c r="AC174" s="63"/>
      <c r="AD174" s="59"/>
      <c r="AE174" s="59"/>
      <c r="AF174" s="59"/>
      <c r="AG174" s="59"/>
      <c r="AH174" s="59"/>
      <c r="AI174" s="59"/>
      <c r="AJ174" s="59"/>
    </row>
    <row r="175" spans="1:36" ht="17" customHeight="1" x14ac:dyDescent="0.3">
      <c r="A175" s="73" t="s">
        <v>270</v>
      </c>
      <c r="B175" s="59"/>
      <c r="C175" s="65" t="s">
        <v>269</v>
      </c>
      <c r="D175" s="65"/>
      <c r="E175" s="65"/>
      <c r="F175" s="65"/>
      <c r="G175" s="72"/>
      <c r="H175" s="72"/>
      <c r="I175" s="72"/>
      <c r="J175" s="72"/>
      <c r="K175" s="72"/>
      <c r="L175" s="72"/>
      <c r="M175" s="72"/>
      <c r="N175" s="72"/>
      <c r="O175" s="72"/>
      <c r="P175" s="72"/>
      <c r="Q175" s="72"/>
      <c r="R175" s="72"/>
      <c r="S175" s="72"/>
      <c r="T175" s="59"/>
      <c r="U175" s="59"/>
      <c r="V175" s="59"/>
      <c r="W175" s="59"/>
      <c r="X175" s="59"/>
      <c r="Y175" s="59"/>
      <c r="Z175" s="59"/>
      <c r="AA175" s="59"/>
      <c r="AB175" s="59"/>
      <c r="AC175" s="59"/>
      <c r="AD175" s="59"/>
      <c r="AE175" s="59"/>
      <c r="AF175" s="59"/>
      <c r="AG175" s="59"/>
      <c r="AH175" s="59"/>
      <c r="AI175" s="59"/>
      <c r="AJ175" s="59"/>
    </row>
    <row r="176" spans="1:36" ht="17" x14ac:dyDescent="0.3">
      <c r="A176" s="59"/>
      <c r="B176" s="59"/>
      <c r="C176" s="114" t="s">
        <v>294</v>
      </c>
      <c r="D176" s="114"/>
      <c r="E176" s="114"/>
      <c r="F176" s="114"/>
      <c r="G176" s="114"/>
      <c r="H176" s="114"/>
      <c r="I176" s="114"/>
      <c r="J176" s="114"/>
      <c r="K176" s="72"/>
      <c r="L176" s="72"/>
      <c r="M176" s="72"/>
      <c r="N176" s="72"/>
      <c r="O176" s="72"/>
      <c r="P176" s="72"/>
      <c r="Q176" s="72"/>
      <c r="R176" s="72"/>
      <c r="S176" s="72"/>
      <c r="T176" s="59"/>
      <c r="U176" s="59"/>
      <c r="V176" s="59"/>
      <c r="W176" s="59"/>
      <c r="X176" s="59"/>
      <c r="Y176" s="59"/>
      <c r="Z176" s="59"/>
      <c r="AA176" s="59"/>
      <c r="AB176" s="59"/>
      <c r="AC176" s="59"/>
      <c r="AD176" s="59"/>
      <c r="AE176" s="59"/>
      <c r="AF176" s="59"/>
      <c r="AG176" s="59"/>
      <c r="AH176" s="59"/>
      <c r="AI176" s="59"/>
      <c r="AJ176" s="59"/>
    </row>
    <row r="177" spans="1:36" ht="17" x14ac:dyDescent="0.3">
      <c r="A177" s="59"/>
      <c r="B177" s="59"/>
      <c r="C177" s="112"/>
      <c r="E177" s="114" t="s">
        <v>293</v>
      </c>
      <c r="F177" s="72"/>
      <c r="G177" s="72"/>
      <c r="H177" s="72"/>
      <c r="I177" s="116" t="s">
        <v>292</v>
      </c>
      <c r="J177" s="114" t="s">
        <v>291</v>
      </c>
      <c r="K177" s="72"/>
      <c r="L177" s="72"/>
      <c r="M177" s="72"/>
      <c r="N177" s="72"/>
      <c r="O177" s="72"/>
      <c r="P177" s="72"/>
      <c r="Q177" s="72"/>
      <c r="R177" s="114" t="s">
        <v>290</v>
      </c>
      <c r="S177" s="115"/>
      <c r="T177" s="59"/>
      <c r="U177" s="59"/>
      <c r="V177" s="59"/>
      <c r="W177" s="59"/>
      <c r="X177" s="59"/>
      <c r="Y177" s="59"/>
      <c r="Z177" s="59"/>
      <c r="AA177" s="59"/>
      <c r="AB177" s="59"/>
      <c r="AC177" s="59"/>
      <c r="AD177" s="59"/>
      <c r="AE177" s="59"/>
      <c r="AF177" s="59"/>
      <c r="AG177" s="59"/>
      <c r="AH177" s="59"/>
      <c r="AI177" s="59"/>
      <c r="AJ177" s="59"/>
    </row>
    <row r="178" spans="1:36" ht="18" customHeight="1" x14ac:dyDescent="0.3">
      <c r="A178" s="59"/>
      <c r="B178" s="59"/>
      <c r="C178" s="114" t="s">
        <v>289</v>
      </c>
      <c r="D178" s="72"/>
      <c r="E178" s="113" t="s">
        <v>288</v>
      </c>
      <c r="F178" s="65" t="s">
        <v>287</v>
      </c>
      <c r="G178" s="113" t="s">
        <v>286</v>
      </c>
      <c r="H178" s="65" t="s">
        <v>285</v>
      </c>
      <c r="I178" s="112">
        <f>+E52</f>
        <v>44256</v>
      </c>
      <c r="J178" s="112">
        <f t="shared" ref="J178:P179" si="61">+J52</f>
        <v>44650.25</v>
      </c>
      <c r="K178" s="112">
        <f t="shared" si="61"/>
        <v>45015.5</v>
      </c>
      <c r="L178" s="112">
        <f t="shared" si="61"/>
        <v>45380.75</v>
      </c>
      <c r="M178" s="112">
        <f t="shared" si="61"/>
        <v>45746</v>
      </c>
      <c r="N178" s="112">
        <f t="shared" si="61"/>
        <v>46111.25</v>
      </c>
      <c r="O178" s="112">
        <f t="shared" si="61"/>
        <v>46476.5</v>
      </c>
      <c r="P178" s="112">
        <f t="shared" si="61"/>
        <v>46841.75</v>
      </c>
      <c r="Q178" s="111" t="s">
        <v>284</v>
      </c>
      <c r="R178" s="110" t="s">
        <v>283</v>
      </c>
      <c r="S178" s="110" t="s">
        <v>282</v>
      </c>
      <c r="T178" s="59"/>
      <c r="U178" s="59"/>
      <c r="V178" s="65" t="s">
        <v>266</v>
      </c>
      <c r="W178" s="65" t="s">
        <v>265</v>
      </c>
      <c r="X178" s="59"/>
      <c r="Y178" s="59"/>
      <c r="Z178" s="59"/>
      <c r="AA178" s="59"/>
      <c r="AB178" s="59"/>
      <c r="AC178" s="59"/>
      <c r="AD178" s="59"/>
      <c r="AE178" s="59"/>
      <c r="AF178" s="59"/>
      <c r="AG178" s="59"/>
      <c r="AH178" s="59"/>
      <c r="AI178" s="59"/>
      <c r="AJ178" s="59"/>
    </row>
    <row r="179" spans="1:36" ht="15" customHeight="1" outlineLevel="1" x14ac:dyDescent="0.15">
      <c r="A179" s="59"/>
      <c r="B179" s="59"/>
      <c r="I179" s="71"/>
      <c r="J179" s="109">
        <f t="shared" si="61"/>
        <v>1</v>
      </c>
      <c r="K179" s="109">
        <f t="shared" si="61"/>
        <v>2</v>
      </c>
      <c r="L179" s="109">
        <f t="shared" si="61"/>
        <v>3</v>
      </c>
      <c r="M179" s="109">
        <f t="shared" si="61"/>
        <v>4</v>
      </c>
      <c r="N179" s="109">
        <f t="shared" si="61"/>
        <v>5</v>
      </c>
      <c r="O179" s="109">
        <f t="shared" si="61"/>
        <v>6</v>
      </c>
      <c r="P179" s="109">
        <f t="shared" si="61"/>
        <v>7</v>
      </c>
      <c r="Q179" s="108"/>
      <c r="R179" s="59"/>
      <c r="S179" s="59"/>
      <c r="T179" s="59"/>
      <c r="U179" s="59"/>
      <c r="V179" s="59"/>
      <c r="W179" s="59"/>
      <c r="X179" s="59"/>
      <c r="Y179" s="59"/>
      <c r="Z179" s="59"/>
      <c r="AA179" s="59"/>
      <c r="AB179" s="59"/>
      <c r="AC179" s="59"/>
      <c r="AD179" s="59"/>
      <c r="AE179" s="59"/>
      <c r="AF179" s="59"/>
      <c r="AG179" s="59"/>
      <c r="AH179" s="59"/>
      <c r="AI179" s="59"/>
      <c r="AJ179" s="59"/>
    </row>
    <row r="180" spans="1:36" ht="14.75" customHeight="1" outlineLevel="1" x14ac:dyDescent="0.15">
      <c r="A180" s="59"/>
      <c r="B180" s="59"/>
      <c r="C180" s="59"/>
      <c r="D180" s="59"/>
      <c r="E180" s="59"/>
      <c r="F180" s="59"/>
      <c r="G180" s="59"/>
      <c r="I180" s="71"/>
      <c r="J180" s="109"/>
      <c r="K180" s="109"/>
      <c r="L180" s="109"/>
      <c r="M180" s="109"/>
      <c r="N180" s="109"/>
      <c r="O180" s="109"/>
      <c r="P180" s="109"/>
      <c r="Q180" s="108"/>
      <c r="R180" s="59"/>
      <c r="S180" s="59"/>
      <c r="T180" s="59"/>
      <c r="U180" s="59"/>
      <c r="V180" s="59"/>
      <c r="W180" s="59"/>
      <c r="X180" s="59"/>
      <c r="Y180" s="59"/>
      <c r="Z180" s="59"/>
      <c r="AA180" s="59"/>
      <c r="AB180" s="59"/>
      <c r="AC180" s="59"/>
      <c r="AD180" s="59"/>
      <c r="AE180" s="59"/>
      <c r="AF180" s="59"/>
      <c r="AG180" s="59"/>
      <c r="AH180" s="59"/>
      <c r="AI180" s="59"/>
      <c r="AJ180" s="59"/>
    </row>
    <row r="181" spans="1:36" ht="14.75" customHeight="1" outlineLevel="1" x14ac:dyDescent="0.15">
      <c r="A181" s="59"/>
      <c r="B181" s="59"/>
      <c r="C181" s="59" t="s">
        <v>266</v>
      </c>
      <c r="D181" s="59"/>
      <c r="E181" s="59"/>
      <c r="F181" s="59"/>
      <c r="G181" s="59"/>
      <c r="I181" s="71"/>
      <c r="J181" s="71">
        <f t="shared" ref="J181:P182" si="62">IF($E$165&gt;=J$179,J148,0)</f>
        <v>269.37040000000007</v>
      </c>
      <c r="K181" s="71">
        <f t="shared" si="62"/>
        <v>269.37040000000007</v>
      </c>
      <c r="L181" s="71">
        <f t="shared" si="62"/>
        <v>269.37040000000007</v>
      </c>
      <c r="M181" s="71">
        <f t="shared" si="62"/>
        <v>269.37040000000007</v>
      </c>
      <c r="N181" s="71">
        <f t="shared" si="62"/>
        <v>269.37040000000007</v>
      </c>
      <c r="O181" s="71">
        <f t="shared" si="62"/>
        <v>0</v>
      </c>
      <c r="P181" s="71">
        <f t="shared" si="62"/>
        <v>0</v>
      </c>
      <c r="Q181" s="107">
        <f>SUM(J181:P181)</f>
        <v>1346.8520000000003</v>
      </c>
      <c r="R181" s="59"/>
      <c r="S181" s="59"/>
      <c r="T181" s="59"/>
      <c r="U181" s="59"/>
      <c r="V181" s="59"/>
      <c r="W181" s="59"/>
      <c r="X181" s="59"/>
      <c r="Y181" s="59"/>
      <c r="Z181" s="59"/>
      <c r="AA181" s="59"/>
      <c r="AB181" s="59"/>
      <c r="AC181" s="59"/>
      <c r="AD181" s="59"/>
      <c r="AE181" s="59"/>
      <c r="AF181" s="59"/>
      <c r="AG181" s="59"/>
      <c r="AH181" s="59"/>
      <c r="AI181" s="59"/>
      <c r="AJ181" s="59"/>
    </row>
    <row r="182" spans="1:36" ht="14.75" customHeight="1" outlineLevel="1" x14ac:dyDescent="0.15">
      <c r="A182" s="59"/>
      <c r="B182" s="59"/>
      <c r="C182" s="59" t="s">
        <v>265</v>
      </c>
      <c r="D182" s="59"/>
      <c r="E182" s="59"/>
      <c r="F182" s="59"/>
      <c r="G182" s="59"/>
      <c r="I182" s="71"/>
      <c r="J182" s="71">
        <f t="shared" si="62"/>
        <v>48</v>
      </c>
      <c r="K182" s="71">
        <f t="shared" si="62"/>
        <v>48</v>
      </c>
      <c r="L182" s="71">
        <f t="shared" si="62"/>
        <v>48</v>
      </c>
      <c r="M182" s="71">
        <f t="shared" si="62"/>
        <v>48</v>
      </c>
      <c r="N182" s="71">
        <f t="shared" si="62"/>
        <v>48</v>
      </c>
      <c r="O182" s="71">
        <f t="shared" si="62"/>
        <v>0</v>
      </c>
      <c r="P182" s="71">
        <f t="shared" si="62"/>
        <v>0</v>
      </c>
      <c r="Q182" s="107">
        <f>SUM(J182:P182)</f>
        <v>240</v>
      </c>
      <c r="R182" s="59"/>
      <c r="S182" s="59"/>
      <c r="T182" s="59"/>
      <c r="U182" s="59"/>
      <c r="V182" s="59"/>
      <c r="W182" s="59"/>
      <c r="X182" s="59"/>
      <c r="Y182" s="59"/>
      <c r="Z182" s="59"/>
      <c r="AA182" s="59"/>
      <c r="AB182" s="59"/>
      <c r="AC182" s="59"/>
      <c r="AD182" s="59"/>
      <c r="AE182" s="59"/>
      <c r="AF182" s="59"/>
      <c r="AG182" s="59"/>
      <c r="AH182" s="59"/>
      <c r="AI182" s="59"/>
      <c r="AJ182" s="59"/>
    </row>
    <row r="183" spans="1:36" ht="14.75" customHeight="1" outlineLevel="1" thickBot="1" x14ac:dyDescent="0.2">
      <c r="A183" s="59"/>
      <c r="B183" s="59"/>
      <c r="C183" s="67" t="s">
        <v>281</v>
      </c>
      <c r="D183" s="59"/>
      <c r="E183" s="59"/>
      <c r="F183" s="59"/>
      <c r="G183" s="59"/>
      <c r="I183" s="71"/>
      <c r="J183" s="100">
        <f t="shared" ref="J183:P183" si="63">SUM(J181:J182)</f>
        <v>317.37040000000007</v>
      </c>
      <c r="K183" s="100">
        <f t="shared" si="63"/>
        <v>317.37040000000007</v>
      </c>
      <c r="L183" s="100">
        <f t="shared" si="63"/>
        <v>317.37040000000007</v>
      </c>
      <c r="M183" s="100">
        <f t="shared" si="63"/>
        <v>317.37040000000007</v>
      </c>
      <c r="N183" s="100">
        <f t="shared" si="63"/>
        <v>317.37040000000007</v>
      </c>
      <c r="O183" s="100">
        <f t="shared" si="63"/>
        <v>0</v>
      </c>
      <c r="P183" s="100">
        <f t="shared" si="63"/>
        <v>0</v>
      </c>
      <c r="Q183" s="106">
        <f>SUM(J183:P183)</f>
        <v>1586.8520000000003</v>
      </c>
      <c r="R183" s="59"/>
      <c r="S183" s="59"/>
      <c r="T183" s="59"/>
      <c r="U183" s="59"/>
      <c r="V183" s="59"/>
      <c r="W183" s="59"/>
      <c r="X183" s="59"/>
      <c r="Y183" s="59"/>
      <c r="Z183" s="59"/>
      <c r="AA183" s="59"/>
      <c r="AB183" s="59"/>
      <c r="AC183" s="59"/>
      <c r="AD183" s="59"/>
      <c r="AE183" s="59"/>
      <c r="AF183" s="59"/>
      <c r="AG183" s="59"/>
      <c r="AH183" s="59"/>
      <c r="AI183" s="59"/>
      <c r="AJ183" s="59"/>
    </row>
    <row r="184" spans="1:36" ht="14.75" customHeight="1" outlineLevel="1" thickTop="1" x14ac:dyDescent="0.15">
      <c r="A184" s="59"/>
      <c r="B184" s="59"/>
      <c r="C184" s="59"/>
      <c r="D184" s="59"/>
      <c r="E184" s="59"/>
      <c r="F184" s="59"/>
      <c r="G184" s="59"/>
      <c r="H184" s="56" t="s">
        <v>280</v>
      </c>
      <c r="J184" s="105">
        <f>SUM($J$183:J183)</f>
        <v>317.37040000000007</v>
      </c>
      <c r="K184" s="105">
        <f>SUM($J$183:K183)</f>
        <v>634.74080000000015</v>
      </c>
      <c r="L184" s="105">
        <f>SUM($J$183:L183)</f>
        <v>952.11120000000028</v>
      </c>
      <c r="M184" s="105">
        <f>SUM($J$183:M183)</f>
        <v>1269.4816000000003</v>
      </c>
      <c r="N184" s="105">
        <f>SUM($J$183:N183)</f>
        <v>1586.8520000000003</v>
      </c>
      <c r="O184" s="105">
        <f>SUM($J$183:O183)</f>
        <v>1586.8520000000003</v>
      </c>
      <c r="P184" s="105">
        <f>SUM($J$183:P183)</f>
        <v>1586.8520000000003</v>
      </c>
      <c r="R184" s="59"/>
      <c r="S184" s="59"/>
      <c r="T184" s="59"/>
      <c r="U184" s="59"/>
      <c r="V184" s="59"/>
      <c r="W184" s="59"/>
      <c r="X184" s="59"/>
      <c r="Y184" s="59"/>
      <c r="Z184" s="59"/>
      <c r="AA184" s="59"/>
      <c r="AB184" s="59"/>
      <c r="AC184" s="59"/>
      <c r="AD184" s="59"/>
      <c r="AE184" s="59"/>
      <c r="AF184" s="59"/>
      <c r="AG184" s="59"/>
      <c r="AH184" s="59"/>
      <c r="AI184" s="59"/>
      <c r="AJ184" s="59"/>
    </row>
    <row r="185" spans="1:36" ht="14.75" customHeight="1" outlineLevel="1" x14ac:dyDescent="0.15">
      <c r="A185" s="59"/>
      <c r="B185" s="59"/>
      <c r="Q185" s="104"/>
      <c r="R185" s="59"/>
      <c r="S185" s="59"/>
      <c r="T185" s="59"/>
      <c r="U185" s="59"/>
      <c r="V185" s="59"/>
      <c r="W185" s="59"/>
      <c r="X185" s="59"/>
      <c r="Y185" s="59"/>
      <c r="Z185" s="59"/>
      <c r="AA185" s="59"/>
      <c r="AB185" s="59"/>
      <c r="AC185" s="59"/>
      <c r="AD185" s="59"/>
      <c r="AE185" s="59"/>
      <c r="AF185" s="59"/>
      <c r="AG185" s="59"/>
      <c r="AH185" s="59"/>
      <c r="AI185" s="59"/>
      <c r="AJ185" s="59"/>
    </row>
    <row r="186" spans="1:36" ht="14.75" customHeight="1" x14ac:dyDescent="0.15">
      <c r="A186" s="59"/>
      <c r="B186" s="59"/>
      <c r="C186" s="59" t="str">
        <f>+$W$28</f>
        <v>SPUR Acquisitions</v>
      </c>
      <c r="D186" s="67"/>
      <c r="E186" s="61">
        <f>I28</f>
        <v>190.33721409764297</v>
      </c>
      <c r="F186" s="61">
        <f>G186-E186</f>
        <v>0</v>
      </c>
      <c r="G186" s="61">
        <f>I38</f>
        <v>190.33721409764297</v>
      </c>
      <c r="H186" s="60">
        <f ca="1">G186/G$190</f>
        <v>4.2857142857142858E-2</v>
      </c>
      <c r="I186" s="71">
        <f>-AJ28</f>
        <v>-600</v>
      </c>
      <c r="J186" s="71">
        <f t="shared" ref="J186:P189" si="64">IF($E$165=J$179,$H186*$G$171,0)+(J$181*$V186+J$182*$W186)</f>
        <v>48</v>
      </c>
      <c r="K186" s="71">
        <f t="shared" si="64"/>
        <v>48</v>
      </c>
      <c r="L186" s="71">
        <f t="shared" si="64"/>
        <v>48</v>
      </c>
      <c r="M186" s="71">
        <f t="shared" si="64"/>
        <v>48</v>
      </c>
      <c r="N186" s="71">
        <f t="shared" ca="1" si="64"/>
        <v>48</v>
      </c>
      <c r="O186" s="71">
        <f t="shared" si="64"/>
        <v>0</v>
      </c>
      <c r="P186" s="71">
        <f t="shared" si="64"/>
        <v>0</v>
      </c>
      <c r="Q186" s="102">
        <f ca="1">SUM(J186:P186)</f>
        <v>1114.3465667566416</v>
      </c>
      <c r="R186" s="63">
        <f ca="1">+XIRR(I186:P186,I$178:P$178)</f>
        <v>0.33840720057487483</v>
      </c>
      <c r="S186" s="103">
        <f ca="1">SUM(J186:P186)/-I186</f>
        <v>3.7144885558554717</v>
      </c>
      <c r="T186" s="59"/>
      <c r="U186" s="59"/>
      <c r="V186" s="60">
        <f t="shared" ref="V186:W189" si="65">J28</f>
        <v>0</v>
      </c>
      <c r="W186" s="60">
        <f t="shared" si="65"/>
        <v>1</v>
      </c>
      <c r="X186" s="59"/>
      <c r="Y186" s="59"/>
      <c r="Z186" s="59"/>
      <c r="AA186" s="59"/>
      <c r="AB186" s="59"/>
      <c r="AC186" s="59"/>
      <c r="AD186" s="59"/>
      <c r="AE186" s="59"/>
      <c r="AF186" s="59"/>
      <c r="AG186" s="59"/>
      <c r="AH186" s="59"/>
      <c r="AI186" s="59"/>
      <c r="AJ186" s="59"/>
    </row>
    <row r="187" spans="1:36" ht="14.75" customHeight="1" x14ac:dyDescent="0.15">
      <c r="A187" s="59"/>
      <c r="B187" s="59"/>
      <c r="C187" s="59" t="str">
        <f>+$W$29</f>
        <v>Financial Sponsor</v>
      </c>
      <c r="D187" s="67"/>
      <c r="E187" s="61">
        <f>I29</f>
        <v>1068.1502395076614</v>
      </c>
      <c r="F187" s="61">
        <f>G187-E187</f>
        <v>0</v>
      </c>
      <c r="G187" s="61">
        <f>I39</f>
        <v>1068.1502395076614</v>
      </c>
      <c r="H187" s="60">
        <f ca="1">G187/G$190</f>
        <v>0.65714285714285714</v>
      </c>
      <c r="I187" s="71">
        <f>-AJ29</f>
        <v>-3367.130000000001</v>
      </c>
      <c r="J187" s="71">
        <f t="shared" si="64"/>
        <v>269.37040000000007</v>
      </c>
      <c r="K187" s="71">
        <f t="shared" si="64"/>
        <v>269.37040000000007</v>
      </c>
      <c r="L187" s="71">
        <f t="shared" si="64"/>
        <v>269.37040000000007</v>
      </c>
      <c r="M187" s="71">
        <f t="shared" si="64"/>
        <v>269.37040000000007</v>
      </c>
      <c r="N187" s="71">
        <f t="shared" ca="1" si="64"/>
        <v>269.37040000000007</v>
      </c>
      <c r="O187" s="71">
        <f t="shared" si="64"/>
        <v>0</v>
      </c>
      <c r="P187" s="71">
        <f t="shared" si="64"/>
        <v>0</v>
      </c>
      <c r="Q187" s="102">
        <f ca="1">SUM(J187:P187)</f>
        <v>17086.647356935173</v>
      </c>
      <c r="R187" s="63">
        <f ca="1">+XIRR(I187:P187,I$178:P$178)</f>
        <v>0.33840720057487483</v>
      </c>
      <c r="S187" s="103">
        <f ca="1">SUM(J187:P187)/-I187</f>
        <v>3.7144885558554726</v>
      </c>
      <c r="T187" s="59"/>
      <c r="U187" s="59"/>
      <c r="V187" s="60">
        <f t="shared" si="65"/>
        <v>1</v>
      </c>
      <c r="W187" s="60">
        <f t="shared" si="65"/>
        <v>0</v>
      </c>
      <c r="X187" s="59"/>
      <c r="Y187" s="59"/>
      <c r="Z187" s="59"/>
      <c r="AA187" s="59"/>
      <c r="AB187" s="59"/>
      <c r="AC187" s="59"/>
      <c r="AD187" s="59"/>
      <c r="AE187" s="59"/>
      <c r="AF187" s="59"/>
      <c r="AG187" s="59"/>
      <c r="AH187" s="59"/>
      <c r="AI187" s="59"/>
      <c r="AJ187" s="59"/>
    </row>
    <row r="188" spans="1:36" ht="14.75" hidden="1" customHeight="1" x14ac:dyDescent="0.15">
      <c r="A188" s="59"/>
      <c r="B188" s="59"/>
      <c r="C188" s="59" t="str">
        <f>+$W$30</f>
        <v>Pre-Existing Shareholders</v>
      </c>
      <c r="D188" s="67"/>
      <c r="E188" s="61">
        <f>I30</f>
        <v>0</v>
      </c>
      <c r="F188" s="61">
        <f>G188-E188</f>
        <v>0</v>
      </c>
      <c r="G188" s="61">
        <f>I40</f>
        <v>0</v>
      </c>
      <c r="H188" s="60">
        <f ca="1">G188/G$190</f>
        <v>0</v>
      </c>
      <c r="I188" s="71">
        <f>-AJ30</f>
        <v>0</v>
      </c>
      <c r="J188" s="71">
        <f t="shared" si="64"/>
        <v>0</v>
      </c>
      <c r="K188" s="71">
        <f t="shared" si="64"/>
        <v>0</v>
      </c>
      <c r="L188" s="71">
        <f t="shared" si="64"/>
        <v>0</v>
      </c>
      <c r="M188" s="71">
        <f t="shared" si="64"/>
        <v>0</v>
      </c>
      <c r="N188" s="71">
        <f t="shared" ca="1" si="64"/>
        <v>0</v>
      </c>
      <c r="O188" s="71">
        <f t="shared" si="64"/>
        <v>0</v>
      </c>
      <c r="P188" s="71">
        <f t="shared" si="64"/>
        <v>0</v>
      </c>
      <c r="Q188" s="102">
        <f ca="1">SUM(J188:P188)</f>
        <v>0</v>
      </c>
      <c r="R188" s="63" t="e">
        <f ca="1">+XIRR(I188:P188,I$178:P$178)</f>
        <v>#NUM!</v>
      </c>
      <c r="S188" s="103" t="e">
        <f ca="1">SUM(J188:P188)/-I188</f>
        <v>#DIV/0!</v>
      </c>
      <c r="T188" s="59"/>
      <c r="U188" s="59"/>
      <c r="V188" s="60">
        <f t="shared" si="65"/>
        <v>0</v>
      </c>
      <c r="W188" s="60">
        <f t="shared" si="65"/>
        <v>0</v>
      </c>
      <c r="X188" s="59"/>
      <c r="Y188" s="59"/>
      <c r="Z188" s="59"/>
      <c r="AA188" s="59"/>
      <c r="AB188" s="59"/>
      <c r="AC188" s="59"/>
      <c r="AD188" s="59"/>
      <c r="AE188" s="59"/>
      <c r="AF188" s="59"/>
      <c r="AG188" s="59"/>
      <c r="AH188" s="59"/>
      <c r="AI188" s="59"/>
      <c r="AJ188" s="59"/>
    </row>
    <row r="189" spans="1:36" ht="14.75" customHeight="1" x14ac:dyDescent="0.15">
      <c r="A189" s="59"/>
      <c r="B189" s="59"/>
      <c r="C189" s="59" t="str">
        <f>+$W$31</f>
        <v>Equity-Incentive Plan (EIP)</v>
      </c>
      <c r="D189" s="67"/>
      <c r="E189" s="61">
        <f ca="1">I31</f>
        <v>278.40909090909076</v>
      </c>
      <c r="F189" s="61">
        <f ca="1">G189-E189</f>
        <v>198.86363636363649</v>
      </c>
      <c r="G189" s="61">
        <f ca="1">SUM(G186:G188)/(1-H189)-SUM(G186:G188)</f>
        <v>477.27272727272725</v>
      </c>
      <c r="H189" s="60">
        <f ca="1">AX29</f>
        <v>0.25</v>
      </c>
      <c r="I189" s="71">
        <v>0</v>
      </c>
      <c r="J189" s="71">
        <f t="shared" si="64"/>
        <v>0</v>
      </c>
      <c r="K189" s="71">
        <f t="shared" si="64"/>
        <v>0</v>
      </c>
      <c r="L189" s="71">
        <f t="shared" si="64"/>
        <v>0</v>
      </c>
      <c r="M189" s="71">
        <f t="shared" si="64"/>
        <v>0</v>
      </c>
      <c r="N189" s="71">
        <f t="shared" ca="1" si="64"/>
        <v>0</v>
      </c>
      <c r="O189" s="71">
        <f t="shared" si="64"/>
        <v>0</v>
      </c>
      <c r="P189" s="71">
        <f t="shared" si="64"/>
        <v>0</v>
      </c>
      <c r="Q189" s="102">
        <f ca="1">SUM(J189:P189)</f>
        <v>5800.3549727470763</v>
      </c>
      <c r="R189" s="63"/>
      <c r="S189" s="59"/>
      <c r="T189" s="59"/>
      <c r="U189" s="59"/>
      <c r="V189" s="60">
        <f t="shared" si="65"/>
        <v>0</v>
      </c>
      <c r="W189" s="60">
        <f t="shared" si="65"/>
        <v>0</v>
      </c>
      <c r="X189" s="59"/>
      <c r="Y189" s="59"/>
      <c r="Z189" s="59"/>
      <c r="AA189" s="59"/>
      <c r="AB189" s="59"/>
      <c r="AC189" s="59"/>
      <c r="AD189" s="59"/>
      <c r="AE189" s="59"/>
      <c r="AF189" s="59"/>
      <c r="AG189" s="59"/>
      <c r="AH189" s="59"/>
      <c r="AI189" s="59"/>
      <c r="AJ189" s="59"/>
    </row>
    <row r="190" spans="1:36" ht="14.75" customHeight="1" thickBot="1" x14ac:dyDescent="0.2">
      <c r="A190" s="59"/>
      <c r="B190" s="59"/>
      <c r="C190" s="67" t="s">
        <v>279</v>
      </c>
      <c r="D190" s="59"/>
      <c r="E190" s="101">
        <f t="shared" ref="E190:Q190" ca="1" si="66">SUM(E186:E189)</f>
        <v>1392.0454545454543</v>
      </c>
      <c r="F190" s="101">
        <f t="shared" ca="1" si="66"/>
        <v>198.86363636363649</v>
      </c>
      <c r="G190" s="101">
        <f t="shared" ca="1" si="66"/>
        <v>1590.9090909090908</v>
      </c>
      <c r="H190" s="96">
        <f t="shared" ca="1" si="66"/>
        <v>0.95</v>
      </c>
      <c r="I190" s="100">
        <f t="shared" si="66"/>
        <v>-3967.130000000001</v>
      </c>
      <c r="J190" s="100">
        <f t="shared" si="66"/>
        <v>317.37040000000007</v>
      </c>
      <c r="K190" s="100">
        <f t="shared" si="66"/>
        <v>317.37040000000007</v>
      </c>
      <c r="L190" s="100">
        <f t="shared" si="66"/>
        <v>317.37040000000007</v>
      </c>
      <c r="M190" s="100">
        <f t="shared" si="66"/>
        <v>317.37040000000007</v>
      </c>
      <c r="N190" s="100">
        <f t="shared" ca="1" si="66"/>
        <v>317.37040000000007</v>
      </c>
      <c r="O190" s="100">
        <f t="shared" si="66"/>
        <v>0</v>
      </c>
      <c r="P190" s="100">
        <f t="shared" si="66"/>
        <v>0</v>
      </c>
      <c r="Q190" s="99">
        <f t="shared" ca="1" si="66"/>
        <v>24001.348896438889</v>
      </c>
      <c r="R190" s="98">
        <f ca="1">+XIRR(I190:P190,I$178:P$178)</f>
        <v>0.4174998819828033</v>
      </c>
      <c r="S190" s="97">
        <f ca="1">SUM(J190:P190)/-I190</f>
        <v>4.8982344686609975</v>
      </c>
      <c r="T190" s="59"/>
      <c r="U190" s="59"/>
      <c r="V190" s="96">
        <f>SUM(V186:V189)</f>
        <v>1</v>
      </c>
      <c r="W190" s="96">
        <f>SUM(W186:W189)</f>
        <v>1</v>
      </c>
      <c r="X190" s="59"/>
      <c r="Y190" s="59"/>
      <c r="Z190" s="59"/>
      <c r="AA190" s="59"/>
      <c r="AB190" s="59"/>
      <c r="AC190" s="59"/>
      <c r="AD190" s="59"/>
      <c r="AE190" s="59"/>
      <c r="AF190" s="59"/>
      <c r="AG190" s="59"/>
      <c r="AH190" s="59"/>
      <c r="AI190" s="59"/>
      <c r="AJ190" s="59"/>
    </row>
    <row r="191" spans="1:36" ht="14.75" customHeight="1" thickTop="1" x14ac:dyDescent="0.15">
      <c r="A191" s="59"/>
      <c r="B191" s="59"/>
      <c r="C191" s="59"/>
      <c r="D191" s="59"/>
      <c r="E191" s="59"/>
      <c r="H191" s="59"/>
      <c r="I191" s="59"/>
      <c r="J191" s="59"/>
      <c r="K191" s="59"/>
      <c r="L191" s="59"/>
      <c r="M191" s="59"/>
      <c r="N191" s="59"/>
      <c r="O191" s="59"/>
      <c r="P191" s="59"/>
      <c r="Q191" s="95"/>
      <c r="R191" s="59"/>
      <c r="S191" s="59"/>
      <c r="T191" s="59"/>
      <c r="U191" s="59"/>
      <c r="V191" s="59"/>
      <c r="W191" s="59"/>
      <c r="X191" s="59"/>
      <c r="Y191" s="59"/>
      <c r="Z191" s="59"/>
      <c r="AA191" s="59"/>
      <c r="AB191" s="59"/>
      <c r="AC191" s="59"/>
      <c r="AD191" s="59"/>
      <c r="AE191" s="59"/>
      <c r="AF191" s="59"/>
      <c r="AG191" s="59"/>
      <c r="AH191" s="59"/>
      <c r="AI191" s="59"/>
      <c r="AJ191" s="59"/>
    </row>
    <row r="192" spans="1:36" ht="14.75" customHeight="1" x14ac:dyDescent="0.15">
      <c r="A192" s="59"/>
      <c r="B192" s="59"/>
      <c r="C192" s="59"/>
      <c r="D192" s="59"/>
      <c r="E192" s="59"/>
      <c r="F192" s="59"/>
      <c r="G192" s="59"/>
      <c r="H192" s="59"/>
      <c r="I192" s="90"/>
      <c r="J192" s="84"/>
      <c r="K192" s="91"/>
      <c r="L192" s="59"/>
      <c r="M192" s="59"/>
      <c r="N192" s="59"/>
      <c r="O192" s="59"/>
      <c r="P192" s="59"/>
      <c r="Q192" s="59"/>
      <c r="R192" s="59"/>
      <c r="S192" s="59"/>
      <c r="T192" s="59"/>
      <c r="U192" s="59"/>
      <c r="V192" s="59"/>
      <c r="W192" s="59"/>
      <c r="X192" s="59"/>
      <c r="Y192" s="59"/>
      <c r="Z192" s="59"/>
      <c r="AA192" s="59"/>
      <c r="AB192" s="59"/>
      <c r="AC192" s="59"/>
      <c r="AD192" s="59"/>
      <c r="AE192" s="59"/>
      <c r="AF192" s="59"/>
      <c r="AG192" s="59"/>
      <c r="AH192" s="59"/>
      <c r="AI192" s="59"/>
      <c r="AJ192" s="59"/>
    </row>
    <row r="193" spans="1:36" ht="14.75" customHeight="1" x14ac:dyDescent="0.15">
      <c r="A193" s="59"/>
      <c r="B193" s="59"/>
      <c r="C193" s="59"/>
      <c r="D193" s="59"/>
      <c r="E193" s="59"/>
      <c r="F193" s="59"/>
      <c r="G193" s="59"/>
      <c r="H193" s="59"/>
      <c r="I193" s="94">
        <f>-L13</f>
        <v>-600</v>
      </c>
      <c r="J193" s="93">
        <f t="shared" ref="J193:P193" si="67">J186</f>
        <v>48</v>
      </c>
      <c r="K193" s="93">
        <f t="shared" si="67"/>
        <v>48</v>
      </c>
      <c r="L193" s="93">
        <f t="shared" si="67"/>
        <v>48</v>
      </c>
      <c r="M193" s="93">
        <f t="shared" si="67"/>
        <v>48</v>
      </c>
      <c r="N193" s="93">
        <f t="shared" ca="1" si="67"/>
        <v>48</v>
      </c>
      <c r="O193" s="93">
        <f t="shared" si="67"/>
        <v>0</v>
      </c>
      <c r="P193" s="93">
        <f t="shared" si="67"/>
        <v>0</v>
      </c>
      <c r="Q193" s="76">
        <f ca="1">SUM(J193:P193)</f>
        <v>1114.3465667566416</v>
      </c>
      <c r="R193" s="59"/>
      <c r="S193" s="59"/>
      <c r="T193" s="59"/>
      <c r="U193" s="59"/>
      <c r="V193" s="59"/>
      <c r="W193" s="59"/>
      <c r="X193" s="59"/>
      <c r="Y193" s="59"/>
      <c r="Z193" s="59"/>
      <c r="AA193" s="59"/>
      <c r="AB193" s="59"/>
      <c r="AC193" s="59"/>
      <c r="AD193" s="59"/>
      <c r="AE193" s="59"/>
      <c r="AF193" s="59"/>
      <c r="AG193" s="59"/>
      <c r="AH193" s="59"/>
      <c r="AI193" s="59"/>
      <c r="AJ193" s="59"/>
    </row>
    <row r="194" spans="1:36" ht="14.75" customHeight="1" x14ac:dyDescent="0.15">
      <c r="A194" s="59"/>
      <c r="B194" s="59"/>
      <c r="C194" s="59"/>
      <c r="D194" s="59"/>
      <c r="E194" s="59"/>
      <c r="F194" s="59"/>
      <c r="G194" s="59"/>
      <c r="H194" s="59" t="s">
        <v>273</v>
      </c>
      <c r="I194" s="92">
        <f ca="1">XIRR(I193:P193,I178:P178)</f>
        <v>0.33840720057487483</v>
      </c>
      <c r="J194" s="84"/>
      <c r="K194" s="91"/>
      <c r="L194" s="59"/>
      <c r="M194" s="59"/>
      <c r="N194" s="59"/>
      <c r="O194" s="59"/>
      <c r="P194" s="59"/>
      <c r="Q194" s="87"/>
      <c r="R194" s="59"/>
      <c r="S194" s="59"/>
      <c r="T194" s="59"/>
      <c r="U194" s="59"/>
      <c r="V194" s="59"/>
      <c r="W194" s="59"/>
      <c r="X194" s="59"/>
      <c r="Y194" s="59"/>
      <c r="Z194" s="59"/>
      <c r="AA194" s="59"/>
      <c r="AB194" s="59"/>
      <c r="AC194" s="59"/>
      <c r="AD194" s="59"/>
      <c r="AE194" s="59"/>
      <c r="AF194" s="59"/>
      <c r="AG194" s="59"/>
      <c r="AH194" s="59"/>
      <c r="AI194" s="59"/>
      <c r="AJ194" s="59"/>
    </row>
    <row r="195" spans="1:36" ht="14.75" customHeight="1" x14ac:dyDescent="0.15">
      <c r="A195" s="59"/>
      <c r="B195" s="59"/>
      <c r="C195" s="59"/>
      <c r="D195" s="59"/>
      <c r="E195" s="59"/>
      <c r="F195" s="59"/>
      <c r="G195" s="59"/>
      <c r="H195" s="59" t="s">
        <v>272</v>
      </c>
      <c r="I195" s="78">
        <f ca="1">SUM(J193:P193)/-I193</f>
        <v>3.7144885558554717</v>
      </c>
      <c r="J195" s="84"/>
      <c r="K195" s="91"/>
      <c r="L195" s="59"/>
      <c r="N195" s="90"/>
      <c r="O195" s="78"/>
      <c r="P195" s="80"/>
      <c r="Q195" s="89"/>
      <c r="R195" s="88"/>
      <c r="S195" s="86"/>
      <c r="T195" s="87"/>
      <c r="U195" s="86"/>
      <c r="V195" s="86"/>
      <c r="W195" s="59"/>
      <c r="X195" s="59"/>
      <c r="Y195" s="59"/>
      <c r="Z195" s="59"/>
      <c r="AA195" s="59"/>
      <c r="AB195" s="59"/>
      <c r="AC195" s="59"/>
      <c r="AD195" s="59"/>
      <c r="AE195" s="59"/>
      <c r="AF195" s="59"/>
      <c r="AG195" s="59"/>
      <c r="AH195" s="59"/>
      <c r="AI195" s="59"/>
      <c r="AJ195" s="59"/>
    </row>
    <row r="196" spans="1:36" ht="14.75" customHeight="1" x14ac:dyDescent="0.15">
      <c r="A196" s="59"/>
      <c r="B196" s="59"/>
      <c r="C196" s="59"/>
      <c r="D196" s="59"/>
      <c r="E196" s="59"/>
      <c r="F196" s="59"/>
      <c r="G196" s="59"/>
      <c r="H196" s="59"/>
      <c r="R196" s="59"/>
      <c r="S196" s="86"/>
      <c r="T196" s="87"/>
      <c r="U196" s="86"/>
      <c r="V196" s="86"/>
      <c r="W196" s="59"/>
      <c r="X196" s="59"/>
      <c r="Y196" s="59"/>
      <c r="Z196" s="59"/>
      <c r="AA196" s="59"/>
      <c r="AB196" s="59"/>
      <c r="AC196" s="59"/>
      <c r="AD196" s="59"/>
      <c r="AE196" s="59"/>
      <c r="AF196" s="59"/>
      <c r="AG196" s="59"/>
      <c r="AH196" s="59"/>
      <c r="AI196" s="59"/>
      <c r="AJ196" s="59"/>
    </row>
    <row r="197" spans="1:36" ht="14.75" customHeight="1" x14ac:dyDescent="0.15">
      <c r="A197" s="59"/>
      <c r="B197" s="59"/>
      <c r="C197" s="59"/>
      <c r="D197" s="59"/>
      <c r="E197" s="59"/>
      <c r="F197" s="59"/>
      <c r="G197" s="59" t="s">
        <v>278</v>
      </c>
      <c r="H197" s="59"/>
      <c r="I197" s="82">
        <f>I193*2/3</f>
        <v>-400</v>
      </c>
      <c r="J197" s="81">
        <f>J193</f>
        <v>48</v>
      </c>
      <c r="K197" s="81">
        <f>K193</f>
        <v>48</v>
      </c>
      <c r="L197" s="81">
        <f>L193</f>
        <v>48</v>
      </c>
      <c r="M197" s="81">
        <f>M193</f>
        <v>48</v>
      </c>
      <c r="N197" s="81">
        <f ca="1">N193</f>
        <v>48</v>
      </c>
      <c r="O197" s="77">
        <f>O186</f>
        <v>0</v>
      </c>
      <c r="P197" s="77">
        <f>P186</f>
        <v>0</v>
      </c>
      <c r="Q197" s="76">
        <f ca="1">SUM(J197:P197)</f>
        <v>1114.3465667566416</v>
      </c>
      <c r="R197" s="59"/>
      <c r="S197" s="86"/>
      <c r="T197" s="87"/>
      <c r="U197" s="86"/>
      <c r="V197" s="86"/>
      <c r="W197" s="59"/>
      <c r="X197" s="59"/>
      <c r="Y197" s="59"/>
      <c r="Z197" s="59"/>
      <c r="AA197" s="59"/>
      <c r="AB197" s="59"/>
      <c r="AC197" s="59"/>
      <c r="AD197" s="59"/>
      <c r="AE197" s="59"/>
      <c r="AF197" s="59"/>
      <c r="AG197" s="59"/>
      <c r="AH197" s="59"/>
      <c r="AI197" s="59"/>
      <c r="AJ197" s="59"/>
    </row>
    <row r="198" spans="1:36" ht="14.75" customHeight="1" x14ac:dyDescent="0.15">
      <c r="A198" s="59"/>
      <c r="B198" s="59"/>
      <c r="C198" s="59"/>
      <c r="D198" s="59"/>
      <c r="E198" s="59"/>
      <c r="F198" s="59"/>
      <c r="G198" s="59"/>
      <c r="H198" s="59" t="s">
        <v>273</v>
      </c>
      <c r="I198" s="63">
        <f ca="1">XIRR(I197:P197,I178:P178)</f>
        <v>0.47148035168647762</v>
      </c>
      <c r="J198" s="80"/>
      <c r="K198" s="79"/>
      <c r="L198" s="59"/>
      <c r="M198" s="59"/>
      <c r="N198" s="59"/>
      <c r="O198" s="59"/>
      <c r="P198" s="59"/>
      <c r="Q198" s="87"/>
      <c r="R198" s="59"/>
      <c r="S198" s="86"/>
      <c r="T198" s="87"/>
      <c r="U198" s="86"/>
      <c r="V198" s="86"/>
      <c r="W198" s="59"/>
      <c r="X198" s="59"/>
      <c r="Y198" s="59"/>
      <c r="Z198" s="59"/>
      <c r="AA198" s="59"/>
      <c r="AB198" s="59"/>
      <c r="AC198" s="59"/>
      <c r="AD198" s="59"/>
      <c r="AE198" s="59"/>
      <c r="AF198" s="59"/>
      <c r="AG198" s="59"/>
      <c r="AH198" s="59"/>
      <c r="AI198" s="59"/>
      <c r="AJ198" s="59"/>
    </row>
    <row r="199" spans="1:36" ht="14.75" customHeight="1" x14ac:dyDescent="0.15">
      <c r="A199" s="59"/>
      <c r="B199" s="59"/>
      <c r="C199" s="59"/>
      <c r="D199" s="59"/>
      <c r="E199" s="59"/>
      <c r="F199" s="59"/>
      <c r="G199" s="59"/>
      <c r="H199" s="59" t="s">
        <v>272</v>
      </c>
      <c r="I199" s="78">
        <f ca="1">SUM(J197:P197)/-I197</f>
        <v>5.5717328337832077</v>
      </c>
      <c r="J199" s="80"/>
      <c r="K199" s="79"/>
      <c r="L199" s="59"/>
      <c r="M199" s="59"/>
      <c r="N199" s="59"/>
      <c r="O199" s="78"/>
      <c r="P199" s="59"/>
      <c r="Q199" s="87"/>
      <c r="R199" s="59"/>
      <c r="S199" s="75"/>
      <c r="T199" s="87"/>
      <c r="U199" s="86"/>
      <c r="V199" s="86"/>
      <c r="W199" s="63"/>
      <c r="X199" s="74"/>
      <c r="Y199" s="63"/>
      <c r="Z199" s="74"/>
      <c r="AA199" s="59"/>
      <c r="AB199" s="59"/>
      <c r="AC199" s="59"/>
      <c r="AD199" s="59"/>
      <c r="AE199" s="59"/>
      <c r="AF199" s="59"/>
      <c r="AG199" s="59"/>
      <c r="AH199" s="59"/>
      <c r="AI199" s="59"/>
      <c r="AJ199" s="59"/>
    </row>
    <row r="200" spans="1:36" ht="14.75" customHeight="1" x14ac:dyDescent="0.15">
      <c r="A200" s="59"/>
      <c r="B200" s="59"/>
      <c r="C200" s="59"/>
      <c r="D200" s="59"/>
      <c r="E200" s="59"/>
      <c r="F200" s="59"/>
      <c r="G200" s="59"/>
      <c r="H200" s="59"/>
      <c r="I200" s="85"/>
      <c r="K200" s="84"/>
      <c r="L200" s="59"/>
      <c r="M200" s="59"/>
      <c r="N200" s="59"/>
      <c r="O200" s="59"/>
      <c r="P200" s="59"/>
      <c r="Q200" s="59"/>
      <c r="R200" s="59"/>
      <c r="S200" s="59"/>
      <c r="T200" s="59"/>
      <c r="U200" s="59"/>
      <c r="V200" s="59"/>
      <c r="W200" s="59"/>
      <c r="X200" s="59"/>
      <c r="Y200" s="63"/>
      <c r="Z200" s="59"/>
      <c r="AA200" s="59"/>
      <c r="AB200" s="59"/>
      <c r="AC200" s="59"/>
      <c r="AD200" s="59"/>
      <c r="AE200" s="59"/>
      <c r="AF200" s="59"/>
      <c r="AG200" s="59"/>
      <c r="AH200" s="59"/>
      <c r="AI200" s="59"/>
      <c r="AJ200" s="59"/>
    </row>
    <row r="201" spans="1:36" ht="14.75" customHeight="1" x14ac:dyDescent="0.15">
      <c r="A201" s="59"/>
      <c r="B201" s="59"/>
      <c r="C201" s="59"/>
      <c r="D201" s="59"/>
      <c r="E201" s="59"/>
      <c r="F201" s="59"/>
      <c r="G201" s="59" t="s">
        <v>277</v>
      </c>
      <c r="H201" s="59" t="s">
        <v>276</v>
      </c>
      <c r="I201" s="59"/>
      <c r="J201" s="77">
        <f>J197</f>
        <v>48</v>
      </c>
      <c r="K201" s="77">
        <f>IF(SUM($J$201:J201,K197)&gt;-$I$197*1.5,-$I$197*1.5-SUM($J$201:J201),K197)</f>
        <v>48</v>
      </c>
      <c r="L201" s="77">
        <f>IF(SUM($J$201:K201,L197)&gt;-$I$197*1.5,-$I$197*1.5-SUM($J$201:K201),L197)</f>
        <v>48</v>
      </c>
      <c r="M201" s="77">
        <f>IF(SUM($J$201:L201,M197)&gt;-$I$197*1.5,-$I$197*1.5-SUM($J$201:L201),M197)</f>
        <v>48</v>
      </c>
      <c r="N201" s="77">
        <f ca="1">IF(SUM($J$201:M201,N197)&gt;-$I$197*1.5,-$I$197*1.5-SUM($J$201:M201),N197)</f>
        <v>48</v>
      </c>
      <c r="O201" s="77">
        <f ca="1">IF(SUM($J$201:N201,O197)&gt;-$I$197*1.5,-$I$197*1.5-SUM($J$201:N201),O197)</f>
        <v>48</v>
      </c>
      <c r="P201" s="77">
        <f ca="1">IF(SUM($J$201:O201,P197)&gt;-$I$197*1.5,-$I$197*1.5-SUM($J$201:O201),P197)</f>
        <v>0</v>
      </c>
      <c r="Q201" s="76">
        <f ca="1">SUM(J201:P201)</f>
        <v>300</v>
      </c>
      <c r="R201" s="59"/>
      <c r="S201" s="75"/>
      <c r="T201" s="59"/>
      <c r="U201" s="59"/>
      <c r="V201" s="59"/>
      <c r="W201" s="59"/>
      <c r="X201" s="59"/>
      <c r="Y201" s="59"/>
      <c r="Z201" s="59"/>
      <c r="AA201" s="59"/>
      <c r="AB201" s="74"/>
      <c r="AC201" s="74"/>
      <c r="AD201" s="59"/>
      <c r="AE201" s="59"/>
      <c r="AF201" s="59"/>
      <c r="AG201" s="59"/>
      <c r="AH201" s="59"/>
      <c r="AI201" s="59"/>
      <c r="AJ201" s="59"/>
    </row>
    <row r="202" spans="1:36" ht="14.75" customHeight="1" x14ac:dyDescent="0.15">
      <c r="A202" s="59"/>
      <c r="B202" s="59"/>
      <c r="C202" s="59"/>
      <c r="D202" s="59"/>
      <c r="E202" s="59"/>
      <c r="F202" s="59"/>
      <c r="G202" s="59"/>
      <c r="H202" s="59" t="s">
        <v>275</v>
      </c>
      <c r="I202" s="59"/>
      <c r="J202" s="83">
        <f t="shared" ref="J202:P202" si="68">(J197-J201)*0.5</f>
        <v>0</v>
      </c>
      <c r="K202" s="83">
        <f t="shared" si="68"/>
        <v>0</v>
      </c>
      <c r="L202" s="83">
        <f t="shared" si="68"/>
        <v>0</v>
      </c>
      <c r="M202" s="83">
        <f t="shared" si="68"/>
        <v>0</v>
      </c>
      <c r="N202" s="83">
        <f t="shared" ca="1" si="68"/>
        <v>0</v>
      </c>
      <c r="O202" s="83">
        <f t="shared" ca="1" si="68"/>
        <v>0</v>
      </c>
      <c r="P202" s="83">
        <f t="shared" ca="1" si="68"/>
        <v>0</v>
      </c>
      <c r="Q202" s="76">
        <f ca="1">SUM(J202:P202)</f>
        <v>407.17328337832083</v>
      </c>
      <c r="R202" s="59"/>
      <c r="S202" s="75"/>
      <c r="T202" s="59"/>
      <c r="U202" s="59"/>
      <c r="V202" s="59"/>
      <c r="W202" s="59"/>
      <c r="X202" s="59"/>
      <c r="Y202" s="59"/>
      <c r="Z202" s="59"/>
      <c r="AA202" s="59"/>
      <c r="AB202" s="74"/>
      <c r="AC202" s="74"/>
      <c r="AD202" s="59"/>
      <c r="AE202" s="59"/>
      <c r="AF202" s="59"/>
      <c r="AG202" s="59"/>
      <c r="AH202" s="59"/>
      <c r="AI202" s="59"/>
      <c r="AJ202" s="59"/>
    </row>
    <row r="203" spans="1:36" ht="14.75" customHeight="1" x14ac:dyDescent="0.15">
      <c r="A203" s="59"/>
      <c r="B203" s="59"/>
      <c r="C203" s="59"/>
      <c r="D203" s="59"/>
      <c r="E203" s="59"/>
      <c r="F203" s="59"/>
      <c r="G203" s="59"/>
      <c r="H203" s="59" t="s">
        <v>274</v>
      </c>
      <c r="I203" s="82">
        <f>I197</f>
        <v>-400</v>
      </c>
      <c r="J203" s="81">
        <f t="shared" ref="J203:P203" si="69">SUM(J201:J202)</f>
        <v>48</v>
      </c>
      <c r="K203" s="81">
        <f t="shared" si="69"/>
        <v>48</v>
      </c>
      <c r="L203" s="81">
        <f t="shared" si="69"/>
        <v>48</v>
      </c>
      <c r="M203" s="81">
        <f t="shared" si="69"/>
        <v>48</v>
      </c>
      <c r="N203" s="81">
        <f t="shared" ca="1" si="69"/>
        <v>48</v>
      </c>
      <c r="O203" s="81">
        <f t="shared" ca="1" si="69"/>
        <v>48</v>
      </c>
      <c r="P203" s="81">
        <f t="shared" ca="1" si="69"/>
        <v>0</v>
      </c>
      <c r="Q203" s="76">
        <f ca="1">SUM(J203:P203)</f>
        <v>707.17328337832078</v>
      </c>
      <c r="R203" s="59"/>
      <c r="S203" s="75"/>
      <c r="T203" s="59"/>
      <c r="U203" s="59"/>
      <c r="V203" s="59"/>
      <c r="W203" s="59"/>
      <c r="X203" s="59"/>
      <c r="Y203" s="59"/>
      <c r="Z203" s="59"/>
      <c r="AA203" s="59"/>
      <c r="AB203" s="74"/>
      <c r="AC203" s="74"/>
      <c r="AD203" s="59"/>
      <c r="AE203" s="59"/>
      <c r="AF203" s="59"/>
      <c r="AG203" s="59"/>
      <c r="AH203" s="59"/>
      <c r="AI203" s="59"/>
      <c r="AJ203" s="59"/>
    </row>
    <row r="204" spans="1:36" ht="14.75" customHeight="1" x14ac:dyDescent="0.15">
      <c r="A204" s="59"/>
      <c r="B204" s="59"/>
      <c r="C204" s="59"/>
      <c r="D204" s="59"/>
      <c r="E204" s="59"/>
      <c r="F204" s="59"/>
      <c r="G204" s="59"/>
      <c r="H204" s="59" t="s">
        <v>273</v>
      </c>
      <c r="I204" s="63">
        <f ca="1">XIRR(I203:P203,I178:P178)</f>
        <v>0.33928727507591261</v>
      </c>
      <c r="J204" s="80"/>
      <c r="K204" s="79"/>
      <c r="L204" s="59"/>
      <c r="M204" s="59"/>
      <c r="N204" s="59"/>
      <c r="O204" s="59"/>
      <c r="P204" s="59"/>
      <c r="Q204" s="59"/>
      <c r="R204" s="59"/>
      <c r="S204" s="75"/>
      <c r="T204" s="59"/>
      <c r="U204" s="59"/>
      <c r="V204" s="59"/>
      <c r="W204" s="59"/>
      <c r="X204" s="59"/>
      <c r="Y204" s="59"/>
      <c r="Z204" s="59"/>
      <c r="AA204" s="59"/>
      <c r="AB204" s="74"/>
      <c r="AC204" s="74"/>
      <c r="AD204" s="59"/>
      <c r="AE204" s="59"/>
      <c r="AF204" s="59"/>
      <c r="AG204" s="59"/>
      <c r="AH204" s="59"/>
      <c r="AI204" s="59"/>
      <c r="AJ204" s="59"/>
    </row>
    <row r="205" spans="1:36" ht="14.75" customHeight="1" x14ac:dyDescent="0.15">
      <c r="A205" s="59"/>
      <c r="B205" s="59"/>
      <c r="C205" s="59"/>
      <c r="D205" s="59"/>
      <c r="E205" s="59"/>
      <c r="F205" s="59"/>
      <c r="G205" s="59"/>
      <c r="H205" s="59" t="s">
        <v>272</v>
      </c>
      <c r="I205" s="78">
        <f ca="1">SUM(J203:P203)/-I203</f>
        <v>3.5358664168916039</v>
      </c>
      <c r="J205" s="80"/>
      <c r="K205" s="79"/>
      <c r="L205" s="59"/>
      <c r="M205" s="59"/>
      <c r="N205" s="59"/>
      <c r="O205" s="78"/>
      <c r="P205" s="59"/>
      <c r="Q205" s="59"/>
      <c r="R205" s="59"/>
      <c r="S205" s="75"/>
      <c r="T205" s="59"/>
      <c r="U205" s="59"/>
      <c r="V205" s="59"/>
      <c r="W205" s="59"/>
      <c r="X205" s="59"/>
      <c r="Y205" s="59"/>
      <c r="Z205" s="59"/>
      <c r="AA205" s="59"/>
      <c r="AB205" s="74"/>
      <c r="AC205" s="74"/>
      <c r="AD205" s="59"/>
      <c r="AE205" s="59"/>
      <c r="AF205" s="59"/>
      <c r="AG205" s="59"/>
      <c r="AH205" s="59"/>
      <c r="AI205" s="59"/>
      <c r="AJ205" s="59"/>
    </row>
    <row r="206" spans="1:36" ht="14.75" customHeight="1" x14ac:dyDescent="0.15">
      <c r="A206" s="59"/>
      <c r="B206" s="59"/>
      <c r="C206" s="59"/>
      <c r="D206" s="59"/>
      <c r="E206" s="59"/>
      <c r="F206" s="59"/>
      <c r="G206" s="59"/>
      <c r="H206" s="59"/>
      <c r="I206" s="59"/>
      <c r="J206" s="59"/>
      <c r="K206" s="59"/>
      <c r="L206" s="59"/>
      <c r="M206" s="59"/>
      <c r="N206" s="59"/>
      <c r="O206" s="59"/>
      <c r="P206" s="59"/>
      <c r="Q206" s="59"/>
      <c r="R206" s="59"/>
      <c r="S206" s="75"/>
      <c r="T206" s="59"/>
      <c r="U206" s="59"/>
      <c r="V206" s="59"/>
      <c r="W206" s="59"/>
      <c r="X206" s="59"/>
      <c r="Y206" s="59"/>
      <c r="Z206" s="59"/>
      <c r="AA206" s="59"/>
      <c r="AB206" s="74"/>
      <c r="AC206" s="74"/>
      <c r="AD206" s="59"/>
      <c r="AE206" s="59"/>
      <c r="AF206" s="59"/>
      <c r="AG206" s="59"/>
      <c r="AH206" s="59"/>
      <c r="AI206" s="59"/>
      <c r="AJ206" s="59"/>
    </row>
    <row r="207" spans="1:36" ht="14.75" customHeight="1" x14ac:dyDescent="0.15">
      <c r="A207" s="59"/>
      <c r="B207" s="59"/>
      <c r="C207" s="59"/>
      <c r="D207" s="59"/>
      <c r="E207" s="59"/>
      <c r="F207" s="59"/>
      <c r="G207" s="59" t="s">
        <v>271</v>
      </c>
      <c r="H207" s="59"/>
      <c r="J207" s="77">
        <f t="shared" ref="J207:P207" si="70">J197-J203</f>
        <v>0</v>
      </c>
      <c r="K207" s="77">
        <f t="shared" si="70"/>
        <v>0</v>
      </c>
      <c r="L207" s="77">
        <f t="shared" si="70"/>
        <v>0</v>
      </c>
      <c r="M207" s="77">
        <f t="shared" si="70"/>
        <v>0</v>
      </c>
      <c r="N207" s="77">
        <f t="shared" ca="1" si="70"/>
        <v>0</v>
      </c>
      <c r="O207" s="77">
        <f t="shared" ca="1" si="70"/>
        <v>0</v>
      </c>
      <c r="P207" s="77">
        <f t="shared" ca="1" si="70"/>
        <v>0</v>
      </c>
      <c r="Q207" s="76">
        <f ca="1">SUM(J207:P207)</f>
        <v>407.17328337832089</v>
      </c>
      <c r="R207" s="59"/>
      <c r="S207" s="75"/>
      <c r="T207" s="59"/>
      <c r="U207" s="59"/>
      <c r="V207" s="59"/>
      <c r="W207" s="59"/>
      <c r="X207" s="59"/>
      <c r="Y207" s="59"/>
      <c r="Z207" s="59"/>
      <c r="AA207" s="59"/>
      <c r="AB207" s="74"/>
      <c r="AC207" s="74"/>
      <c r="AD207" s="59"/>
      <c r="AE207" s="59"/>
      <c r="AF207" s="59"/>
      <c r="AG207" s="59"/>
      <c r="AH207" s="59"/>
      <c r="AI207" s="59"/>
      <c r="AJ207" s="59"/>
    </row>
    <row r="208" spans="1:36" ht="14.75" customHeight="1" x14ac:dyDescent="0.15">
      <c r="A208" s="59"/>
      <c r="B208" s="59"/>
      <c r="C208" s="59"/>
      <c r="D208" s="59"/>
      <c r="E208" s="59"/>
      <c r="F208" s="59"/>
      <c r="G208" s="59"/>
      <c r="H208" s="59"/>
      <c r="I208" s="59"/>
      <c r="J208" s="59"/>
      <c r="K208" s="59"/>
      <c r="L208" s="59"/>
      <c r="M208" s="59"/>
      <c r="N208" s="59"/>
      <c r="O208" s="59"/>
      <c r="P208" s="59"/>
      <c r="Q208" s="59"/>
      <c r="R208" s="59"/>
      <c r="S208" s="75"/>
      <c r="T208" s="59"/>
      <c r="U208" s="59"/>
      <c r="V208" s="59"/>
      <c r="W208" s="59"/>
      <c r="X208" s="59"/>
      <c r="Y208" s="59"/>
      <c r="Z208" s="59"/>
      <c r="AA208" s="59"/>
      <c r="AB208" s="74"/>
      <c r="AC208" s="74"/>
      <c r="AD208" s="59"/>
      <c r="AE208" s="59"/>
      <c r="AF208" s="59"/>
      <c r="AG208" s="59"/>
      <c r="AH208" s="59"/>
      <c r="AI208" s="59"/>
      <c r="AJ208" s="59"/>
    </row>
    <row r="209" spans="1:36" ht="14.75" customHeight="1" x14ac:dyDescent="0.15">
      <c r="A209" s="59"/>
      <c r="B209" s="59"/>
      <c r="C209" s="59"/>
      <c r="D209" s="59"/>
      <c r="E209" s="59"/>
      <c r="F209" s="59"/>
      <c r="G209" s="59"/>
      <c r="H209" s="59"/>
      <c r="I209" s="59"/>
      <c r="J209" s="59"/>
      <c r="K209" s="59"/>
      <c r="L209" s="59"/>
      <c r="M209" s="59"/>
      <c r="N209" s="59"/>
      <c r="O209" s="59"/>
      <c r="P209" s="59"/>
      <c r="Q209" s="59"/>
      <c r="R209" s="59"/>
      <c r="S209" s="59"/>
      <c r="T209" s="59"/>
      <c r="U209" s="59"/>
      <c r="V209" s="59"/>
      <c r="W209" s="59"/>
      <c r="X209" s="59"/>
      <c r="Y209" s="59"/>
      <c r="Z209" s="59"/>
      <c r="AA209" s="59"/>
      <c r="AB209" s="59"/>
      <c r="AC209" s="59"/>
      <c r="AD209" s="59"/>
      <c r="AE209" s="59"/>
      <c r="AF209" s="59"/>
      <c r="AG209" s="59"/>
      <c r="AH209" s="59"/>
      <c r="AI209" s="59"/>
      <c r="AJ209" s="59"/>
    </row>
    <row r="210" spans="1:36" ht="17" customHeight="1" x14ac:dyDescent="0.3">
      <c r="A210" s="73" t="s">
        <v>270</v>
      </c>
      <c r="B210" s="59"/>
      <c r="C210" s="65" t="s">
        <v>269</v>
      </c>
      <c r="D210" s="65"/>
      <c r="E210" s="65"/>
      <c r="F210" s="65"/>
      <c r="G210" s="72"/>
      <c r="H210" s="72"/>
      <c r="I210" s="72"/>
      <c r="J210" s="72"/>
      <c r="K210" s="72"/>
      <c r="L210" s="72"/>
      <c r="M210" s="72"/>
      <c r="N210" s="72"/>
      <c r="O210" s="72"/>
      <c r="P210" s="72"/>
      <c r="Q210" s="72"/>
      <c r="R210" s="72"/>
      <c r="S210" s="72"/>
      <c r="T210" s="59"/>
      <c r="U210" s="59"/>
      <c r="V210" s="59"/>
      <c r="W210" s="59"/>
      <c r="X210" s="59"/>
      <c r="Y210" s="59"/>
      <c r="Z210" s="59"/>
      <c r="AA210" s="59"/>
      <c r="AB210" s="59"/>
      <c r="AC210" s="59"/>
      <c r="AD210" s="59"/>
      <c r="AE210" s="59"/>
      <c r="AF210" s="59"/>
      <c r="AG210" s="59"/>
      <c r="AH210" s="59"/>
      <c r="AI210" s="59"/>
      <c r="AJ210" s="59"/>
    </row>
    <row r="211" spans="1:36" ht="14.75" customHeight="1" x14ac:dyDescent="0.15">
      <c r="A211" s="59"/>
      <c r="B211" s="59"/>
      <c r="C211" s="59"/>
      <c r="D211" s="59"/>
      <c r="E211" s="59"/>
      <c r="F211" s="59"/>
      <c r="G211" s="59"/>
      <c r="H211" s="59"/>
      <c r="I211" s="59"/>
      <c r="J211" s="71"/>
      <c r="K211" s="59"/>
      <c r="L211" s="59"/>
      <c r="M211" s="59"/>
      <c r="N211" s="59"/>
      <c r="O211" s="59"/>
      <c r="P211" s="59"/>
      <c r="Q211" s="59"/>
      <c r="R211" s="59"/>
      <c r="S211" s="59"/>
      <c r="T211" s="59"/>
      <c r="U211" s="59"/>
      <c r="V211" s="59"/>
      <c r="W211" s="59"/>
      <c r="X211" s="59"/>
      <c r="Y211" s="59"/>
      <c r="Z211" s="59"/>
      <c r="AA211" s="59"/>
      <c r="AB211" s="59"/>
      <c r="AC211" s="59"/>
      <c r="AD211" s="59"/>
      <c r="AE211" s="59"/>
      <c r="AF211" s="59"/>
      <c r="AG211" s="59"/>
      <c r="AH211" s="59"/>
      <c r="AI211" s="59"/>
      <c r="AJ211" s="59"/>
    </row>
    <row r="212" spans="1:36" ht="14.75" customHeight="1" x14ac:dyDescent="0.15">
      <c r="A212" s="59"/>
      <c r="B212" s="59"/>
      <c r="C212" s="59"/>
      <c r="D212" s="59"/>
      <c r="E212" s="59"/>
      <c r="F212" s="59"/>
      <c r="G212" s="59"/>
      <c r="H212" s="59"/>
      <c r="I212" s="59"/>
      <c r="J212" s="71"/>
      <c r="K212" s="59"/>
      <c r="L212" s="59"/>
      <c r="M212" s="59"/>
      <c r="N212" s="59"/>
      <c r="R212" s="59"/>
      <c r="S212" s="59"/>
      <c r="T212" s="59"/>
      <c r="U212" s="59"/>
      <c r="V212" s="59"/>
      <c r="W212" s="59"/>
      <c r="X212" s="59"/>
      <c r="Y212" s="59"/>
      <c r="Z212" s="59"/>
      <c r="AA212" s="59"/>
      <c r="AB212" s="59"/>
      <c r="AC212" s="59"/>
      <c r="AD212" s="59"/>
      <c r="AE212" s="59"/>
      <c r="AF212" s="59"/>
      <c r="AG212" s="59"/>
      <c r="AH212" s="59"/>
      <c r="AI212" s="59"/>
      <c r="AJ212" s="59"/>
    </row>
    <row r="213" spans="1:36" ht="14.75" customHeight="1" x14ac:dyDescent="0.15">
      <c r="A213" s="59"/>
      <c r="B213" s="59"/>
      <c r="C213" s="59"/>
      <c r="D213" s="59"/>
      <c r="E213" s="59"/>
      <c r="F213" s="59"/>
      <c r="G213" s="69">
        <f ca="1">G171</f>
        <v>23201.419890988305</v>
      </c>
      <c r="H213" s="59"/>
      <c r="I213" s="59"/>
      <c r="J213" s="71"/>
      <c r="M213" s="59"/>
      <c r="R213" s="59"/>
      <c r="S213" s="59"/>
      <c r="T213" s="59"/>
      <c r="U213" s="59"/>
      <c r="V213" s="59"/>
      <c r="W213" s="59"/>
      <c r="X213" s="59"/>
      <c r="Y213" s="59"/>
      <c r="Z213" s="59"/>
      <c r="AA213" s="59"/>
      <c r="AB213" s="59"/>
      <c r="AC213" s="59"/>
      <c r="AD213" s="59"/>
      <c r="AE213" s="59"/>
      <c r="AF213" s="59"/>
      <c r="AG213" s="59"/>
      <c r="AH213" s="59"/>
      <c r="AI213" s="59"/>
      <c r="AJ213" s="59"/>
    </row>
    <row r="214" spans="1:36" ht="14.75" customHeight="1" x14ac:dyDescent="0.15">
      <c r="A214" s="59"/>
      <c r="B214" s="59"/>
      <c r="C214" s="59"/>
      <c r="D214" s="59"/>
      <c r="E214" s="59"/>
      <c r="F214" s="59"/>
      <c r="G214" s="69">
        <f>+G219</f>
        <v>1586.8520000000003</v>
      </c>
      <c r="H214" s="59"/>
      <c r="I214" s="59"/>
      <c r="J214" s="71"/>
      <c r="M214" s="59"/>
      <c r="R214" s="59"/>
      <c r="S214" s="59"/>
      <c r="T214" s="59"/>
      <c r="U214" s="59"/>
      <c r="V214" s="59"/>
      <c r="W214" s="59"/>
      <c r="X214" s="59"/>
      <c r="Y214" s="59"/>
      <c r="Z214" s="59"/>
      <c r="AA214" s="59"/>
      <c r="AB214" s="59"/>
      <c r="AC214" s="59"/>
      <c r="AD214" s="59"/>
      <c r="AE214" s="59"/>
      <c r="AF214" s="59"/>
      <c r="AG214" s="59"/>
      <c r="AH214" s="59"/>
      <c r="AI214" s="59"/>
      <c r="AJ214" s="59"/>
    </row>
    <row r="215" spans="1:36" ht="14.75" customHeight="1" x14ac:dyDescent="0.15">
      <c r="A215" s="59"/>
      <c r="B215" s="59"/>
      <c r="C215" s="59"/>
      <c r="D215" s="59"/>
      <c r="E215" s="59"/>
      <c r="F215" s="59"/>
      <c r="G215" s="62">
        <f ca="1">SUM(G213:G214)</f>
        <v>25161.419890988305</v>
      </c>
      <c r="H215" s="59"/>
      <c r="I215" s="59"/>
      <c r="J215" s="71"/>
      <c r="M215" s="59"/>
      <c r="R215" s="59"/>
      <c r="S215" s="59"/>
      <c r="T215" s="59"/>
      <c r="U215" s="59"/>
      <c r="V215" s="59"/>
      <c r="W215" s="59"/>
      <c r="X215" s="59"/>
      <c r="Y215" s="59"/>
      <c r="Z215" s="59"/>
      <c r="AA215" s="59"/>
      <c r="AB215" s="59"/>
      <c r="AC215" s="59"/>
      <c r="AD215" s="59"/>
      <c r="AE215" s="59"/>
      <c r="AF215" s="59"/>
      <c r="AG215" s="59"/>
      <c r="AH215" s="59"/>
      <c r="AI215" s="59"/>
      <c r="AJ215" s="59"/>
    </row>
    <row r="216" spans="1:36" ht="14.75" customHeight="1" x14ac:dyDescent="0.15">
      <c r="A216" s="59"/>
      <c r="B216" s="59"/>
      <c r="C216" s="59"/>
      <c r="D216" s="59"/>
      <c r="E216" s="59"/>
      <c r="F216" s="59"/>
      <c r="G216" s="59"/>
      <c r="H216" s="59"/>
      <c r="I216" s="59"/>
      <c r="J216" s="71"/>
      <c r="M216" s="59"/>
      <c r="O216" s="59"/>
      <c r="P216" s="59"/>
      <c r="Q216" s="59"/>
      <c r="R216" s="59"/>
      <c r="S216" s="59"/>
      <c r="T216" s="59"/>
      <c r="U216" s="59"/>
      <c r="V216" s="59"/>
      <c r="W216" s="59"/>
      <c r="X216" s="59"/>
      <c r="Y216" s="59"/>
      <c r="Z216" s="59"/>
      <c r="AA216" s="59"/>
      <c r="AB216" s="59"/>
      <c r="AC216" s="59"/>
      <c r="AD216" s="59"/>
      <c r="AE216" s="59"/>
      <c r="AF216" s="59"/>
      <c r="AG216" s="59"/>
      <c r="AH216" s="59"/>
      <c r="AI216" s="59"/>
      <c r="AJ216" s="59"/>
    </row>
    <row r="217" spans="1:36" ht="14.75" customHeight="1" x14ac:dyDescent="0.15">
      <c r="A217" s="59"/>
      <c r="B217" s="59"/>
      <c r="C217" s="59" t="s">
        <v>266</v>
      </c>
      <c r="D217" s="59"/>
      <c r="E217" s="59"/>
      <c r="F217" s="59"/>
      <c r="G217" s="69">
        <f>HLOOKUP(EXIT_DATE,$J$128:$P$156,O217,FALSE)</f>
        <v>1346.8520000000003</v>
      </c>
      <c r="H217" s="61">
        <f>HLOOKUP(EXIT_DATE,$J$128:$P$156,P217,FALSE)</f>
        <v>1068.1502395076614</v>
      </c>
      <c r="I217" s="64">
        <f>+G217/H217</f>
        <v>1.26092</v>
      </c>
      <c r="J217" s="71"/>
      <c r="K217" s="69">
        <f>G217</f>
        <v>1346.8520000000003</v>
      </c>
      <c r="L217" s="61">
        <f>H217</f>
        <v>1068.1502395076614</v>
      </c>
      <c r="M217" s="64">
        <f>+K217/L217</f>
        <v>1.26092</v>
      </c>
      <c r="O217" s="70">
        <f>+A152</f>
        <v>25</v>
      </c>
      <c r="P217" s="70">
        <f>+A143</f>
        <v>16</v>
      </c>
      <c r="Q217" s="59"/>
      <c r="R217" s="59"/>
      <c r="S217" s="59"/>
      <c r="T217" s="59"/>
      <c r="U217" s="59"/>
      <c r="V217" s="59"/>
      <c r="W217" s="59"/>
      <c r="X217" s="59"/>
      <c r="Y217" s="59"/>
      <c r="Z217" s="59"/>
      <c r="AA217" s="59"/>
      <c r="AB217" s="59"/>
      <c r="AC217" s="59"/>
      <c r="AD217" s="59"/>
      <c r="AE217" s="59"/>
      <c r="AF217" s="59"/>
      <c r="AG217" s="59"/>
      <c r="AH217" s="59"/>
      <c r="AI217" s="59"/>
      <c r="AJ217" s="59"/>
    </row>
    <row r="218" spans="1:36" ht="14.75" customHeight="1" x14ac:dyDescent="0.15">
      <c r="A218" s="59"/>
      <c r="B218" s="59"/>
      <c r="C218" s="59" t="s">
        <v>265</v>
      </c>
      <c r="D218" s="59"/>
      <c r="E218" s="59"/>
      <c r="F218" s="59"/>
      <c r="G218" s="69">
        <f>HLOOKUP(EXIT_DATE,$J$128:$P$156,O218,FALSE)</f>
        <v>240</v>
      </c>
      <c r="H218" s="61">
        <f>HLOOKUP(EXIT_DATE,$J$128:$P$156,P218,FALSE)</f>
        <v>190.33721409764297</v>
      </c>
      <c r="I218" s="64">
        <f>+G218/H218</f>
        <v>1.26092</v>
      </c>
      <c r="J218" s="59"/>
      <c r="K218" s="69">
        <f>G218</f>
        <v>240</v>
      </c>
      <c r="L218" s="61">
        <f>H218</f>
        <v>190.33721409764297</v>
      </c>
      <c r="M218" s="64">
        <f>+K218/L218</f>
        <v>1.26092</v>
      </c>
      <c r="O218" s="70">
        <f>+A153</f>
        <v>26</v>
      </c>
      <c r="P218" s="70">
        <f>+A144</f>
        <v>17</v>
      </c>
      <c r="Q218" s="59"/>
      <c r="R218" s="59"/>
      <c r="S218" s="59"/>
      <c r="T218" s="59"/>
      <c r="U218" s="59"/>
      <c r="V218" s="59"/>
      <c r="W218" s="59"/>
      <c r="X218" s="59"/>
      <c r="Y218" s="59"/>
      <c r="Z218" s="59"/>
      <c r="AA218" s="59"/>
      <c r="AB218" s="59"/>
      <c r="AC218" s="59"/>
      <c r="AD218" s="59"/>
      <c r="AE218" s="59"/>
      <c r="AF218" s="59"/>
      <c r="AG218" s="59"/>
      <c r="AH218" s="59"/>
      <c r="AI218" s="59"/>
      <c r="AJ218" s="59"/>
    </row>
    <row r="219" spans="1:36" ht="14.75" customHeight="1" x14ac:dyDescent="0.15">
      <c r="A219" s="59"/>
      <c r="B219" s="59"/>
      <c r="C219" s="67" t="s">
        <v>268</v>
      </c>
      <c r="D219" s="59"/>
      <c r="E219" s="59"/>
      <c r="F219" s="59"/>
      <c r="G219" s="62">
        <f>SUM(G217:G218)</f>
        <v>1586.8520000000003</v>
      </c>
      <c r="H219" s="66">
        <f>SUM(H217:H218)</f>
        <v>1258.4874536053044</v>
      </c>
      <c r="I219" s="58">
        <f>+G219/H219</f>
        <v>1.26092</v>
      </c>
      <c r="J219" s="59"/>
      <c r="K219" s="62">
        <f>SUM(K217:K218)</f>
        <v>1586.8520000000003</v>
      </c>
      <c r="L219" s="66">
        <f>SUM(L217:L218)</f>
        <v>1258.4874536053044</v>
      </c>
      <c r="M219" s="58">
        <f>+K219/L219</f>
        <v>1.26092</v>
      </c>
      <c r="N219" s="59"/>
      <c r="O219" s="59"/>
      <c r="P219" s="59"/>
      <c r="Q219" s="59"/>
      <c r="R219" s="59"/>
      <c r="S219" s="59"/>
      <c r="T219" s="59"/>
      <c r="U219" s="59"/>
      <c r="V219" s="59"/>
      <c r="W219" s="59"/>
      <c r="X219" s="59"/>
      <c r="Y219" s="59"/>
      <c r="Z219" s="59"/>
      <c r="AA219" s="59"/>
      <c r="AB219" s="59"/>
      <c r="AC219" s="59"/>
      <c r="AD219" s="59"/>
      <c r="AE219" s="59"/>
      <c r="AF219" s="59"/>
      <c r="AG219" s="59"/>
      <c r="AH219" s="59"/>
      <c r="AI219" s="59"/>
      <c r="AJ219" s="59"/>
    </row>
    <row r="220" spans="1:36" ht="14.75" customHeight="1" x14ac:dyDescent="0.15">
      <c r="A220" s="59"/>
      <c r="B220" s="59"/>
      <c r="C220" s="59"/>
      <c r="D220" s="59"/>
      <c r="E220" s="59"/>
      <c r="F220" s="59"/>
      <c r="G220" s="59"/>
      <c r="H220" s="59"/>
      <c r="I220" s="59"/>
      <c r="J220" s="59"/>
      <c r="K220" s="59"/>
      <c r="L220" s="59"/>
      <c r="M220" s="59"/>
      <c r="N220" s="59"/>
      <c r="O220" s="59"/>
      <c r="P220" s="59"/>
      <c r="Q220" s="59"/>
      <c r="R220" s="59"/>
      <c r="S220" s="59"/>
      <c r="T220" s="59"/>
      <c r="U220" s="59"/>
      <c r="V220" s="59"/>
      <c r="W220" s="59"/>
      <c r="X220" s="59"/>
      <c r="Y220" s="59"/>
      <c r="Z220" s="59"/>
      <c r="AA220" s="59"/>
      <c r="AB220" s="59"/>
      <c r="AC220" s="59"/>
      <c r="AD220" s="59"/>
      <c r="AE220" s="59"/>
      <c r="AF220" s="59"/>
      <c r="AG220" s="59"/>
      <c r="AH220" s="59"/>
      <c r="AI220" s="59"/>
      <c r="AJ220" s="59"/>
    </row>
    <row r="221" spans="1:36" ht="14.75" customHeight="1" x14ac:dyDescent="0.15">
      <c r="A221" s="59"/>
      <c r="B221" s="59"/>
      <c r="C221" s="59"/>
      <c r="D221" s="59"/>
      <c r="E221" s="59"/>
      <c r="F221" s="59"/>
      <c r="G221" s="69">
        <f ca="1">G215-G219</f>
        <v>23201.419890988305</v>
      </c>
      <c r="H221" s="59"/>
      <c r="I221" s="59"/>
      <c r="J221" s="59"/>
      <c r="K221" s="59"/>
      <c r="L221" s="59"/>
      <c r="M221" s="59"/>
      <c r="N221" s="59"/>
      <c r="O221" s="59"/>
      <c r="P221" s="59"/>
      <c r="Q221" s="59"/>
      <c r="R221" s="59"/>
      <c r="S221" s="59"/>
      <c r="T221" s="59"/>
      <c r="U221" s="59"/>
      <c r="V221" s="59"/>
      <c r="W221" s="59"/>
      <c r="X221" s="59"/>
      <c r="Y221" s="59"/>
      <c r="Z221" s="59"/>
      <c r="AA221" s="59"/>
      <c r="AB221" s="59"/>
      <c r="AC221" s="59"/>
      <c r="AD221" s="59"/>
      <c r="AE221" s="59"/>
      <c r="AF221" s="59"/>
      <c r="AG221" s="59"/>
      <c r="AH221" s="59"/>
      <c r="AI221" s="59"/>
      <c r="AJ221" s="59"/>
    </row>
    <row r="222" spans="1:36" ht="14.75" customHeight="1" x14ac:dyDescent="0.15">
      <c r="A222" s="59"/>
      <c r="B222" s="59"/>
      <c r="C222" s="59"/>
      <c r="D222" s="59"/>
      <c r="E222" s="59"/>
      <c r="F222" s="59"/>
      <c r="G222" s="59"/>
      <c r="H222" s="59"/>
      <c r="I222" s="59"/>
      <c r="J222" s="59"/>
      <c r="K222" s="59"/>
      <c r="L222" s="59"/>
      <c r="M222" s="59"/>
      <c r="N222" s="59"/>
      <c r="O222" s="59"/>
      <c r="P222" s="59"/>
      <c r="Q222" s="59"/>
      <c r="R222" s="59"/>
      <c r="S222" s="59"/>
      <c r="T222" s="59"/>
      <c r="U222" s="59"/>
      <c r="V222" s="59"/>
      <c r="W222" s="59"/>
      <c r="X222" s="59"/>
      <c r="Y222" s="59"/>
      <c r="Z222" s="59"/>
      <c r="AA222" s="59"/>
      <c r="AB222" s="59"/>
      <c r="AC222" s="59"/>
      <c r="AD222" s="59"/>
      <c r="AE222" s="59"/>
      <c r="AF222" s="59"/>
      <c r="AG222" s="59"/>
      <c r="AH222" s="59"/>
      <c r="AI222" s="59"/>
      <c r="AJ222" s="59"/>
    </row>
    <row r="223" spans="1:36" ht="14.75" customHeight="1" x14ac:dyDescent="0.15">
      <c r="A223" s="59"/>
      <c r="B223" s="59"/>
      <c r="C223" s="59" t="s">
        <v>266</v>
      </c>
      <c r="D223" s="59"/>
      <c r="E223" s="59"/>
      <c r="F223" s="59"/>
      <c r="G223" s="69"/>
      <c r="H223" s="61">
        <f>+H217</f>
        <v>1068.1502395076614</v>
      </c>
      <c r="I223" s="64"/>
      <c r="J223" s="59"/>
      <c r="K223" s="69">
        <f>SUM(G217,G223)</f>
        <v>1346.8520000000003</v>
      </c>
      <c r="L223" s="61">
        <f>H223</f>
        <v>1068.1502395076614</v>
      </c>
      <c r="M223" s="64">
        <f>+K223/L223</f>
        <v>1.26092</v>
      </c>
      <c r="N223" s="59"/>
      <c r="O223" s="64">
        <f>+O233</f>
        <v>3.1523000000000003</v>
      </c>
      <c r="P223" s="59"/>
      <c r="Q223" s="59"/>
      <c r="R223" s="59"/>
      <c r="S223" s="59"/>
      <c r="T223" s="59"/>
      <c r="U223" s="59"/>
      <c r="V223" s="59"/>
      <c r="W223" s="59"/>
      <c r="X223" s="59"/>
      <c r="Y223" s="59"/>
      <c r="Z223" s="59"/>
      <c r="AA223" s="59"/>
      <c r="AB223" s="59"/>
      <c r="AC223" s="59"/>
      <c r="AD223" s="59"/>
      <c r="AE223" s="59"/>
      <c r="AF223" s="59"/>
      <c r="AG223" s="59"/>
      <c r="AH223" s="59"/>
      <c r="AI223" s="59"/>
      <c r="AJ223" s="59"/>
    </row>
    <row r="224" spans="1:36" ht="14.75" customHeight="1" x14ac:dyDescent="0.15">
      <c r="A224" s="59"/>
      <c r="B224" s="59"/>
      <c r="C224" s="59" t="s">
        <v>265</v>
      </c>
      <c r="D224" s="59"/>
      <c r="E224" s="59"/>
      <c r="F224" s="59"/>
      <c r="G224" s="69"/>
      <c r="H224" s="61">
        <f>+H218</f>
        <v>190.33721409764297</v>
      </c>
      <c r="I224" s="64"/>
      <c r="J224" s="59"/>
      <c r="K224" s="69">
        <f>SUM(G218,G224)</f>
        <v>240</v>
      </c>
      <c r="L224" s="61">
        <f>H224</f>
        <v>190.33721409764297</v>
      </c>
      <c r="M224" s="64">
        <f>+K224/L224</f>
        <v>1.26092</v>
      </c>
      <c r="O224" s="68">
        <f>+P233</f>
        <v>0</v>
      </c>
      <c r="Q224" s="59"/>
      <c r="R224" s="59"/>
      <c r="S224" s="59"/>
      <c r="T224" s="59"/>
      <c r="U224" s="59"/>
      <c r="V224" s="59"/>
      <c r="W224" s="59"/>
      <c r="X224" s="59"/>
      <c r="Y224" s="59"/>
      <c r="Z224" s="59"/>
      <c r="AA224" s="59"/>
      <c r="AB224" s="59"/>
      <c r="AC224" s="59"/>
      <c r="AD224" s="59"/>
      <c r="AE224" s="59"/>
      <c r="AF224" s="59"/>
      <c r="AG224" s="59"/>
      <c r="AH224" s="59"/>
      <c r="AI224" s="59"/>
      <c r="AJ224" s="59"/>
    </row>
    <row r="225" spans="1:36" ht="14.75" customHeight="1" x14ac:dyDescent="0.15">
      <c r="A225" s="59"/>
      <c r="B225" s="59"/>
      <c r="C225" s="67" t="s">
        <v>267</v>
      </c>
      <c r="D225" s="59"/>
      <c r="E225" s="59"/>
      <c r="F225" s="59"/>
      <c r="G225" s="62">
        <f>SUM(G223:G224)</f>
        <v>0</v>
      </c>
      <c r="H225" s="66">
        <f>SUM(H223:H224)</f>
        <v>1258.4874536053044</v>
      </c>
      <c r="I225" s="58">
        <f>+G225/H225</f>
        <v>0</v>
      </c>
      <c r="J225" s="59"/>
      <c r="K225" s="62">
        <f>SUM(K223:K224)</f>
        <v>1586.8520000000003</v>
      </c>
      <c r="L225" s="66">
        <f>SUM(L223:L224)</f>
        <v>1258.4874536053044</v>
      </c>
      <c r="M225" s="58">
        <f>+K225/L225</f>
        <v>1.26092</v>
      </c>
      <c r="Q225" s="59"/>
      <c r="R225" s="59"/>
      <c r="S225" s="59"/>
      <c r="T225" s="59"/>
      <c r="U225" s="59"/>
      <c r="V225" s="59"/>
      <c r="W225" s="59"/>
      <c r="X225" s="59"/>
      <c r="Y225" s="59"/>
      <c r="Z225" s="59"/>
      <c r="AA225" s="59"/>
      <c r="AB225" s="59"/>
      <c r="AC225" s="59"/>
      <c r="AD225" s="59"/>
      <c r="AE225" s="59"/>
      <c r="AF225" s="59"/>
      <c r="AG225" s="59"/>
      <c r="AH225" s="59"/>
      <c r="AI225" s="59"/>
      <c r="AJ225" s="59"/>
    </row>
    <row r="226" spans="1:36" ht="17" customHeight="1" x14ac:dyDescent="0.3">
      <c r="A226" s="59"/>
      <c r="B226" s="59"/>
      <c r="C226" s="59"/>
      <c r="D226" s="59"/>
      <c r="E226" s="59"/>
      <c r="F226" s="59"/>
      <c r="G226" s="59"/>
      <c r="H226" s="59"/>
      <c r="I226" s="59"/>
      <c r="J226" s="59"/>
      <c r="O226" s="65" t="s">
        <v>266</v>
      </c>
      <c r="P226" s="65" t="s">
        <v>265</v>
      </c>
      <c r="Q226" s="65" t="s">
        <v>50</v>
      </c>
      <c r="R226" s="59"/>
      <c r="S226" s="59"/>
      <c r="T226" s="59"/>
      <c r="U226" s="59"/>
      <c r="V226" s="59"/>
      <c r="W226" s="59"/>
      <c r="X226" s="59"/>
      <c r="Y226" s="59"/>
      <c r="Z226" s="59"/>
      <c r="AA226" s="59"/>
      <c r="AB226" s="59"/>
      <c r="AC226" s="59"/>
      <c r="AD226" s="59"/>
      <c r="AE226" s="59"/>
      <c r="AF226" s="59"/>
      <c r="AG226" s="59"/>
      <c r="AH226" s="59"/>
      <c r="AI226" s="59"/>
      <c r="AJ226" s="59"/>
    </row>
    <row r="227" spans="1:36" ht="14.75" customHeight="1" x14ac:dyDescent="0.15">
      <c r="A227" s="59"/>
      <c r="B227" s="59"/>
      <c r="C227" s="59"/>
      <c r="D227" s="59"/>
      <c r="E227" s="59"/>
      <c r="F227" s="59"/>
      <c r="G227" s="59"/>
      <c r="H227" s="59"/>
      <c r="I227" s="59"/>
      <c r="J227" s="59"/>
      <c r="O227" s="61">
        <f>E33</f>
        <v>1068.1502395076614</v>
      </c>
      <c r="P227" s="61">
        <f>+F33</f>
        <v>190.33721409764297</v>
      </c>
      <c r="Q227" s="61">
        <f>SUM(O227:P227)</f>
        <v>1258.4874536053044</v>
      </c>
      <c r="R227" s="59"/>
      <c r="S227" s="59"/>
      <c r="T227" s="59"/>
      <c r="U227" s="59"/>
      <c r="V227" s="59"/>
      <c r="W227" s="59"/>
      <c r="X227" s="59"/>
      <c r="Y227" s="59"/>
      <c r="Z227" s="59"/>
      <c r="AA227" s="59"/>
      <c r="AB227" s="59"/>
      <c r="AC227" s="59"/>
      <c r="AD227" s="59"/>
      <c r="AE227" s="59"/>
      <c r="AF227" s="59"/>
      <c r="AG227" s="59"/>
      <c r="AH227" s="59"/>
      <c r="AI227" s="59"/>
      <c r="AJ227" s="59"/>
    </row>
    <row r="228" spans="1:36" ht="14.75" customHeight="1" x14ac:dyDescent="0.15">
      <c r="A228" s="59"/>
      <c r="B228" s="59"/>
      <c r="C228" s="59"/>
      <c r="D228" s="59"/>
      <c r="E228" s="59"/>
      <c r="F228" s="59"/>
      <c r="G228" s="59"/>
      <c r="H228" s="59"/>
      <c r="I228" s="59"/>
      <c r="J228" s="59"/>
      <c r="O228" s="64">
        <f>+$G$13</f>
        <v>3.1523000000000003</v>
      </c>
      <c r="P228" s="64">
        <f>+O228</f>
        <v>3.1523000000000003</v>
      </c>
      <c r="Q228" s="59"/>
      <c r="R228" s="59"/>
      <c r="S228" s="59"/>
      <c r="T228" s="59"/>
      <c r="U228" s="59"/>
      <c r="V228" s="59"/>
      <c r="W228" s="59"/>
      <c r="X228" s="59"/>
      <c r="Y228" s="59"/>
      <c r="Z228" s="59"/>
      <c r="AA228" s="59"/>
      <c r="AB228" s="59"/>
      <c r="AC228" s="59"/>
      <c r="AD228" s="59"/>
      <c r="AE228" s="59"/>
      <c r="AF228" s="59"/>
      <c r="AG228" s="59"/>
      <c r="AH228" s="59"/>
      <c r="AI228" s="59"/>
      <c r="AJ228" s="59"/>
    </row>
    <row r="229" spans="1:36" ht="14.75" customHeight="1" x14ac:dyDescent="0.15">
      <c r="A229" s="59"/>
      <c r="B229" s="59"/>
      <c r="C229" s="59"/>
      <c r="D229" s="59"/>
      <c r="E229" s="59"/>
      <c r="F229" s="59"/>
      <c r="G229" s="59"/>
      <c r="H229" s="59"/>
      <c r="I229" s="59"/>
      <c r="J229" s="59"/>
      <c r="K229" s="63"/>
      <c r="L229" s="59"/>
      <c r="M229" s="59"/>
      <c r="N229" s="59"/>
      <c r="O229" s="62">
        <f>+O227*O228</f>
        <v>3367.130000000001</v>
      </c>
      <c r="P229" s="62">
        <f>+P227*P228</f>
        <v>600</v>
      </c>
      <c r="Q229" s="62">
        <f>SUM(O229:P229)</f>
        <v>3967.130000000001</v>
      </c>
      <c r="R229" s="59"/>
      <c r="S229" s="59"/>
      <c r="T229" s="59"/>
      <c r="U229" s="59"/>
      <c r="V229" s="59"/>
      <c r="W229" s="59"/>
      <c r="X229" s="59"/>
      <c r="Y229" s="59"/>
      <c r="Z229" s="59"/>
      <c r="AA229" s="59"/>
      <c r="AB229" s="59"/>
      <c r="AC229" s="59"/>
      <c r="AD229" s="59"/>
      <c r="AE229" s="59"/>
      <c r="AF229" s="59"/>
      <c r="AG229" s="59"/>
      <c r="AH229" s="59"/>
      <c r="AI229" s="59"/>
      <c r="AJ229" s="59"/>
    </row>
    <row r="230" spans="1:36" ht="14.75" customHeight="1" x14ac:dyDescent="0.15">
      <c r="A230" s="59"/>
      <c r="B230" s="59"/>
      <c r="C230" s="59"/>
      <c r="D230" s="59"/>
      <c r="E230" s="59"/>
      <c r="F230" s="59"/>
      <c r="G230" s="59"/>
      <c r="H230" s="59"/>
      <c r="I230" s="59"/>
      <c r="J230" s="59"/>
      <c r="K230" s="59"/>
      <c r="L230" s="59"/>
      <c r="M230" s="59"/>
      <c r="N230" s="59"/>
      <c r="O230" s="61">
        <f>H217</f>
        <v>1068.1502395076614</v>
      </c>
      <c r="P230" s="61">
        <f>+H218</f>
        <v>190.33721409764297</v>
      </c>
      <c r="Q230" s="61">
        <f>SUM(O230:P230)</f>
        <v>1258.4874536053044</v>
      </c>
      <c r="R230" s="59"/>
      <c r="S230" s="59"/>
      <c r="T230" s="59"/>
      <c r="U230" s="59"/>
      <c r="V230" s="59"/>
      <c r="W230" s="59"/>
      <c r="X230" s="59"/>
      <c r="Y230" s="59"/>
      <c r="Z230" s="59"/>
      <c r="AA230" s="59"/>
      <c r="AB230" s="59"/>
      <c r="AC230" s="59"/>
      <c r="AD230" s="59"/>
      <c r="AE230" s="59"/>
      <c r="AF230" s="59"/>
      <c r="AG230" s="59"/>
      <c r="AH230" s="59"/>
      <c r="AI230" s="59"/>
      <c r="AJ230" s="59"/>
    </row>
    <row r="231" spans="1:36" ht="14.75" customHeight="1" x14ac:dyDescent="0.15">
      <c r="A231" s="59"/>
      <c r="B231" s="59"/>
      <c r="C231" s="59"/>
      <c r="D231" s="59"/>
      <c r="E231" s="59"/>
      <c r="F231" s="59"/>
      <c r="G231" s="59"/>
      <c r="H231" s="59"/>
      <c r="I231" s="59"/>
      <c r="J231" s="59"/>
      <c r="K231" s="59"/>
      <c r="L231" s="59"/>
      <c r="M231" s="59"/>
      <c r="N231" s="59"/>
      <c r="O231" s="58">
        <f>O229/O230</f>
        <v>3.1523000000000003</v>
      </c>
      <c r="P231" s="58">
        <f>P229/P230</f>
        <v>3.1523000000000003</v>
      </c>
      <c r="Q231" s="58">
        <f>Q229/Q230</f>
        <v>3.1522999999999999</v>
      </c>
      <c r="R231" s="59"/>
      <c r="S231" s="59"/>
      <c r="T231" s="59"/>
      <c r="U231" s="59"/>
      <c r="V231" s="59"/>
      <c r="W231" s="59"/>
      <c r="X231" s="59"/>
      <c r="Y231" s="59"/>
      <c r="Z231" s="59"/>
      <c r="AA231" s="59"/>
      <c r="AB231" s="59"/>
      <c r="AC231" s="59"/>
      <c r="AD231" s="59"/>
      <c r="AE231" s="59"/>
      <c r="AF231" s="59"/>
      <c r="AG231" s="59"/>
      <c r="AH231" s="59"/>
      <c r="AI231" s="59"/>
      <c r="AJ231" s="59"/>
    </row>
    <row r="232" spans="1:36" ht="14.75" customHeight="1" x14ac:dyDescent="0.15">
      <c r="A232" s="59"/>
      <c r="B232" s="59"/>
      <c r="C232" s="59"/>
      <c r="D232" s="59"/>
      <c r="E232" s="59"/>
      <c r="F232" s="59"/>
      <c r="G232" s="59"/>
      <c r="H232" s="59"/>
      <c r="I232" s="59"/>
      <c r="J232" s="59"/>
      <c r="K232" s="59"/>
      <c r="L232" s="59"/>
      <c r="M232" s="59"/>
      <c r="N232" s="59"/>
      <c r="O232" s="60">
        <f>+AA35</f>
        <v>1</v>
      </c>
      <c r="P232" s="60">
        <f>+AB35</f>
        <v>0</v>
      </c>
      <c r="Q232" s="59"/>
      <c r="R232" s="59"/>
      <c r="S232" s="59"/>
      <c r="T232" s="59"/>
      <c r="U232" s="59"/>
      <c r="V232" s="59"/>
      <c r="W232" s="59"/>
      <c r="X232" s="59"/>
      <c r="Y232" s="59"/>
      <c r="Z232" s="59"/>
      <c r="AA232" s="59"/>
      <c r="AB232" s="59"/>
      <c r="AC232" s="59"/>
      <c r="AD232" s="59"/>
      <c r="AE232" s="59"/>
      <c r="AF232" s="59"/>
      <c r="AG232" s="59"/>
      <c r="AH232" s="59"/>
      <c r="AI232" s="59"/>
      <c r="AJ232" s="59"/>
    </row>
    <row r="233" spans="1:36" ht="14.75" customHeight="1" x14ac:dyDescent="0.15">
      <c r="O233" s="58">
        <f>O231*O232</f>
        <v>3.1523000000000003</v>
      </c>
      <c r="P233" s="58">
        <f>P231*P232</f>
        <v>0</v>
      </c>
      <c r="Q233" s="57"/>
    </row>
    <row r="234" spans="1:36" ht="14.75" customHeight="1" x14ac:dyDescent="0.15"/>
    <row r="235" spans="1:36" ht="14.75" customHeight="1" x14ac:dyDescent="0.15"/>
    <row r="236" spans="1:36" ht="14.75" customHeight="1" x14ac:dyDescent="0.15"/>
    <row r="237" spans="1:36" ht="14.75" customHeight="1" x14ac:dyDescent="0.15"/>
    <row r="238" spans="1:36" ht="14.75" customHeight="1" x14ac:dyDescent="0.15"/>
    <row r="239" spans="1:36" ht="14.75" customHeight="1" x14ac:dyDescent="0.15"/>
    <row r="240" spans="1:36" ht="14.75" customHeight="1" x14ac:dyDescent="0.15"/>
    <row r="241" ht="14.75" customHeight="1" x14ac:dyDescent="0.15"/>
    <row r="242" ht="14.75" customHeight="1" x14ac:dyDescent="0.15"/>
    <row r="243" ht="14.75" customHeight="1" x14ac:dyDescent="0.15"/>
    <row r="244" ht="14.75" customHeight="1" x14ac:dyDescent="0.15"/>
    <row r="245" ht="14.75" customHeight="1" x14ac:dyDescent="0.15"/>
    <row r="246" ht="14.75" customHeight="1" x14ac:dyDescent="0.15"/>
    <row r="247" ht="14.75" customHeight="1" x14ac:dyDescent="0.15"/>
    <row r="248" ht="14.75" customHeight="1" x14ac:dyDescent="0.15"/>
    <row r="249" ht="14.75" customHeight="1" x14ac:dyDescent="0.15"/>
    <row r="250" ht="14.75" customHeight="1" x14ac:dyDescent="0.15"/>
    <row r="251" ht="14.75" customHeight="1" x14ac:dyDescent="0.15"/>
    <row r="252" ht="14.75" customHeight="1" x14ac:dyDescent="0.15"/>
    <row r="253" ht="14.75" customHeight="1" x14ac:dyDescent="0.15"/>
    <row r="254" ht="14.75" customHeight="1" x14ac:dyDescent="0.15"/>
    <row r="255" ht="14.75" customHeight="1" x14ac:dyDescent="0.15"/>
    <row r="256" ht="14.75" customHeight="1" x14ac:dyDescent="0.15"/>
    <row r="257" ht="14.75" customHeight="1" x14ac:dyDescent="0.15"/>
    <row r="258" ht="14.75" customHeight="1" x14ac:dyDescent="0.15"/>
    <row r="259" ht="14.75" customHeight="1" x14ac:dyDescent="0.15"/>
    <row r="260" ht="14.75" customHeight="1" x14ac:dyDescent="0.15"/>
    <row r="261" ht="14.75" customHeight="1" x14ac:dyDescent="0.15"/>
    <row r="262" ht="14.75" customHeight="1" x14ac:dyDescent="0.15"/>
    <row r="263" ht="14.75" customHeight="1" x14ac:dyDescent="0.15"/>
    <row r="264" ht="14.75" customHeight="1" x14ac:dyDescent="0.15"/>
    <row r="265" ht="14.75" customHeight="1" x14ac:dyDescent="0.15"/>
    <row r="266" ht="14.75" customHeight="1" x14ac:dyDescent="0.15"/>
    <row r="267" ht="14.75" customHeight="1" x14ac:dyDescent="0.15"/>
    <row r="268" ht="14.75" customHeight="1" x14ac:dyDescent="0.15"/>
    <row r="269" ht="14.75" customHeight="1" x14ac:dyDescent="0.15"/>
    <row r="270" ht="14.75" customHeight="1" x14ac:dyDescent="0.15"/>
    <row r="271" ht="14.75" customHeight="1" x14ac:dyDescent="0.15"/>
    <row r="272" ht="14.75" customHeight="1" x14ac:dyDescent="0.15"/>
    <row r="273" ht="14.75" customHeight="1" x14ac:dyDescent="0.15"/>
    <row r="274" ht="14.75" customHeight="1" x14ac:dyDescent="0.15"/>
    <row r="275" ht="14.75" customHeight="1" x14ac:dyDescent="0.15"/>
    <row r="276" ht="14.75" customHeight="1" x14ac:dyDescent="0.15"/>
    <row r="277" ht="14.75" customHeight="1" x14ac:dyDescent="0.15"/>
    <row r="278" ht="14.75" customHeight="1" x14ac:dyDescent="0.15"/>
    <row r="279" ht="14.75" customHeight="1" x14ac:dyDescent="0.15"/>
    <row r="280" ht="14.75" customHeight="1" x14ac:dyDescent="0.15"/>
    <row r="281" ht="14.75" customHeight="1" x14ac:dyDescent="0.15"/>
    <row r="282" ht="14.75" customHeight="1" x14ac:dyDescent="0.15"/>
    <row r="283" ht="14.75" customHeight="1" x14ac:dyDescent="0.15"/>
    <row r="284" ht="14.75" customHeight="1" x14ac:dyDescent="0.15"/>
    <row r="285" ht="14.75" customHeight="1" x14ac:dyDescent="0.15"/>
    <row r="286" ht="14.75" customHeight="1" x14ac:dyDescent="0.15"/>
    <row r="287" ht="14.75" customHeight="1" x14ac:dyDescent="0.15"/>
    <row r="288" ht="14.75" customHeight="1" x14ac:dyDescent="0.15"/>
    <row r="289" ht="14.75" customHeight="1" x14ac:dyDescent="0.15"/>
    <row r="290" ht="14.75" customHeight="1" x14ac:dyDescent="0.15"/>
    <row r="291" ht="14.75" customHeight="1" x14ac:dyDescent="0.15"/>
    <row r="292" ht="14.75" customHeight="1" x14ac:dyDescent="0.15"/>
    <row r="293" ht="14.75" customHeight="1" x14ac:dyDescent="0.15"/>
    <row r="294" ht="14.75" customHeight="1" x14ac:dyDescent="0.15"/>
    <row r="295" ht="14.75" customHeight="1" x14ac:dyDescent="0.15"/>
    <row r="296" ht="14.75" customHeight="1" x14ac:dyDescent="0.15"/>
    <row r="297" ht="14.75" customHeight="1" x14ac:dyDescent="0.15"/>
  </sheetData>
  <conditionalFormatting sqref="H65:I65 L8:L10 Q8 L13:L14 L16 I55:I64 K59:P60 Q14:Q15 Q19 K94:P96 I94:I96 G66:P66 F172:F173 G171 G28:I29 E28:E33 K186:O188 G32:I33 E190 H190 G143:P145 G150:P151 G122:P124 V130:V131 I130:I131 V132:W136 G142:H142 J142:P142 X148:Y149 I148:P149 G147:P147 K146:P146 G146:I146 J130:P136 G126:H127 G128:P129 I179:I184 I134:I136 G137:P137 G152:H155 H30:I31 K55:P56 K61:Q62 K57:Q58 J63:P65 J59 J138:P140 J156:P160 J193:J195 J197:J199">
    <cfRule type="cellIs" dxfId="579" priority="580" operator="lessThan">
      <formula>0</formula>
    </cfRule>
  </conditionalFormatting>
  <conditionalFormatting sqref="K186:O188">
    <cfRule type="cellIs" dxfId="578" priority="579" operator="lessThan">
      <formula>0</formula>
    </cfRule>
  </conditionalFormatting>
  <conditionalFormatting sqref="J186:P188">
    <cfRule type="cellIs" dxfId="577" priority="578" operator="lessThan">
      <formula>0</formula>
    </cfRule>
  </conditionalFormatting>
  <conditionalFormatting sqref="J186:P188">
    <cfRule type="cellIs" dxfId="576" priority="577" operator="lessThan">
      <formula>0</formula>
    </cfRule>
  </conditionalFormatting>
  <conditionalFormatting sqref="P186:P188">
    <cfRule type="cellIs" dxfId="575" priority="576" operator="lessThan">
      <formula>0</formula>
    </cfRule>
  </conditionalFormatting>
  <conditionalFormatting sqref="P186:P188">
    <cfRule type="cellIs" dxfId="574" priority="575" operator="lessThan">
      <formula>0</formula>
    </cfRule>
  </conditionalFormatting>
  <conditionalFormatting sqref="Q56 Q60">
    <cfRule type="cellIs" dxfId="573" priority="574" operator="lessThan">
      <formula>0</formula>
    </cfRule>
  </conditionalFormatting>
  <conditionalFormatting sqref="Q56 Q60">
    <cfRule type="cellIs" dxfId="572" priority="573" operator="lessThan">
      <formula>0</formula>
    </cfRule>
  </conditionalFormatting>
  <conditionalFormatting sqref="Q56 Q60">
    <cfRule type="cellIs" dxfId="571" priority="572" operator="lessThan">
      <formula>0</formula>
    </cfRule>
  </conditionalFormatting>
  <conditionalFormatting sqref="H65:I65 L8:L10 Q8 L13:L14 L16 I55:I64 Q14:Q15 Q19 K94:P96 I94:I96 G66:P66 F172:F173 G171 G28:I29 E28:E33 G32:I33 E190 H190 G143:P145 G150:P151 G122:P124 V130:V131 I130:I131 V132:W136 G142:H142 J142:P142 X148:Y149 I148:P149 G147:P147 K146:P146 G146:I146 J130:P136 G126:H127 G128:P129 I179:I184 I134:I136 G137:P137 G152:H155 H30:I31 K60:Q62 K55:P55 K56:Q58 J63:P65 J59:P59 J138:P140 J156:P160 J193:J195 J197:J199">
    <cfRule type="cellIs" dxfId="570" priority="570" operator="lessThan">
      <formula>0</formula>
    </cfRule>
    <cfRule type="cellIs" dxfId="569" priority="571" operator="lessThan">
      <formula>0</formula>
    </cfRule>
  </conditionalFormatting>
  <conditionalFormatting sqref="R55">
    <cfRule type="cellIs" dxfId="568" priority="569" operator="lessThan">
      <formula>0</formula>
    </cfRule>
  </conditionalFormatting>
  <conditionalFormatting sqref="R55">
    <cfRule type="cellIs" dxfId="567" priority="568" operator="lessThan">
      <formula>0</formula>
    </cfRule>
  </conditionalFormatting>
  <conditionalFormatting sqref="R55">
    <cfRule type="cellIs" dxfId="566" priority="567" operator="lessThan">
      <formula>0</formula>
    </cfRule>
  </conditionalFormatting>
  <conditionalFormatting sqref="R55">
    <cfRule type="cellIs" dxfId="565" priority="565" operator="lessThan">
      <formula>0</formula>
    </cfRule>
    <cfRule type="cellIs" dxfId="564" priority="566" operator="lessThan">
      <formula>0</formula>
    </cfRule>
  </conditionalFormatting>
  <conditionalFormatting sqref="E55:E57 I62 E65 K62:P62">
    <cfRule type="cellIs" dxfId="563" priority="564" operator="lessThan">
      <formula>0</formula>
    </cfRule>
  </conditionalFormatting>
  <conditionalFormatting sqref="E55:E57 I62 E65 K62:P62">
    <cfRule type="cellIs" dxfId="562" priority="562" operator="lessThan">
      <formula>0</formula>
    </cfRule>
    <cfRule type="cellIs" dxfId="561" priority="563" operator="lessThan">
      <formula>0</formula>
    </cfRule>
  </conditionalFormatting>
  <conditionalFormatting sqref="G65">
    <cfRule type="cellIs" dxfId="560" priority="561" operator="lessThan">
      <formula>0</formula>
    </cfRule>
  </conditionalFormatting>
  <conditionalFormatting sqref="G65">
    <cfRule type="cellIs" dxfId="559" priority="559" operator="lessThan">
      <formula>0</formula>
    </cfRule>
    <cfRule type="cellIs" dxfId="558" priority="560" operator="lessThan">
      <formula>0</formula>
    </cfRule>
  </conditionalFormatting>
  <conditionalFormatting sqref="F9:F10">
    <cfRule type="cellIs" dxfId="557" priority="558" operator="lessThan">
      <formula>0</formula>
    </cfRule>
  </conditionalFormatting>
  <conditionalFormatting sqref="F9:F10">
    <cfRule type="cellIs" dxfId="556" priority="556" operator="lessThan">
      <formula>0</formula>
    </cfRule>
    <cfRule type="cellIs" dxfId="555" priority="557" operator="lessThan">
      <formula>0</formula>
    </cfRule>
  </conditionalFormatting>
  <conditionalFormatting sqref="G9:G10">
    <cfRule type="cellIs" dxfId="554" priority="555" operator="lessThan">
      <formula>0</formula>
    </cfRule>
  </conditionalFormatting>
  <conditionalFormatting sqref="G9:G10">
    <cfRule type="cellIs" dxfId="553" priority="553" operator="lessThan">
      <formula>0</formula>
    </cfRule>
    <cfRule type="cellIs" dxfId="552" priority="554" operator="lessThan">
      <formula>0</formula>
    </cfRule>
  </conditionalFormatting>
  <conditionalFormatting sqref="AL32:AM32 AL33 AJ28:AJ30">
    <cfRule type="cellIs" dxfId="551" priority="552" operator="lessThan">
      <formula>0</formula>
    </cfRule>
  </conditionalFormatting>
  <conditionalFormatting sqref="AL32:AM32 AL33 AJ28:AJ30">
    <cfRule type="cellIs" dxfId="550" priority="550" operator="lessThan">
      <formula>0</formula>
    </cfRule>
    <cfRule type="cellIs" dxfId="549" priority="551" operator="lessThan">
      <formula>0</formula>
    </cfRule>
  </conditionalFormatting>
  <conditionalFormatting sqref="AM32">
    <cfRule type="cellIs" dxfId="548" priority="549" operator="lessThan">
      <formula>0</formula>
    </cfRule>
  </conditionalFormatting>
  <conditionalFormatting sqref="AM32">
    <cfRule type="cellIs" dxfId="547" priority="548" operator="lessThan">
      <formula>0</formula>
    </cfRule>
  </conditionalFormatting>
  <conditionalFormatting sqref="AM32">
    <cfRule type="cellIs" dxfId="546" priority="547" operator="lessThan">
      <formula>0</formula>
    </cfRule>
  </conditionalFormatting>
  <conditionalFormatting sqref="AM32">
    <cfRule type="cellIs" dxfId="545" priority="545" operator="lessThan">
      <formula>0</formula>
    </cfRule>
    <cfRule type="cellIs" dxfId="544" priority="546" operator="lessThan">
      <formula>0</formula>
    </cfRule>
  </conditionalFormatting>
  <conditionalFormatting sqref="AJ31">
    <cfRule type="cellIs" dxfId="543" priority="542" operator="lessThan">
      <formula>0</formula>
    </cfRule>
    <cfRule type="cellIs" dxfId="542" priority="543" operator="lessThan">
      <formula>0</formula>
    </cfRule>
  </conditionalFormatting>
  <conditionalFormatting sqref="AJ31">
    <cfRule type="cellIs" dxfId="541" priority="544" operator="lessThan">
      <formula>0</formula>
    </cfRule>
  </conditionalFormatting>
  <conditionalFormatting sqref="AL28">
    <cfRule type="cellIs" dxfId="540" priority="541" operator="lessThan">
      <formula>0</formula>
    </cfRule>
  </conditionalFormatting>
  <conditionalFormatting sqref="AL28">
    <cfRule type="cellIs" dxfId="539" priority="540" operator="lessThan">
      <formula>0</formula>
    </cfRule>
  </conditionalFormatting>
  <conditionalFormatting sqref="AL28">
    <cfRule type="cellIs" dxfId="538" priority="539" operator="lessThan">
      <formula>0</formula>
    </cfRule>
  </conditionalFormatting>
  <conditionalFormatting sqref="AL28">
    <cfRule type="cellIs" dxfId="537" priority="537" operator="lessThan">
      <formula>0</formula>
    </cfRule>
    <cfRule type="cellIs" dxfId="536" priority="538" operator="lessThan">
      <formula>0</formula>
    </cfRule>
  </conditionalFormatting>
  <conditionalFormatting sqref="AL29">
    <cfRule type="cellIs" dxfId="535" priority="536" operator="lessThan">
      <formula>0</formula>
    </cfRule>
  </conditionalFormatting>
  <conditionalFormatting sqref="AL29">
    <cfRule type="cellIs" dxfId="534" priority="535" operator="lessThan">
      <formula>0</formula>
    </cfRule>
  </conditionalFormatting>
  <conditionalFormatting sqref="AL29">
    <cfRule type="cellIs" dxfId="533" priority="534" operator="lessThan">
      <formula>0</formula>
    </cfRule>
  </conditionalFormatting>
  <conditionalFormatting sqref="AL29">
    <cfRule type="cellIs" dxfId="532" priority="532" operator="lessThan">
      <formula>0</formula>
    </cfRule>
    <cfRule type="cellIs" dxfId="531" priority="533" operator="lessThan">
      <formula>0</formula>
    </cfRule>
  </conditionalFormatting>
  <conditionalFormatting sqref="AL31">
    <cfRule type="cellIs" dxfId="530" priority="528" operator="lessThan">
      <formula>0</formula>
    </cfRule>
  </conditionalFormatting>
  <conditionalFormatting sqref="AL31">
    <cfRule type="cellIs" dxfId="529" priority="526" operator="lessThan">
      <formula>0</formula>
    </cfRule>
    <cfRule type="cellIs" dxfId="528" priority="527" operator="lessThan">
      <formula>0</formula>
    </cfRule>
  </conditionalFormatting>
  <conditionalFormatting sqref="AK28:AK30">
    <cfRule type="cellIs" dxfId="527" priority="531" operator="lessThan">
      <formula>0</formula>
    </cfRule>
  </conditionalFormatting>
  <conditionalFormatting sqref="AK28:AK30">
    <cfRule type="cellIs" dxfId="526" priority="529" operator="lessThan">
      <formula>0</formula>
    </cfRule>
    <cfRule type="cellIs" dxfId="525" priority="530" operator="lessThan">
      <formula>0</formula>
    </cfRule>
  </conditionalFormatting>
  <conditionalFormatting sqref="AM31">
    <cfRule type="cellIs" dxfId="524" priority="525" operator="lessThan">
      <formula>0</formula>
    </cfRule>
  </conditionalFormatting>
  <conditionalFormatting sqref="AM31">
    <cfRule type="cellIs" dxfId="523" priority="523" operator="lessThan">
      <formula>0</formula>
    </cfRule>
    <cfRule type="cellIs" dxfId="522" priority="524" operator="lessThan">
      <formula>0</formula>
    </cfRule>
  </conditionalFormatting>
  <conditionalFormatting sqref="G14">
    <cfRule type="cellIs" dxfId="521" priority="522" operator="lessThan">
      <formula>0</formula>
    </cfRule>
  </conditionalFormatting>
  <conditionalFormatting sqref="G14">
    <cfRule type="cellIs" dxfId="520" priority="521" operator="lessThan">
      <formula>0</formula>
    </cfRule>
  </conditionalFormatting>
  <conditionalFormatting sqref="G14">
    <cfRule type="cellIs" dxfId="519" priority="520" operator="lessThan">
      <formula>0</formula>
    </cfRule>
  </conditionalFormatting>
  <conditionalFormatting sqref="G14">
    <cfRule type="cellIs" dxfId="518" priority="518" operator="lessThan">
      <formula>0</formula>
    </cfRule>
    <cfRule type="cellIs" dxfId="517" priority="519" operator="lessThan">
      <formula>0</formula>
    </cfRule>
  </conditionalFormatting>
  <conditionalFormatting sqref="AK31">
    <cfRule type="cellIs" dxfId="516" priority="517" operator="lessThan">
      <formula>0</formula>
    </cfRule>
  </conditionalFormatting>
  <conditionalFormatting sqref="AK31">
    <cfRule type="cellIs" dxfId="515" priority="515" operator="lessThan">
      <formula>0</formula>
    </cfRule>
    <cfRule type="cellIs" dxfId="514" priority="516" operator="lessThan">
      <formula>0</formula>
    </cfRule>
  </conditionalFormatting>
  <conditionalFormatting sqref="AG28">
    <cfRule type="cellIs" dxfId="513" priority="514" operator="lessThan">
      <formula>0</formula>
    </cfRule>
  </conditionalFormatting>
  <conditionalFormatting sqref="AG28">
    <cfRule type="cellIs" dxfId="512" priority="512" operator="lessThan">
      <formula>0</formula>
    </cfRule>
    <cfRule type="cellIs" dxfId="511" priority="513" operator="lessThan">
      <formula>0</formula>
    </cfRule>
  </conditionalFormatting>
  <conditionalFormatting sqref="AG30">
    <cfRule type="cellIs" dxfId="510" priority="511" operator="lessThan">
      <formula>0</formula>
    </cfRule>
  </conditionalFormatting>
  <conditionalFormatting sqref="AG30">
    <cfRule type="cellIs" dxfId="509" priority="509" operator="lessThan">
      <formula>0</formula>
    </cfRule>
    <cfRule type="cellIs" dxfId="508" priority="510" operator="lessThan">
      <formula>0</formula>
    </cfRule>
  </conditionalFormatting>
  <conditionalFormatting sqref="Q55">
    <cfRule type="cellIs" dxfId="507" priority="508" operator="lessThan">
      <formula>0</formula>
    </cfRule>
  </conditionalFormatting>
  <conditionalFormatting sqref="Q55">
    <cfRule type="cellIs" dxfId="506" priority="507" operator="lessThan">
      <formula>0</formula>
    </cfRule>
  </conditionalFormatting>
  <conditionalFormatting sqref="Q55">
    <cfRule type="cellIs" dxfId="505" priority="506" operator="lessThan">
      <formula>0</formula>
    </cfRule>
  </conditionalFormatting>
  <conditionalFormatting sqref="Q55">
    <cfRule type="cellIs" dxfId="504" priority="504" operator="lessThan">
      <formula>0</formula>
    </cfRule>
    <cfRule type="cellIs" dxfId="503" priority="505" operator="lessThan">
      <formula>0</formula>
    </cfRule>
  </conditionalFormatting>
  <conditionalFormatting sqref="R59">
    <cfRule type="cellIs" dxfId="502" priority="503" operator="lessThan">
      <formula>0</formula>
    </cfRule>
  </conditionalFormatting>
  <conditionalFormatting sqref="R59">
    <cfRule type="cellIs" dxfId="501" priority="502" operator="lessThan">
      <formula>0</formula>
    </cfRule>
  </conditionalFormatting>
  <conditionalFormatting sqref="R59">
    <cfRule type="cellIs" dxfId="500" priority="501" operator="lessThan">
      <formula>0</formula>
    </cfRule>
  </conditionalFormatting>
  <conditionalFormatting sqref="R59">
    <cfRule type="cellIs" dxfId="499" priority="499" operator="lessThan">
      <formula>0</formula>
    </cfRule>
    <cfRule type="cellIs" dxfId="498" priority="500" operator="lessThan">
      <formula>0</formula>
    </cfRule>
  </conditionalFormatting>
  <conditionalFormatting sqref="Q59">
    <cfRule type="cellIs" dxfId="497" priority="498" operator="lessThan">
      <formula>0</formula>
    </cfRule>
  </conditionalFormatting>
  <conditionalFormatting sqref="Q59">
    <cfRule type="cellIs" dxfId="496" priority="497" operator="lessThan">
      <formula>0</formula>
    </cfRule>
  </conditionalFormatting>
  <conditionalFormatting sqref="Q59">
    <cfRule type="cellIs" dxfId="495" priority="496" operator="lessThan">
      <formula>0</formula>
    </cfRule>
  </conditionalFormatting>
  <conditionalFormatting sqref="Q59">
    <cfRule type="cellIs" dxfId="494" priority="494" operator="lessThan">
      <formula>0</formula>
    </cfRule>
    <cfRule type="cellIs" dxfId="493" priority="495" operator="lessThan">
      <formula>0</formula>
    </cfRule>
  </conditionalFormatting>
  <conditionalFormatting sqref="R63">
    <cfRule type="cellIs" dxfId="492" priority="493" operator="lessThan">
      <formula>0</formula>
    </cfRule>
  </conditionalFormatting>
  <conditionalFormatting sqref="R63">
    <cfRule type="cellIs" dxfId="491" priority="492" operator="lessThan">
      <formula>0</formula>
    </cfRule>
  </conditionalFormatting>
  <conditionalFormatting sqref="R63">
    <cfRule type="cellIs" dxfId="490" priority="491" operator="lessThan">
      <formula>0</formula>
    </cfRule>
  </conditionalFormatting>
  <conditionalFormatting sqref="R63">
    <cfRule type="cellIs" dxfId="489" priority="489" operator="lessThan">
      <formula>0</formula>
    </cfRule>
    <cfRule type="cellIs" dxfId="488" priority="490" operator="lessThan">
      <formula>0</formula>
    </cfRule>
  </conditionalFormatting>
  <conditionalFormatting sqref="Q63">
    <cfRule type="cellIs" dxfId="487" priority="488" operator="lessThan">
      <formula>0</formula>
    </cfRule>
  </conditionalFormatting>
  <conditionalFormatting sqref="Q63">
    <cfRule type="cellIs" dxfId="486" priority="487" operator="lessThan">
      <formula>0</formula>
    </cfRule>
  </conditionalFormatting>
  <conditionalFormatting sqref="Q63">
    <cfRule type="cellIs" dxfId="485" priority="486" operator="lessThan">
      <formula>0</formula>
    </cfRule>
  </conditionalFormatting>
  <conditionalFormatting sqref="Q63">
    <cfRule type="cellIs" dxfId="484" priority="484" operator="lessThan">
      <formula>0</formula>
    </cfRule>
    <cfRule type="cellIs" dxfId="483" priority="485" operator="lessThan">
      <formula>0</formula>
    </cfRule>
  </conditionalFormatting>
  <conditionalFormatting sqref="G119:P119">
    <cfRule type="cellIs" dxfId="482" priority="483" operator="lessThan">
      <formula>0</formula>
    </cfRule>
  </conditionalFormatting>
  <conditionalFormatting sqref="G119:P119">
    <cfRule type="cellIs" dxfId="481" priority="481" operator="lessThan">
      <formula>0</formula>
    </cfRule>
    <cfRule type="cellIs" dxfId="480" priority="482" operator="lessThan">
      <formula>0</formula>
    </cfRule>
  </conditionalFormatting>
  <conditionalFormatting sqref="G120:P120">
    <cfRule type="cellIs" dxfId="479" priority="480" operator="lessThan">
      <formula>0</formula>
    </cfRule>
  </conditionalFormatting>
  <conditionalFormatting sqref="G120:P120">
    <cfRule type="cellIs" dxfId="478" priority="478" operator="lessThan">
      <formula>0</formula>
    </cfRule>
    <cfRule type="cellIs" dxfId="477" priority="479" operator="lessThan">
      <formula>0</formula>
    </cfRule>
  </conditionalFormatting>
  <conditionalFormatting sqref="J70:P74 R70">
    <cfRule type="cellIs" dxfId="476" priority="477" operator="lessThan">
      <formula>0</formula>
    </cfRule>
  </conditionalFormatting>
  <conditionalFormatting sqref="J70:P74 R70">
    <cfRule type="cellIs" dxfId="475" priority="475" operator="lessThan">
      <formula>0</formula>
    </cfRule>
    <cfRule type="cellIs" dxfId="474" priority="476" operator="lessThan">
      <formula>0</formula>
    </cfRule>
  </conditionalFormatting>
  <conditionalFormatting sqref="J70:P70 R70">
    <cfRule type="cellIs" dxfId="473" priority="474" operator="lessThan">
      <formula>0</formula>
    </cfRule>
  </conditionalFormatting>
  <conditionalFormatting sqref="J70:P70 R70">
    <cfRule type="cellIs" dxfId="472" priority="472" operator="lessThan">
      <formula>0</formula>
    </cfRule>
    <cfRule type="cellIs" dxfId="471" priority="473" operator="lessThan">
      <formula>0</formula>
    </cfRule>
  </conditionalFormatting>
  <conditionalFormatting sqref="J114:P114">
    <cfRule type="cellIs" dxfId="470" priority="465" operator="lessThan">
      <formula>0</formula>
    </cfRule>
  </conditionalFormatting>
  <conditionalFormatting sqref="J114:P114">
    <cfRule type="cellIs" dxfId="469" priority="463" operator="lessThan">
      <formula>0</formula>
    </cfRule>
    <cfRule type="cellIs" dxfId="468" priority="464" operator="lessThan">
      <formula>0</formula>
    </cfRule>
  </conditionalFormatting>
  <conditionalFormatting sqref="J112:P114">
    <cfRule type="cellIs" dxfId="467" priority="471" operator="lessThan">
      <formula>0</formula>
    </cfRule>
  </conditionalFormatting>
  <conditionalFormatting sqref="J112:P114">
    <cfRule type="cellIs" dxfId="466" priority="469" operator="lessThan">
      <formula>0</formula>
    </cfRule>
    <cfRule type="cellIs" dxfId="465" priority="470" operator="lessThan">
      <formula>0</formula>
    </cfRule>
  </conditionalFormatting>
  <conditionalFormatting sqref="J114:P115">
    <cfRule type="cellIs" dxfId="464" priority="468" operator="lessThan">
      <formula>0</formula>
    </cfRule>
  </conditionalFormatting>
  <conditionalFormatting sqref="J114:P115">
    <cfRule type="cellIs" dxfId="463" priority="466" operator="lessThan">
      <formula>0</formula>
    </cfRule>
    <cfRule type="cellIs" dxfId="462" priority="467" operator="lessThan">
      <formula>0</formula>
    </cfRule>
  </conditionalFormatting>
  <conditionalFormatting sqref="J96 K95:P95">
    <cfRule type="cellIs" dxfId="461" priority="462" operator="lessThan">
      <formula>0</formula>
    </cfRule>
  </conditionalFormatting>
  <conditionalFormatting sqref="J96 K95:P95">
    <cfRule type="cellIs" dxfId="460" priority="460" operator="lessThan">
      <formula>0</formula>
    </cfRule>
    <cfRule type="cellIs" dxfId="459" priority="461" operator="lessThan">
      <formula>0</formula>
    </cfRule>
  </conditionalFormatting>
  <conditionalFormatting sqref="J94:P94">
    <cfRule type="cellIs" dxfId="458" priority="459" operator="lessThan">
      <formula>0</formula>
    </cfRule>
  </conditionalFormatting>
  <conditionalFormatting sqref="J94:P94">
    <cfRule type="cellIs" dxfId="457" priority="457" operator="lessThan">
      <formula>0</formula>
    </cfRule>
    <cfRule type="cellIs" dxfId="456" priority="458" operator="lessThan">
      <formula>0</formula>
    </cfRule>
  </conditionalFormatting>
  <conditionalFormatting sqref="J116 L116:P116">
    <cfRule type="cellIs" dxfId="455" priority="456" operator="lessThan">
      <formula>0</formula>
    </cfRule>
  </conditionalFormatting>
  <conditionalFormatting sqref="J116 L116:P116">
    <cfRule type="cellIs" dxfId="454" priority="454" operator="lessThan">
      <formula>0</formula>
    </cfRule>
    <cfRule type="cellIs" dxfId="453" priority="455" operator="lessThan">
      <formula>0</formula>
    </cfRule>
  </conditionalFormatting>
  <conditionalFormatting sqref="K116:P116">
    <cfRule type="cellIs" dxfId="452" priority="453" operator="lessThan">
      <formula>0</formula>
    </cfRule>
  </conditionalFormatting>
  <conditionalFormatting sqref="K116:P116">
    <cfRule type="cellIs" dxfId="451" priority="451" operator="lessThan">
      <formula>0</formula>
    </cfRule>
    <cfRule type="cellIs" dxfId="450" priority="452" operator="lessThan">
      <formula>0</formula>
    </cfRule>
  </conditionalFormatting>
  <conditionalFormatting sqref="J117:P117">
    <cfRule type="cellIs" dxfId="449" priority="450" operator="lessThan">
      <formula>0</formula>
    </cfRule>
  </conditionalFormatting>
  <conditionalFormatting sqref="J117:P117">
    <cfRule type="cellIs" dxfId="448" priority="448" operator="lessThan">
      <formula>0</formula>
    </cfRule>
    <cfRule type="cellIs" dxfId="447" priority="449" operator="lessThan">
      <formula>0</formula>
    </cfRule>
  </conditionalFormatting>
  <conditionalFormatting sqref="J76:P77">
    <cfRule type="cellIs" dxfId="446" priority="444" operator="lessThan">
      <formula>0</formula>
    </cfRule>
  </conditionalFormatting>
  <conditionalFormatting sqref="J76:P77">
    <cfRule type="cellIs" dxfId="445" priority="442" operator="lessThan">
      <formula>0</formula>
    </cfRule>
    <cfRule type="cellIs" dxfId="444" priority="443" operator="lessThan">
      <formula>0</formula>
    </cfRule>
  </conditionalFormatting>
  <conditionalFormatting sqref="J73:P73">
    <cfRule type="cellIs" dxfId="443" priority="447" operator="lessThan">
      <formula>0</formula>
    </cfRule>
  </conditionalFormatting>
  <conditionalFormatting sqref="J73:P73">
    <cfRule type="cellIs" dxfId="442" priority="445" operator="lessThan">
      <formula>0</formula>
    </cfRule>
    <cfRule type="cellIs" dxfId="441" priority="446" operator="lessThan">
      <formula>0</formula>
    </cfRule>
  </conditionalFormatting>
  <conditionalFormatting sqref="J69">
    <cfRule type="cellIs" dxfId="440" priority="438" operator="lessThan">
      <formula>0</formula>
    </cfRule>
  </conditionalFormatting>
  <conditionalFormatting sqref="J69">
    <cfRule type="cellIs" dxfId="439" priority="436" operator="lessThan">
      <formula>0</formula>
    </cfRule>
    <cfRule type="cellIs" dxfId="438" priority="437" operator="lessThan">
      <formula>0</formula>
    </cfRule>
  </conditionalFormatting>
  <conditionalFormatting sqref="J76:P76">
    <cfRule type="cellIs" dxfId="437" priority="441" operator="lessThan">
      <formula>0</formula>
    </cfRule>
  </conditionalFormatting>
  <conditionalFormatting sqref="J76:P76">
    <cfRule type="cellIs" dxfId="436" priority="439" operator="lessThan">
      <formula>0</formula>
    </cfRule>
    <cfRule type="cellIs" dxfId="435" priority="440" operator="lessThan">
      <formula>0</formula>
    </cfRule>
  </conditionalFormatting>
  <conditionalFormatting sqref="L105:P105">
    <cfRule type="cellIs" dxfId="434" priority="429" operator="lessThan">
      <formula>0</formula>
    </cfRule>
  </conditionalFormatting>
  <conditionalFormatting sqref="L105:P105">
    <cfRule type="cellIs" dxfId="433" priority="427" operator="lessThan">
      <formula>0</formula>
    </cfRule>
    <cfRule type="cellIs" dxfId="432" priority="428" operator="lessThan">
      <formula>0</formula>
    </cfRule>
  </conditionalFormatting>
  <conditionalFormatting sqref="J69">
    <cfRule type="cellIs" dxfId="431" priority="435" operator="lessThan">
      <formula>0</formula>
    </cfRule>
  </conditionalFormatting>
  <conditionalFormatting sqref="J69">
    <cfRule type="cellIs" dxfId="430" priority="433" operator="lessThan">
      <formula>0</formula>
    </cfRule>
    <cfRule type="cellIs" dxfId="429" priority="434" operator="lessThan">
      <formula>0</formula>
    </cfRule>
  </conditionalFormatting>
  <conditionalFormatting sqref="J79:P79">
    <cfRule type="cellIs" dxfId="428" priority="432" operator="lessThan">
      <formula>0</formula>
    </cfRule>
  </conditionalFormatting>
  <conditionalFormatting sqref="J79:P79">
    <cfRule type="cellIs" dxfId="427" priority="430" operator="lessThan">
      <formula>0</formula>
    </cfRule>
    <cfRule type="cellIs" dxfId="426" priority="431" operator="lessThan">
      <formula>0</formula>
    </cfRule>
  </conditionalFormatting>
  <conditionalFormatting sqref="J105:P105">
    <cfRule type="cellIs" dxfId="425" priority="426" operator="lessThan">
      <formula>0</formula>
    </cfRule>
  </conditionalFormatting>
  <conditionalFormatting sqref="J105:P105">
    <cfRule type="cellIs" dxfId="424" priority="424" operator="lessThan">
      <formula>0</formula>
    </cfRule>
    <cfRule type="cellIs" dxfId="423" priority="425" operator="lessThan">
      <formula>0</formula>
    </cfRule>
  </conditionalFormatting>
  <conditionalFormatting sqref="K105:P105">
    <cfRule type="cellIs" dxfId="422" priority="423" operator="lessThan">
      <formula>0</formula>
    </cfRule>
  </conditionalFormatting>
  <conditionalFormatting sqref="K105:P105">
    <cfRule type="cellIs" dxfId="421" priority="421" operator="lessThan">
      <formula>0</formula>
    </cfRule>
    <cfRule type="cellIs" dxfId="420" priority="422" operator="lessThan">
      <formula>0</formula>
    </cfRule>
  </conditionalFormatting>
  <conditionalFormatting sqref="J107:P107">
    <cfRule type="cellIs" dxfId="419" priority="420" operator="lessThan">
      <formula>0</formula>
    </cfRule>
  </conditionalFormatting>
  <conditionalFormatting sqref="J107:P107">
    <cfRule type="cellIs" dxfId="418" priority="418" operator="lessThan">
      <formula>0</formula>
    </cfRule>
    <cfRule type="cellIs" dxfId="417" priority="419" operator="lessThan">
      <formula>0</formula>
    </cfRule>
  </conditionalFormatting>
  <conditionalFormatting sqref="V103">
    <cfRule type="cellIs" dxfId="416" priority="417" operator="lessThan">
      <formula>0</formula>
    </cfRule>
  </conditionalFormatting>
  <conditionalFormatting sqref="V103">
    <cfRule type="cellIs" dxfId="415" priority="415" operator="lessThan">
      <formula>0</formula>
    </cfRule>
    <cfRule type="cellIs" dxfId="414" priority="416" operator="lessThan">
      <formula>0</formula>
    </cfRule>
  </conditionalFormatting>
  <conditionalFormatting sqref="V105">
    <cfRule type="cellIs" dxfId="413" priority="414" operator="lessThan">
      <formula>0</formula>
    </cfRule>
  </conditionalFormatting>
  <conditionalFormatting sqref="V105">
    <cfRule type="cellIs" dxfId="412" priority="412" operator="lessThan">
      <formula>0</formula>
    </cfRule>
    <cfRule type="cellIs" dxfId="411" priority="413" operator="lessThan">
      <formula>0</formula>
    </cfRule>
  </conditionalFormatting>
  <conditionalFormatting sqref="J95:P95">
    <cfRule type="cellIs" dxfId="410" priority="411" operator="lessThan">
      <formula>0</formula>
    </cfRule>
  </conditionalFormatting>
  <conditionalFormatting sqref="J95:P95">
    <cfRule type="cellIs" dxfId="409" priority="409" operator="lessThan">
      <formula>0</formula>
    </cfRule>
    <cfRule type="cellIs" dxfId="408" priority="410" operator="lessThan">
      <formula>0</formula>
    </cfRule>
  </conditionalFormatting>
  <conditionalFormatting sqref="G170">
    <cfRule type="cellIs" dxfId="407" priority="396" operator="lessThan">
      <formula>0</formula>
    </cfRule>
  </conditionalFormatting>
  <conditionalFormatting sqref="G170">
    <cfRule type="cellIs" dxfId="406" priority="394" operator="lessThan">
      <formula>0</formula>
    </cfRule>
    <cfRule type="cellIs" dxfId="405" priority="395" operator="lessThan">
      <formula>0</formula>
    </cfRule>
  </conditionalFormatting>
  <conditionalFormatting sqref="K53:P53">
    <cfRule type="cellIs" dxfId="404" priority="408" operator="lessThan">
      <formula>0</formula>
    </cfRule>
  </conditionalFormatting>
  <conditionalFormatting sqref="K53:P53">
    <cfRule type="cellIs" dxfId="403" priority="406" operator="lessThan">
      <formula>0</formula>
    </cfRule>
    <cfRule type="cellIs" dxfId="402" priority="407" operator="lessThan">
      <formula>0</formula>
    </cfRule>
  </conditionalFormatting>
  <conditionalFormatting sqref="E165">
    <cfRule type="cellIs" dxfId="401" priority="405" operator="lessThan">
      <formula>0</formula>
    </cfRule>
  </conditionalFormatting>
  <conditionalFormatting sqref="E165">
    <cfRule type="cellIs" dxfId="400" priority="403" operator="lessThan">
      <formula>0</formula>
    </cfRule>
    <cfRule type="cellIs" dxfId="399" priority="404" operator="lessThan">
      <formula>0</formula>
    </cfRule>
  </conditionalFormatting>
  <conditionalFormatting sqref="G167">
    <cfRule type="cellIs" dxfId="398" priority="402" operator="lessThan">
      <formula>0</formula>
    </cfRule>
  </conditionalFormatting>
  <conditionalFormatting sqref="G167">
    <cfRule type="cellIs" dxfId="397" priority="400" operator="lessThan">
      <formula>0</formula>
    </cfRule>
    <cfRule type="cellIs" dxfId="396" priority="401" operator="lessThan">
      <formula>0</formula>
    </cfRule>
  </conditionalFormatting>
  <conditionalFormatting sqref="G169">
    <cfRule type="cellIs" dxfId="395" priority="399" operator="lessThan">
      <formula>0</formula>
    </cfRule>
  </conditionalFormatting>
  <conditionalFormatting sqref="G169">
    <cfRule type="cellIs" dxfId="394" priority="397" operator="lessThan">
      <formula>0</formula>
    </cfRule>
    <cfRule type="cellIs" dxfId="393" priority="398" operator="lessThan">
      <formula>0</formula>
    </cfRule>
  </conditionalFormatting>
  <conditionalFormatting sqref="Q80">
    <cfRule type="cellIs" dxfId="392" priority="387" operator="lessThan">
      <formula>0</formula>
    </cfRule>
  </conditionalFormatting>
  <conditionalFormatting sqref="R80">
    <cfRule type="cellIs" dxfId="391" priority="393" operator="lessThan">
      <formula>0</formula>
    </cfRule>
  </conditionalFormatting>
  <conditionalFormatting sqref="R80">
    <cfRule type="cellIs" dxfId="390" priority="392" operator="lessThan">
      <formula>0</formula>
    </cfRule>
  </conditionalFormatting>
  <conditionalFormatting sqref="R80">
    <cfRule type="cellIs" dxfId="389" priority="391" operator="lessThan">
      <formula>0</formula>
    </cfRule>
  </conditionalFormatting>
  <conditionalFormatting sqref="R80">
    <cfRule type="cellIs" dxfId="388" priority="389" operator="lessThan">
      <formula>0</formula>
    </cfRule>
    <cfRule type="cellIs" dxfId="387" priority="390" operator="lessThan">
      <formula>0</formula>
    </cfRule>
  </conditionalFormatting>
  <conditionalFormatting sqref="Q80">
    <cfRule type="cellIs" dxfId="386" priority="388" operator="lessThan">
      <formula>0</formula>
    </cfRule>
  </conditionalFormatting>
  <conditionalFormatting sqref="Q80">
    <cfRule type="cellIs" dxfId="385" priority="386" operator="lessThan">
      <formula>0</formula>
    </cfRule>
  </conditionalFormatting>
  <conditionalFormatting sqref="Q80">
    <cfRule type="cellIs" dxfId="384" priority="384" operator="lessThan">
      <formula>0</formula>
    </cfRule>
    <cfRule type="cellIs" dxfId="383" priority="385" operator="lessThan">
      <formula>0</formula>
    </cfRule>
  </conditionalFormatting>
  <conditionalFormatting sqref="F32:F33">
    <cfRule type="cellIs" dxfId="382" priority="383" operator="lessThan">
      <formula>0</formula>
    </cfRule>
  </conditionalFormatting>
  <conditionalFormatting sqref="F32:F33">
    <cfRule type="cellIs" dxfId="381" priority="381" operator="lessThan">
      <formula>0</formula>
    </cfRule>
    <cfRule type="cellIs" dxfId="380" priority="382" operator="lessThan">
      <formula>0</formula>
    </cfRule>
  </conditionalFormatting>
  <conditionalFormatting sqref="F28">
    <cfRule type="cellIs" dxfId="379" priority="380" operator="lessThan">
      <formula>0</formula>
    </cfRule>
  </conditionalFormatting>
  <conditionalFormatting sqref="F28">
    <cfRule type="cellIs" dxfId="378" priority="378" operator="lessThan">
      <formula>0</formula>
    </cfRule>
    <cfRule type="cellIs" dxfId="377" priority="379" operator="lessThan">
      <formula>0</formula>
    </cfRule>
  </conditionalFormatting>
  <conditionalFormatting sqref="R67">
    <cfRule type="cellIs" dxfId="376" priority="377" operator="lessThan">
      <formula>0</formula>
    </cfRule>
  </conditionalFormatting>
  <conditionalFormatting sqref="R67">
    <cfRule type="cellIs" dxfId="375" priority="376" operator="lessThan">
      <formula>0</formula>
    </cfRule>
  </conditionalFormatting>
  <conditionalFormatting sqref="R67">
    <cfRule type="cellIs" dxfId="374" priority="375" operator="lessThan">
      <formula>0</formula>
    </cfRule>
  </conditionalFormatting>
  <conditionalFormatting sqref="R67">
    <cfRule type="cellIs" dxfId="373" priority="373" operator="lessThan">
      <formula>0</formula>
    </cfRule>
    <cfRule type="cellIs" dxfId="372" priority="374" operator="lessThan">
      <formula>0</formula>
    </cfRule>
  </conditionalFormatting>
  <conditionalFormatting sqref="I53">
    <cfRule type="cellIs" dxfId="371" priority="372" operator="lessThan">
      <formula>0</formula>
    </cfRule>
  </conditionalFormatting>
  <conditionalFormatting sqref="I53">
    <cfRule type="cellIs" dxfId="370" priority="370" operator="lessThan">
      <formula>0</formula>
    </cfRule>
    <cfRule type="cellIs" dxfId="369" priority="371" operator="lessThan">
      <formula>0</formula>
    </cfRule>
  </conditionalFormatting>
  <conditionalFormatting sqref="J53">
    <cfRule type="cellIs" dxfId="368" priority="369" operator="lessThan">
      <formula>0</formula>
    </cfRule>
  </conditionalFormatting>
  <conditionalFormatting sqref="J53">
    <cfRule type="cellIs" dxfId="367" priority="367" operator="lessThan">
      <formula>0</formula>
    </cfRule>
    <cfRule type="cellIs" dxfId="366" priority="368" operator="lessThan">
      <formula>0</formula>
    </cfRule>
  </conditionalFormatting>
  <conditionalFormatting sqref="I190:P190">
    <cfRule type="cellIs" dxfId="365" priority="366" operator="lessThan">
      <formula>0</formula>
    </cfRule>
  </conditionalFormatting>
  <conditionalFormatting sqref="I190:P190">
    <cfRule type="cellIs" dxfId="364" priority="364" operator="lessThan">
      <formula>0</formula>
    </cfRule>
    <cfRule type="cellIs" dxfId="363" priority="365" operator="lessThan">
      <formula>0</formula>
    </cfRule>
  </conditionalFormatting>
  <conditionalFormatting sqref="I189:P189">
    <cfRule type="cellIs" dxfId="362" priority="363" operator="lessThan">
      <formula>0</formula>
    </cfRule>
  </conditionalFormatting>
  <conditionalFormatting sqref="I189:P189">
    <cfRule type="cellIs" dxfId="361" priority="361" operator="lessThan">
      <formula>0</formula>
    </cfRule>
    <cfRule type="cellIs" dxfId="360" priority="362" operator="lessThan">
      <formula>0</formula>
    </cfRule>
  </conditionalFormatting>
  <conditionalFormatting sqref="I186:P188 K179:P184">
    <cfRule type="cellIs" dxfId="359" priority="360" operator="lessThan">
      <formula>0</formula>
    </cfRule>
  </conditionalFormatting>
  <conditionalFormatting sqref="I186:P188 K179:P184">
    <cfRule type="cellIs" dxfId="358" priority="358" operator="lessThan">
      <formula>0</formula>
    </cfRule>
    <cfRule type="cellIs" dxfId="357" priority="359" operator="lessThan">
      <formula>0</formula>
    </cfRule>
  </conditionalFormatting>
  <conditionalFormatting sqref="Q190">
    <cfRule type="cellIs" dxfId="356" priority="357" operator="lessThan">
      <formula>0</formula>
    </cfRule>
  </conditionalFormatting>
  <conditionalFormatting sqref="Q190">
    <cfRule type="cellIs" dxfId="355" priority="355" operator="lessThan">
      <formula>0</formula>
    </cfRule>
    <cfRule type="cellIs" dxfId="354" priority="356" operator="lessThan">
      <formula>0</formula>
    </cfRule>
  </conditionalFormatting>
  <conditionalFormatting sqref="Q189">
    <cfRule type="cellIs" dxfId="353" priority="354" operator="lessThan">
      <formula>0</formula>
    </cfRule>
  </conditionalFormatting>
  <conditionalFormatting sqref="Q189">
    <cfRule type="cellIs" dxfId="352" priority="352" operator="lessThan">
      <formula>0</formula>
    </cfRule>
    <cfRule type="cellIs" dxfId="351" priority="353" operator="lessThan">
      <formula>0</formula>
    </cfRule>
  </conditionalFormatting>
  <conditionalFormatting sqref="Q186:Q188">
    <cfRule type="cellIs" dxfId="350" priority="351" operator="lessThan">
      <formula>0</formula>
    </cfRule>
  </conditionalFormatting>
  <conditionalFormatting sqref="Q186:Q188">
    <cfRule type="cellIs" dxfId="349" priority="349" operator="lessThan">
      <formula>0</formula>
    </cfRule>
    <cfRule type="cellIs" dxfId="348" priority="350" operator="lessThan">
      <formula>0</formula>
    </cfRule>
  </conditionalFormatting>
  <conditionalFormatting sqref="J179:P180 K181:P181 J182:P184">
    <cfRule type="cellIs" dxfId="347" priority="348" operator="lessThan">
      <formula>0</formula>
    </cfRule>
  </conditionalFormatting>
  <conditionalFormatting sqref="J179:P180 K181:P181 J182:P184">
    <cfRule type="cellIs" dxfId="346" priority="346" operator="lessThan">
      <formula>0</formula>
    </cfRule>
    <cfRule type="cellIs" dxfId="345" priority="347" operator="lessThan">
      <formula>0</formula>
    </cfRule>
  </conditionalFormatting>
  <conditionalFormatting sqref="E186:E190">
    <cfRule type="cellIs" dxfId="344" priority="345" operator="lessThan">
      <formula>0</formula>
    </cfRule>
  </conditionalFormatting>
  <conditionalFormatting sqref="E186:E190">
    <cfRule type="cellIs" dxfId="343" priority="344" operator="lessThan">
      <formula>0</formula>
    </cfRule>
  </conditionalFormatting>
  <conditionalFormatting sqref="E186:E190">
    <cfRule type="cellIs" dxfId="342" priority="343" operator="lessThan">
      <formula>0</formula>
    </cfRule>
  </conditionalFormatting>
  <conditionalFormatting sqref="E186:E190">
    <cfRule type="cellIs" dxfId="341" priority="341" operator="lessThan">
      <formula>0</formula>
    </cfRule>
    <cfRule type="cellIs" dxfId="340" priority="342" operator="lessThan">
      <formula>0</formula>
    </cfRule>
  </conditionalFormatting>
  <conditionalFormatting sqref="J211:J216">
    <cfRule type="cellIs" dxfId="339" priority="340" operator="lessThan">
      <formula>0</formula>
    </cfRule>
  </conditionalFormatting>
  <conditionalFormatting sqref="J211:J216">
    <cfRule type="cellIs" dxfId="338" priority="338" operator="lessThan">
      <formula>0</formula>
    </cfRule>
    <cfRule type="cellIs" dxfId="337" priority="339" operator="lessThan">
      <formula>0</formula>
    </cfRule>
  </conditionalFormatting>
  <conditionalFormatting sqref="J217">
    <cfRule type="cellIs" dxfId="336" priority="337" operator="lessThan">
      <formula>0</formula>
    </cfRule>
  </conditionalFormatting>
  <conditionalFormatting sqref="J217">
    <cfRule type="cellIs" dxfId="335" priority="335" operator="lessThan">
      <formula>0</formula>
    </cfRule>
    <cfRule type="cellIs" dxfId="334" priority="336" operator="lessThan">
      <formula>0</formula>
    </cfRule>
  </conditionalFormatting>
  <conditionalFormatting sqref="J192">
    <cfRule type="cellIs" dxfId="333" priority="334" operator="lessThan">
      <formula>0</formula>
    </cfRule>
  </conditionalFormatting>
  <conditionalFormatting sqref="J192">
    <cfRule type="cellIs" dxfId="332" priority="332" operator="lessThan">
      <formula>0</formula>
    </cfRule>
    <cfRule type="cellIs" dxfId="331" priority="333" operator="lessThan">
      <formula>0</formula>
    </cfRule>
  </conditionalFormatting>
  <conditionalFormatting sqref="J197:N197">
    <cfRule type="cellIs" dxfId="330" priority="331" operator="lessThan">
      <formula>0</formula>
    </cfRule>
  </conditionalFormatting>
  <conditionalFormatting sqref="J197:N197">
    <cfRule type="cellIs" dxfId="329" priority="329" operator="lessThan">
      <formula>0</formula>
    </cfRule>
    <cfRule type="cellIs" dxfId="328" priority="330" operator="lessThan">
      <formula>0</formula>
    </cfRule>
  </conditionalFormatting>
  <conditionalFormatting sqref="J194">
    <cfRule type="cellIs" dxfId="327" priority="328" operator="lessThan">
      <formula>0</formula>
    </cfRule>
  </conditionalFormatting>
  <conditionalFormatting sqref="J194">
    <cfRule type="cellIs" dxfId="326" priority="326" operator="lessThan">
      <formula>0</formula>
    </cfRule>
    <cfRule type="cellIs" dxfId="325" priority="327" operator="lessThan">
      <formula>0</formula>
    </cfRule>
  </conditionalFormatting>
  <conditionalFormatting sqref="I192">
    <cfRule type="cellIs" dxfId="324" priority="325" operator="lessThan">
      <formula>0</formula>
    </cfRule>
  </conditionalFormatting>
  <conditionalFormatting sqref="I192">
    <cfRule type="cellIs" dxfId="323" priority="323" operator="lessThan">
      <formula>0</formula>
    </cfRule>
    <cfRule type="cellIs" dxfId="322" priority="324" operator="lessThan">
      <formula>0</formula>
    </cfRule>
  </conditionalFormatting>
  <conditionalFormatting sqref="I193:O193">
    <cfRule type="cellIs" dxfId="321" priority="322" operator="lessThan">
      <formula>0</formula>
    </cfRule>
  </conditionalFormatting>
  <conditionalFormatting sqref="I193:O193">
    <cfRule type="cellIs" dxfId="320" priority="320" operator="lessThan">
      <formula>0</formula>
    </cfRule>
    <cfRule type="cellIs" dxfId="319" priority="321" operator="lessThan">
      <formula>0</formula>
    </cfRule>
  </conditionalFormatting>
  <conditionalFormatting sqref="I194">
    <cfRule type="cellIs" dxfId="318" priority="319" operator="lessThan">
      <formula>0</formula>
    </cfRule>
  </conditionalFormatting>
  <conditionalFormatting sqref="I194">
    <cfRule type="cellIs" dxfId="317" priority="317" operator="lessThan">
      <formula>0</formula>
    </cfRule>
    <cfRule type="cellIs" dxfId="316" priority="318" operator="lessThan">
      <formula>0</formula>
    </cfRule>
  </conditionalFormatting>
  <conditionalFormatting sqref="K200">
    <cfRule type="cellIs" dxfId="315" priority="316" operator="lessThan">
      <formula>0</formula>
    </cfRule>
  </conditionalFormatting>
  <conditionalFormatting sqref="K200">
    <cfRule type="cellIs" dxfId="314" priority="314" operator="lessThan">
      <formula>0</formula>
    </cfRule>
    <cfRule type="cellIs" dxfId="313" priority="315" operator="lessThan">
      <formula>0</formula>
    </cfRule>
  </conditionalFormatting>
  <conditionalFormatting sqref="P195">
    <cfRule type="cellIs" dxfId="312" priority="313" operator="lessThan">
      <formula>0</formula>
    </cfRule>
  </conditionalFormatting>
  <conditionalFormatting sqref="P195">
    <cfRule type="cellIs" dxfId="311" priority="311" operator="lessThan">
      <formula>0</formula>
    </cfRule>
    <cfRule type="cellIs" dxfId="310" priority="312" operator="lessThan">
      <formula>0</formula>
    </cfRule>
  </conditionalFormatting>
  <conditionalFormatting sqref="N195">
    <cfRule type="cellIs" dxfId="309" priority="310" operator="lessThan">
      <formula>0</formula>
    </cfRule>
  </conditionalFormatting>
  <conditionalFormatting sqref="N195">
    <cfRule type="cellIs" dxfId="308" priority="308" operator="lessThan">
      <formula>0</formula>
    </cfRule>
    <cfRule type="cellIs" dxfId="307" priority="309" operator="lessThan">
      <formula>0</formula>
    </cfRule>
  </conditionalFormatting>
  <conditionalFormatting sqref="Q195">
    <cfRule type="cellIs" dxfId="306" priority="307" operator="lessThan">
      <formula>0</formula>
    </cfRule>
  </conditionalFormatting>
  <conditionalFormatting sqref="Q195">
    <cfRule type="cellIs" dxfId="305" priority="305" operator="lessThan">
      <formula>0</formula>
    </cfRule>
    <cfRule type="cellIs" dxfId="304" priority="306" operator="lessThan">
      <formula>0</formula>
    </cfRule>
  </conditionalFormatting>
  <conditionalFormatting sqref="X199">
    <cfRule type="cellIs" dxfId="303" priority="304" operator="lessThan">
      <formula>0</formula>
    </cfRule>
  </conditionalFormatting>
  <conditionalFormatting sqref="X199">
    <cfRule type="cellIs" dxfId="302" priority="303" operator="lessThan">
      <formula>0</formula>
    </cfRule>
  </conditionalFormatting>
  <conditionalFormatting sqref="X199">
    <cfRule type="cellIs" dxfId="301" priority="302" operator="lessThan">
      <formula>0</formula>
    </cfRule>
  </conditionalFormatting>
  <conditionalFormatting sqref="X199">
    <cfRule type="cellIs" dxfId="300" priority="301" operator="lessThan">
      <formula>0</formula>
    </cfRule>
  </conditionalFormatting>
  <conditionalFormatting sqref="X199">
    <cfRule type="cellIs" dxfId="299" priority="300" operator="lessThan">
      <formula>0</formula>
    </cfRule>
  </conditionalFormatting>
  <conditionalFormatting sqref="X199">
    <cfRule type="cellIs" dxfId="298" priority="298" operator="lessThan">
      <formula>0</formula>
    </cfRule>
    <cfRule type="cellIs" dxfId="297" priority="299" operator="lessThan">
      <formula>0</formula>
    </cfRule>
  </conditionalFormatting>
  <conditionalFormatting sqref="Z199">
    <cfRule type="cellIs" dxfId="296" priority="297" operator="lessThan">
      <formula>0</formula>
    </cfRule>
  </conditionalFormatting>
  <conditionalFormatting sqref="Z199">
    <cfRule type="cellIs" dxfId="295" priority="296" operator="lessThan">
      <formula>0</formula>
    </cfRule>
  </conditionalFormatting>
  <conditionalFormatting sqref="Z199">
    <cfRule type="cellIs" dxfId="294" priority="295" operator="lessThan">
      <formula>0</formula>
    </cfRule>
  </conditionalFormatting>
  <conditionalFormatting sqref="Z199">
    <cfRule type="cellIs" dxfId="293" priority="294" operator="lessThan">
      <formula>0</formula>
    </cfRule>
  </conditionalFormatting>
  <conditionalFormatting sqref="Z199">
    <cfRule type="cellIs" dxfId="292" priority="293" operator="lessThan">
      <formula>0</formula>
    </cfRule>
  </conditionalFormatting>
  <conditionalFormatting sqref="Z199">
    <cfRule type="cellIs" dxfId="291" priority="291" operator="lessThan">
      <formula>0</formula>
    </cfRule>
    <cfRule type="cellIs" dxfId="290" priority="292" operator="lessThan">
      <formula>0</formula>
    </cfRule>
  </conditionalFormatting>
  <conditionalFormatting sqref="AB201:AB208">
    <cfRule type="cellIs" dxfId="289" priority="290" operator="lessThan">
      <formula>0</formula>
    </cfRule>
  </conditionalFormatting>
  <conditionalFormatting sqref="AB201:AB208">
    <cfRule type="cellIs" dxfId="288" priority="289" operator="lessThan">
      <formula>0</formula>
    </cfRule>
  </conditionalFormatting>
  <conditionalFormatting sqref="AB201:AB208">
    <cfRule type="cellIs" dxfId="287" priority="288" operator="lessThan">
      <formula>0</formula>
    </cfRule>
  </conditionalFormatting>
  <conditionalFormatting sqref="AB201:AB208">
    <cfRule type="cellIs" dxfId="286" priority="287" operator="lessThan">
      <formula>0</formula>
    </cfRule>
  </conditionalFormatting>
  <conditionalFormatting sqref="AB201:AB208">
    <cfRule type="cellIs" dxfId="285" priority="286" operator="lessThan">
      <formula>0</formula>
    </cfRule>
  </conditionalFormatting>
  <conditionalFormatting sqref="AB201:AB208">
    <cfRule type="cellIs" dxfId="284" priority="284" operator="lessThan">
      <formula>0</formula>
    </cfRule>
    <cfRule type="cellIs" dxfId="283" priority="285" operator="lessThan">
      <formula>0</formula>
    </cfRule>
  </conditionalFormatting>
  <conditionalFormatting sqref="AC201:AC208">
    <cfRule type="cellIs" dxfId="282" priority="283" operator="lessThan">
      <formula>0</formula>
    </cfRule>
  </conditionalFormatting>
  <conditionalFormatting sqref="AC201:AC208">
    <cfRule type="cellIs" dxfId="281" priority="282" operator="lessThan">
      <formula>0</formula>
    </cfRule>
  </conditionalFormatting>
  <conditionalFormatting sqref="AC201:AC208">
    <cfRule type="cellIs" dxfId="280" priority="281" operator="lessThan">
      <formula>0</formula>
    </cfRule>
  </conditionalFormatting>
  <conditionalFormatting sqref="AC201:AC208">
    <cfRule type="cellIs" dxfId="279" priority="280" operator="lessThan">
      <formula>0</formula>
    </cfRule>
  </conditionalFormatting>
  <conditionalFormatting sqref="AC201:AC208">
    <cfRule type="cellIs" dxfId="278" priority="279" operator="lessThan">
      <formula>0</formula>
    </cfRule>
  </conditionalFormatting>
  <conditionalFormatting sqref="AC201:AC208">
    <cfRule type="cellIs" dxfId="277" priority="277" operator="lessThan">
      <formula>0</formula>
    </cfRule>
    <cfRule type="cellIs" dxfId="276" priority="278" operator="lessThan">
      <formula>0</formula>
    </cfRule>
  </conditionalFormatting>
  <conditionalFormatting sqref="V199">
    <cfRule type="cellIs" dxfId="275" priority="276" operator="lessThan">
      <formula>0</formula>
    </cfRule>
  </conditionalFormatting>
  <conditionalFormatting sqref="V199">
    <cfRule type="cellIs" dxfId="274" priority="275" operator="lessThan">
      <formula>0</formula>
    </cfRule>
  </conditionalFormatting>
  <conditionalFormatting sqref="V199">
    <cfRule type="cellIs" dxfId="273" priority="274" operator="lessThan">
      <formula>0</formula>
    </cfRule>
  </conditionalFormatting>
  <conditionalFormatting sqref="V199">
    <cfRule type="cellIs" dxfId="272" priority="273" operator="lessThan">
      <formula>0</formula>
    </cfRule>
  </conditionalFormatting>
  <conditionalFormatting sqref="V199">
    <cfRule type="cellIs" dxfId="271" priority="272" operator="lessThan">
      <formula>0</formula>
    </cfRule>
  </conditionalFormatting>
  <conditionalFormatting sqref="V199">
    <cfRule type="cellIs" dxfId="270" priority="270" operator="lessThan">
      <formula>0</formula>
    </cfRule>
    <cfRule type="cellIs" dxfId="269" priority="271" operator="lessThan">
      <formula>0</formula>
    </cfRule>
  </conditionalFormatting>
  <conditionalFormatting sqref="AC173">
    <cfRule type="cellIs" dxfId="268" priority="269" operator="lessThan">
      <formula>0</formula>
    </cfRule>
  </conditionalFormatting>
  <conditionalFormatting sqref="AC173">
    <cfRule type="cellIs" dxfId="267" priority="268" operator="lessThan">
      <formula>0</formula>
    </cfRule>
  </conditionalFormatting>
  <conditionalFormatting sqref="AC173">
    <cfRule type="cellIs" dxfId="266" priority="267" operator="lessThan">
      <formula>0</formula>
    </cfRule>
  </conditionalFormatting>
  <conditionalFormatting sqref="AC173">
    <cfRule type="cellIs" dxfId="265" priority="266" operator="lessThan">
      <formula>0</formula>
    </cfRule>
  </conditionalFormatting>
  <conditionalFormatting sqref="AC173">
    <cfRule type="cellIs" dxfId="264" priority="265" operator="lessThan">
      <formula>0</formula>
    </cfRule>
  </conditionalFormatting>
  <conditionalFormatting sqref="AC173">
    <cfRule type="cellIs" dxfId="263" priority="263" operator="lessThan">
      <formula>0</formula>
    </cfRule>
    <cfRule type="cellIs" dxfId="262" priority="264" operator="lessThan">
      <formula>0</formula>
    </cfRule>
  </conditionalFormatting>
  <conditionalFormatting sqref="J166:L166">
    <cfRule type="cellIs" dxfId="261" priority="262" operator="lessThan">
      <formula>0</formula>
    </cfRule>
  </conditionalFormatting>
  <conditionalFormatting sqref="I167">
    <cfRule type="cellIs" dxfId="260" priority="261" operator="lessThan">
      <formula>0</formula>
    </cfRule>
  </conditionalFormatting>
  <conditionalFormatting sqref="I168">
    <cfRule type="cellIs" dxfId="259" priority="260" operator="lessThan">
      <formula>0</formula>
    </cfRule>
  </conditionalFormatting>
  <conditionalFormatting sqref="N166">
    <cfRule type="cellIs" dxfId="258" priority="254" operator="lessThan">
      <formula>0</formula>
    </cfRule>
  </conditionalFormatting>
  <conditionalFormatting sqref="I166">
    <cfRule type="cellIs" dxfId="257" priority="259" operator="lessThan">
      <formula>0</formula>
    </cfRule>
  </conditionalFormatting>
  <conditionalFormatting sqref="I169:I171">
    <cfRule type="cellIs" dxfId="256" priority="258" operator="lessThan">
      <formula>0</formula>
    </cfRule>
  </conditionalFormatting>
  <conditionalFormatting sqref="O166:Q166">
    <cfRule type="cellIs" dxfId="255" priority="257" operator="lessThan">
      <formula>0</formula>
    </cfRule>
  </conditionalFormatting>
  <conditionalFormatting sqref="N167">
    <cfRule type="cellIs" dxfId="254" priority="256" operator="lessThan">
      <formula>0</formula>
    </cfRule>
  </conditionalFormatting>
  <conditionalFormatting sqref="N168">
    <cfRule type="cellIs" dxfId="253" priority="255" operator="lessThan">
      <formula>0</formula>
    </cfRule>
  </conditionalFormatting>
  <conditionalFormatting sqref="N169:N171">
    <cfRule type="cellIs" dxfId="252" priority="253" operator="lessThan">
      <formula>0</formula>
    </cfRule>
  </conditionalFormatting>
  <conditionalFormatting sqref="O167:Q171">
    <cfRule type="cellIs" dxfId="251" priority="252" operator="lessThan">
      <formula>0</formula>
    </cfRule>
  </conditionalFormatting>
  <conditionalFormatting sqref="F29">
    <cfRule type="cellIs" dxfId="250" priority="251" operator="lessThan">
      <formula>0</formula>
    </cfRule>
  </conditionalFormatting>
  <conditionalFormatting sqref="F29">
    <cfRule type="cellIs" dxfId="249" priority="249" operator="lessThan">
      <formula>0</formula>
    </cfRule>
    <cfRule type="cellIs" dxfId="248" priority="250" operator="lessThan">
      <formula>0</formula>
    </cfRule>
  </conditionalFormatting>
  <conditionalFormatting sqref="F30">
    <cfRule type="cellIs" dxfId="247" priority="248" operator="lessThan">
      <formula>0</formula>
    </cfRule>
  </conditionalFormatting>
  <conditionalFormatting sqref="F30">
    <cfRule type="cellIs" dxfId="246" priority="246" operator="lessThan">
      <formula>0</formula>
    </cfRule>
    <cfRule type="cellIs" dxfId="245" priority="247" operator="lessThan">
      <formula>0</formula>
    </cfRule>
  </conditionalFormatting>
  <conditionalFormatting sqref="F31">
    <cfRule type="cellIs" dxfId="244" priority="245" operator="lessThan">
      <formula>0</formula>
    </cfRule>
  </conditionalFormatting>
  <conditionalFormatting sqref="F31">
    <cfRule type="cellIs" dxfId="243" priority="243" operator="lessThan">
      <formula>0</formula>
    </cfRule>
    <cfRule type="cellIs" dxfId="242" priority="244" operator="lessThan">
      <formula>0</formula>
    </cfRule>
  </conditionalFormatting>
  <conditionalFormatting sqref="G31">
    <cfRule type="cellIs" dxfId="241" priority="242" operator="lessThan">
      <formula>0</formula>
    </cfRule>
  </conditionalFormatting>
  <conditionalFormatting sqref="G31">
    <cfRule type="cellIs" dxfId="240" priority="240" operator="lessThan">
      <formula>0</formula>
    </cfRule>
    <cfRule type="cellIs" dxfId="239" priority="241" operator="lessThan">
      <formula>0</formula>
    </cfRule>
  </conditionalFormatting>
  <conditionalFormatting sqref="G30">
    <cfRule type="cellIs" dxfId="238" priority="239" operator="lessThan">
      <formula>0</formula>
    </cfRule>
  </conditionalFormatting>
  <conditionalFormatting sqref="G30">
    <cfRule type="cellIs" dxfId="237" priority="237" operator="lessThan">
      <formula>0</formula>
    </cfRule>
    <cfRule type="cellIs" dxfId="236" priority="238" operator="lessThan">
      <formula>0</formula>
    </cfRule>
  </conditionalFormatting>
  <conditionalFormatting sqref="V148">
    <cfRule type="cellIs" dxfId="235" priority="231" operator="lessThan">
      <formula>0</formula>
    </cfRule>
    <cfRule type="cellIs" dxfId="234" priority="232" operator="lessThan">
      <formula>0</formula>
    </cfRule>
  </conditionalFormatting>
  <conditionalFormatting sqref="V149">
    <cfRule type="cellIs" dxfId="233" priority="236" operator="lessThan">
      <formula>0</formula>
    </cfRule>
  </conditionalFormatting>
  <conditionalFormatting sqref="V149">
    <cfRule type="cellIs" dxfId="232" priority="234" operator="lessThan">
      <formula>0</formula>
    </cfRule>
    <cfRule type="cellIs" dxfId="231" priority="235" operator="lessThan">
      <formula>0</formula>
    </cfRule>
  </conditionalFormatting>
  <conditionalFormatting sqref="V148">
    <cfRule type="cellIs" dxfId="230" priority="233" operator="lessThan">
      <formula>0</formula>
    </cfRule>
  </conditionalFormatting>
  <conditionalFormatting sqref="J145:P145">
    <cfRule type="cellIs" dxfId="229" priority="230" operator="lessThan">
      <formula>0</formula>
    </cfRule>
  </conditionalFormatting>
  <conditionalFormatting sqref="J145:P145">
    <cfRule type="cellIs" dxfId="228" priority="228" operator="lessThan">
      <formula>0</formula>
    </cfRule>
    <cfRule type="cellIs" dxfId="227" priority="229" operator="lessThan">
      <formula>0</formula>
    </cfRule>
  </conditionalFormatting>
  <conditionalFormatting sqref="J143:P144">
    <cfRule type="cellIs" dxfId="226" priority="227" operator="lessThan">
      <formula>0</formula>
    </cfRule>
  </conditionalFormatting>
  <conditionalFormatting sqref="J143:P144">
    <cfRule type="cellIs" dxfId="225" priority="225" operator="lessThan">
      <formula>0</formula>
    </cfRule>
    <cfRule type="cellIs" dxfId="224" priority="226" operator="lessThan">
      <formula>0</formula>
    </cfRule>
  </conditionalFormatting>
  <conditionalFormatting sqref="K132:P136">
    <cfRule type="cellIs" dxfId="223" priority="224" operator="lessThan">
      <formula>0</formula>
    </cfRule>
  </conditionalFormatting>
  <conditionalFormatting sqref="K132:P136">
    <cfRule type="cellIs" dxfId="222" priority="222" operator="lessThan">
      <formula>0</formula>
    </cfRule>
    <cfRule type="cellIs" dxfId="221" priority="223" operator="lessThan">
      <formula>0</formula>
    </cfRule>
  </conditionalFormatting>
  <conditionalFormatting sqref="J132:P136">
    <cfRule type="cellIs" dxfId="220" priority="221" operator="lessThan">
      <formula>0</formula>
    </cfRule>
  </conditionalFormatting>
  <conditionalFormatting sqref="J132:P136">
    <cfRule type="cellIs" dxfId="219" priority="219" operator="lessThan">
      <formula>0</formula>
    </cfRule>
    <cfRule type="cellIs" dxfId="218" priority="220" operator="lessThan">
      <formula>0</formula>
    </cfRule>
  </conditionalFormatting>
  <conditionalFormatting sqref="J181:P183">
    <cfRule type="cellIs" dxfId="217" priority="218" operator="lessThan">
      <formula>0</formula>
    </cfRule>
  </conditionalFormatting>
  <conditionalFormatting sqref="J181:P183">
    <cfRule type="cellIs" dxfId="216" priority="217" operator="lessThan">
      <formula>0</formula>
    </cfRule>
  </conditionalFormatting>
  <conditionalFormatting sqref="J181:P183">
    <cfRule type="cellIs" dxfId="215" priority="216" operator="lessThan">
      <formula>0</formula>
    </cfRule>
  </conditionalFormatting>
  <conditionalFormatting sqref="J181:P183">
    <cfRule type="cellIs" dxfId="214" priority="214" operator="lessThan">
      <formula>0</formula>
    </cfRule>
    <cfRule type="cellIs" dxfId="213" priority="215" operator="lessThan">
      <formula>0</formula>
    </cfRule>
  </conditionalFormatting>
  <conditionalFormatting sqref="V190">
    <cfRule type="cellIs" dxfId="212" priority="213" operator="lessThan">
      <formula>0</formula>
    </cfRule>
  </conditionalFormatting>
  <conditionalFormatting sqref="V190">
    <cfRule type="cellIs" dxfId="211" priority="211" operator="lessThan">
      <formula>0</formula>
    </cfRule>
    <cfRule type="cellIs" dxfId="210" priority="212" operator="lessThan">
      <formula>0</formula>
    </cfRule>
  </conditionalFormatting>
  <conditionalFormatting sqref="W190">
    <cfRule type="cellIs" dxfId="209" priority="210" operator="lessThan">
      <formula>0</formula>
    </cfRule>
  </conditionalFormatting>
  <conditionalFormatting sqref="W190">
    <cfRule type="cellIs" dxfId="208" priority="208" operator="lessThan">
      <formula>0</formula>
    </cfRule>
    <cfRule type="cellIs" dxfId="207" priority="209" operator="lessThan">
      <formula>0</formula>
    </cfRule>
  </conditionalFormatting>
  <conditionalFormatting sqref="J136:P136">
    <cfRule type="cellIs" dxfId="206" priority="201" operator="lessThan">
      <formula>0</formula>
    </cfRule>
  </conditionalFormatting>
  <conditionalFormatting sqref="J136:P136">
    <cfRule type="cellIs" dxfId="205" priority="199" operator="lessThan">
      <formula>0</formula>
    </cfRule>
    <cfRule type="cellIs" dxfId="204" priority="200" operator="lessThan">
      <formula>0</formula>
    </cfRule>
  </conditionalFormatting>
  <conditionalFormatting sqref="K136:P136">
    <cfRule type="cellIs" dxfId="203" priority="204" operator="lessThan">
      <formula>0</formula>
    </cfRule>
  </conditionalFormatting>
  <conditionalFormatting sqref="K136:P136">
    <cfRule type="cellIs" dxfId="202" priority="202" operator="lessThan">
      <formula>0</formula>
    </cfRule>
    <cfRule type="cellIs" dxfId="201" priority="203" operator="lessThan">
      <formula>0</formula>
    </cfRule>
  </conditionalFormatting>
  <conditionalFormatting sqref="G136:H136 J134:P136">
    <cfRule type="cellIs" dxfId="200" priority="207" operator="lessThan">
      <formula>0</formula>
    </cfRule>
  </conditionalFormatting>
  <conditionalFormatting sqref="G136:H136 J134:P136">
    <cfRule type="cellIs" dxfId="199" priority="205" operator="lessThan">
      <formula>0</formula>
    </cfRule>
    <cfRule type="cellIs" dxfId="198" priority="206" operator="lessThan">
      <formula>0</formula>
    </cfRule>
  </conditionalFormatting>
  <conditionalFormatting sqref="F186:F189">
    <cfRule type="cellIs" dxfId="197" priority="192" operator="lessThan">
      <formula>0</formula>
    </cfRule>
  </conditionalFormatting>
  <conditionalFormatting sqref="I134:I136">
    <cfRule type="cellIs" dxfId="196" priority="198" operator="lessThan">
      <formula>0</formula>
    </cfRule>
  </conditionalFormatting>
  <conditionalFormatting sqref="I134:I136">
    <cfRule type="cellIs" dxfId="195" priority="196" operator="lessThan">
      <formula>0</formula>
    </cfRule>
    <cfRule type="cellIs" dxfId="194" priority="197" operator="lessThan">
      <formula>0</formula>
    </cfRule>
  </conditionalFormatting>
  <conditionalFormatting sqref="I136">
    <cfRule type="cellIs" dxfId="193" priority="195" operator="lessThan">
      <formula>0</formula>
    </cfRule>
  </conditionalFormatting>
  <conditionalFormatting sqref="I136">
    <cfRule type="cellIs" dxfId="192" priority="193" operator="lessThan">
      <formula>0</formula>
    </cfRule>
    <cfRule type="cellIs" dxfId="191" priority="194" operator="lessThan">
      <formula>0</formula>
    </cfRule>
  </conditionalFormatting>
  <conditionalFormatting sqref="F186:F189">
    <cfRule type="cellIs" dxfId="190" priority="191" operator="lessThan">
      <formula>0</formula>
    </cfRule>
  </conditionalFormatting>
  <conditionalFormatting sqref="F186:F189">
    <cfRule type="cellIs" dxfId="189" priority="190" operator="lessThan">
      <formula>0</formula>
    </cfRule>
  </conditionalFormatting>
  <conditionalFormatting sqref="F186:F189">
    <cfRule type="cellIs" dxfId="188" priority="188" operator="lessThan">
      <formula>0</formula>
    </cfRule>
    <cfRule type="cellIs" dxfId="187" priority="189" operator="lessThan">
      <formula>0</formula>
    </cfRule>
  </conditionalFormatting>
  <conditionalFormatting sqref="G190">
    <cfRule type="cellIs" dxfId="186" priority="187" operator="lessThan">
      <formula>0</formula>
    </cfRule>
  </conditionalFormatting>
  <conditionalFormatting sqref="G190">
    <cfRule type="cellIs" dxfId="185" priority="185" operator="lessThan">
      <formula>0</formula>
    </cfRule>
    <cfRule type="cellIs" dxfId="184" priority="186" operator="lessThan">
      <formula>0</formula>
    </cfRule>
  </conditionalFormatting>
  <conditionalFormatting sqref="F186:G189 G190">
    <cfRule type="cellIs" dxfId="183" priority="184" operator="lessThan">
      <formula>0</formula>
    </cfRule>
  </conditionalFormatting>
  <conditionalFormatting sqref="F186:G189 G190">
    <cfRule type="cellIs" dxfId="182" priority="183" operator="lessThan">
      <formula>0</formula>
    </cfRule>
  </conditionalFormatting>
  <conditionalFormatting sqref="F186:G189 G190">
    <cfRule type="cellIs" dxfId="181" priority="182" operator="lessThan">
      <formula>0</formula>
    </cfRule>
  </conditionalFormatting>
  <conditionalFormatting sqref="F186:G189 G190">
    <cfRule type="cellIs" dxfId="180" priority="180" operator="lessThan">
      <formula>0</formula>
    </cfRule>
    <cfRule type="cellIs" dxfId="179" priority="181" operator="lessThan">
      <formula>0</formula>
    </cfRule>
  </conditionalFormatting>
  <conditionalFormatting sqref="E38:H41">
    <cfRule type="cellIs" dxfId="178" priority="179" operator="lessThan">
      <formula>0</formula>
    </cfRule>
  </conditionalFormatting>
  <conditionalFormatting sqref="E38:H41">
    <cfRule type="cellIs" dxfId="177" priority="177" operator="lessThan">
      <formula>0</formula>
    </cfRule>
    <cfRule type="cellIs" dxfId="176" priority="178" operator="lessThan">
      <formula>0</formula>
    </cfRule>
  </conditionalFormatting>
  <conditionalFormatting sqref="P38">
    <cfRule type="cellIs" dxfId="175" priority="155" operator="lessThan">
      <formula>0</formula>
    </cfRule>
  </conditionalFormatting>
  <conditionalFormatting sqref="P38">
    <cfRule type="cellIs" dxfId="174" priority="153" operator="lessThan">
      <formula>0</formula>
    </cfRule>
    <cfRule type="cellIs" dxfId="173" priority="154" operator="lessThan">
      <formula>0</formula>
    </cfRule>
  </conditionalFormatting>
  <conditionalFormatting sqref="F39:H39">
    <cfRule type="cellIs" dxfId="172" priority="176" operator="lessThan">
      <formula>0</formula>
    </cfRule>
  </conditionalFormatting>
  <conditionalFormatting sqref="F39:H39">
    <cfRule type="cellIs" dxfId="171" priority="174" operator="lessThan">
      <formula>0</formula>
    </cfRule>
    <cfRule type="cellIs" dxfId="170" priority="175" operator="lessThan">
      <formula>0</formula>
    </cfRule>
  </conditionalFormatting>
  <conditionalFormatting sqref="F40:H40">
    <cfRule type="cellIs" dxfId="169" priority="173" operator="lessThan">
      <formula>0</formula>
    </cfRule>
  </conditionalFormatting>
  <conditionalFormatting sqref="F40:H40">
    <cfRule type="cellIs" dxfId="168" priority="171" operator="lessThan">
      <formula>0</formula>
    </cfRule>
    <cfRule type="cellIs" dxfId="167" priority="172" operator="lessThan">
      <formula>0</formula>
    </cfRule>
  </conditionalFormatting>
  <conditionalFormatting sqref="F41:H41">
    <cfRule type="cellIs" dxfId="166" priority="170" operator="lessThan">
      <formula>0</formula>
    </cfRule>
  </conditionalFormatting>
  <conditionalFormatting sqref="F41:H41">
    <cfRule type="cellIs" dxfId="165" priority="168" operator="lessThan">
      <formula>0</formula>
    </cfRule>
    <cfRule type="cellIs" dxfId="164" priority="169" operator="lessThan">
      <formula>0</formula>
    </cfRule>
  </conditionalFormatting>
  <conditionalFormatting sqref="F38:H41">
    <cfRule type="cellIs" dxfId="163" priority="167" operator="lessThan">
      <formula>0</formula>
    </cfRule>
  </conditionalFormatting>
  <conditionalFormatting sqref="F38:H41">
    <cfRule type="cellIs" dxfId="162" priority="165" operator="lessThan">
      <formula>0</formula>
    </cfRule>
    <cfRule type="cellIs" dxfId="161" priority="166" operator="lessThan">
      <formula>0</formula>
    </cfRule>
  </conditionalFormatting>
  <conditionalFormatting sqref="E42:E43">
    <cfRule type="cellIs" dxfId="160" priority="164" operator="lessThan">
      <formula>0</formula>
    </cfRule>
  </conditionalFormatting>
  <conditionalFormatting sqref="E42:E43">
    <cfRule type="cellIs" dxfId="159" priority="162" operator="lessThan">
      <formula>0</formula>
    </cfRule>
    <cfRule type="cellIs" dxfId="158" priority="163" operator="lessThan">
      <formula>0</formula>
    </cfRule>
  </conditionalFormatting>
  <conditionalFormatting sqref="F42:H43">
    <cfRule type="cellIs" dxfId="157" priority="161" operator="lessThan">
      <formula>0</formula>
    </cfRule>
  </conditionalFormatting>
  <conditionalFormatting sqref="F42:H43">
    <cfRule type="cellIs" dxfId="156" priority="159" operator="lessThan">
      <formula>0</formula>
    </cfRule>
    <cfRule type="cellIs" dxfId="155" priority="160" operator="lessThan">
      <formula>0</formula>
    </cfRule>
  </conditionalFormatting>
  <conditionalFormatting sqref="J128:P128">
    <cfRule type="cellIs" dxfId="154" priority="149" operator="lessThan">
      <formula>0</formula>
    </cfRule>
  </conditionalFormatting>
  <conditionalFormatting sqref="J128:P128">
    <cfRule type="cellIs" dxfId="153" priority="147" operator="lessThan">
      <formula>0</formula>
    </cfRule>
    <cfRule type="cellIs" dxfId="152" priority="148" operator="lessThan">
      <formula>0</formula>
    </cfRule>
  </conditionalFormatting>
  <conditionalFormatting sqref="AB38">
    <cfRule type="cellIs" dxfId="151" priority="158" operator="lessThan">
      <formula>0</formula>
    </cfRule>
  </conditionalFormatting>
  <conditionalFormatting sqref="AB38">
    <cfRule type="cellIs" dxfId="150" priority="156" operator="lessThan">
      <formula>0</formula>
    </cfRule>
    <cfRule type="cellIs" dxfId="149" priority="157" operator="lessThan">
      <formula>0</formula>
    </cfRule>
  </conditionalFormatting>
  <conditionalFormatting sqref="J128:P128">
    <cfRule type="cellIs" dxfId="148" priority="152" operator="lessThan">
      <formula>0</formula>
    </cfRule>
  </conditionalFormatting>
  <conditionalFormatting sqref="J128:P128">
    <cfRule type="cellIs" dxfId="147" priority="150" operator="lessThan">
      <formula>0</formula>
    </cfRule>
    <cfRule type="cellIs" dxfId="146" priority="151" operator="lessThan">
      <formula>0</formula>
    </cfRule>
  </conditionalFormatting>
  <conditionalFormatting sqref="Q38">
    <cfRule type="cellIs" dxfId="145" priority="146" operator="lessThan">
      <formula>0</formula>
    </cfRule>
  </conditionalFormatting>
  <conditionalFormatting sqref="Q38">
    <cfRule type="cellIs" dxfId="144" priority="144" operator="lessThan">
      <formula>0</formula>
    </cfRule>
    <cfRule type="cellIs" dxfId="143" priority="145" operator="lessThan">
      <formula>0</formula>
    </cfRule>
  </conditionalFormatting>
  <conditionalFormatting sqref="V132:V136">
    <cfRule type="cellIs" dxfId="142" priority="143" operator="lessThan">
      <formula>0</formula>
    </cfRule>
  </conditionalFormatting>
  <conditionalFormatting sqref="V132:V136">
    <cfRule type="cellIs" dxfId="141" priority="141" operator="lessThan">
      <formula>0</formula>
    </cfRule>
    <cfRule type="cellIs" dxfId="140" priority="142" operator="lessThan">
      <formula>0</formula>
    </cfRule>
  </conditionalFormatting>
  <conditionalFormatting sqref="I141:I142">
    <cfRule type="cellIs" dxfId="139" priority="140" operator="lessThan">
      <formula>0</formula>
    </cfRule>
  </conditionalFormatting>
  <conditionalFormatting sqref="I141:I142">
    <cfRule type="cellIs" dxfId="138" priority="138" operator="lessThan">
      <formula>0</formula>
    </cfRule>
    <cfRule type="cellIs" dxfId="137" priority="139" operator="lessThan">
      <formula>0</formula>
    </cfRule>
  </conditionalFormatting>
  <conditionalFormatting sqref="J132:P136">
    <cfRule type="cellIs" dxfId="136" priority="137" operator="lessThan">
      <formula>0</formula>
    </cfRule>
  </conditionalFormatting>
  <conditionalFormatting sqref="J132:P136">
    <cfRule type="cellIs" dxfId="135" priority="135" operator="lessThan">
      <formula>0</formula>
    </cfRule>
    <cfRule type="cellIs" dxfId="134" priority="136" operator="lessThan">
      <formula>0</formula>
    </cfRule>
  </conditionalFormatting>
  <conditionalFormatting sqref="J130:P131">
    <cfRule type="cellIs" dxfId="133" priority="134" operator="lessThan">
      <formula>0</formula>
    </cfRule>
  </conditionalFormatting>
  <conditionalFormatting sqref="J130:P131">
    <cfRule type="cellIs" dxfId="132" priority="132" operator="lessThan">
      <formula>0</formula>
    </cfRule>
    <cfRule type="cellIs" dxfId="131" priority="133" operator="lessThan">
      <formula>0</formula>
    </cfRule>
  </conditionalFormatting>
  <conditionalFormatting sqref="I38:I43">
    <cfRule type="cellIs" dxfId="130" priority="131" operator="lessThan">
      <formula>0</formula>
    </cfRule>
  </conditionalFormatting>
  <conditionalFormatting sqref="I38:I43">
    <cfRule type="cellIs" dxfId="129" priority="129" operator="lessThan">
      <formula>0</formula>
    </cfRule>
    <cfRule type="cellIs" dxfId="128" priority="130" operator="lessThan">
      <formula>0</formula>
    </cfRule>
  </conditionalFormatting>
  <conditionalFormatting sqref="F190">
    <cfRule type="cellIs" dxfId="127" priority="128" operator="lessThan">
      <formula>0</formula>
    </cfRule>
  </conditionalFormatting>
  <conditionalFormatting sqref="F190">
    <cfRule type="cellIs" dxfId="126" priority="126" operator="lessThan">
      <formula>0</formula>
    </cfRule>
    <cfRule type="cellIs" dxfId="125" priority="127" operator="lessThan">
      <formula>0</formula>
    </cfRule>
  </conditionalFormatting>
  <conditionalFormatting sqref="F190">
    <cfRule type="cellIs" dxfId="124" priority="125" operator="lessThan">
      <formula>0</formula>
    </cfRule>
  </conditionalFormatting>
  <conditionalFormatting sqref="F190">
    <cfRule type="cellIs" dxfId="123" priority="124" operator="lessThan">
      <formula>0</formula>
    </cfRule>
  </conditionalFormatting>
  <conditionalFormatting sqref="F190">
    <cfRule type="cellIs" dxfId="122" priority="123" operator="lessThan">
      <formula>0</formula>
    </cfRule>
  </conditionalFormatting>
  <conditionalFormatting sqref="F190">
    <cfRule type="cellIs" dxfId="121" priority="121" operator="lessThan">
      <formula>0</formula>
    </cfRule>
    <cfRule type="cellIs" dxfId="120" priority="122" operator="lessThan">
      <formula>0</formula>
    </cfRule>
  </conditionalFormatting>
  <conditionalFormatting sqref="I152:I155">
    <cfRule type="cellIs" dxfId="119" priority="120" operator="lessThan">
      <formula>0</formula>
    </cfRule>
  </conditionalFormatting>
  <conditionalFormatting sqref="I152:I155">
    <cfRule type="cellIs" dxfId="118" priority="118" operator="lessThan">
      <formula>0</formula>
    </cfRule>
    <cfRule type="cellIs" dxfId="117" priority="119" operator="lessThan">
      <formula>0</formula>
    </cfRule>
  </conditionalFormatting>
  <conditionalFormatting sqref="O217">
    <cfRule type="cellIs" dxfId="116" priority="102" operator="lessThan">
      <formula>0</formula>
    </cfRule>
  </conditionalFormatting>
  <conditionalFormatting sqref="P218">
    <cfRule type="cellIs" dxfId="115" priority="66" operator="lessThan">
      <formula>0</formula>
    </cfRule>
    <cfRule type="cellIs" dxfId="114" priority="67" operator="lessThan">
      <formula>0</formula>
    </cfRule>
  </conditionalFormatting>
  <conditionalFormatting sqref="P218">
    <cfRule type="cellIs" dxfId="113" priority="65" operator="lessThan">
      <formula>0</formula>
    </cfRule>
  </conditionalFormatting>
  <conditionalFormatting sqref="I152:I155">
    <cfRule type="cellIs" dxfId="112" priority="117" operator="lessThan">
      <formula>0</formula>
    </cfRule>
  </conditionalFormatting>
  <conditionalFormatting sqref="I152:I155">
    <cfRule type="cellIs" dxfId="111" priority="115" operator="lessThan">
      <formula>0</formula>
    </cfRule>
    <cfRule type="cellIs" dxfId="110" priority="116" operator="lessThan">
      <formula>0</formula>
    </cfRule>
  </conditionalFormatting>
  <conditionalFormatting sqref="P217">
    <cfRule type="cellIs" dxfId="109" priority="75" operator="lessThan">
      <formula>0</formula>
    </cfRule>
  </conditionalFormatting>
  <conditionalFormatting sqref="O218">
    <cfRule type="cellIs" dxfId="108" priority="98" operator="lessThan">
      <formula>0</formula>
    </cfRule>
  </conditionalFormatting>
  <conditionalFormatting sqref="P217">
    <cfRule type="cellIs" dxfId="107" priority="76" operator="lessThan">
      <formula>0</formula>
    </cfRule>
    <cfRule type="cellIs" dxfId="106" priority="77" operator="lessThan">
      <formula>0</formula>
    </cfRule>
  </conditionalFormatting>
  <conditionalFormatting sqref="O218">
    <cfRule type="cellIs" dxfId="105" priority="92" operator="lessThan">
      <formula>0</formula>
    </cfRule>
  </conditionalFormatting>
  <conditionalFormatting sqref="I154:I155">
    <cfRule type="cellIs" dxfId="104" priority="114" operator="lessThan">
      <formula>0</formula>
    </cfRule>
  </conditionalFormatting>
  <conditionalFormatting sqref="I154:I155">
    <cfRule type="cellIs" dxfId="103" priority="112" operator="lessThan">
      <formula>0</formula>
    </cfRule>
    <cfRule type="cellIs" dxfId="102" priority="113" operator="lessThan">
      <formula>0</formula>
    </cfRule>
  </conditionalFormatting>
  <conditionalFormatting sqref="J152:P155">
    <cfRule type="cellIs" dxfId="101" priority="111" operator="lessThan">
      <formula>0</formula>
    </cfRule>
  </conditionalFormatting>
  <conditionalFormatting sqref="J152:P155">
    <cfRule type="cellIs" dxfId="100" priority="109" operator="lessThan">
      <formula>0</formula>
    </cfRule>
    <cfRule type="cellIs" dxfId="99" priority="110" operator="lessThan">
      <formula>0</formula>
    </cfRule>
  </conditionalFormatting>
  <conditionalFormatting sqref="O218">
    <cfRule type="cellIs" dxfId="98" priority="91" operator="lessThan">
      <formula>0</formula>
    </cfRule>
  </conditionalFormatting>
  <conditionalFormatting sqref="O218">
    <cfRule type="cellIs" dxfId="97" priority="89" operator="lessThan">
      <formula>0</formula>
    </cfRule>
    <cfRule type="cellIs" dxfId="96" priority="90" operator="lessThan">
      <formula>0</formula>
    </cfRule>
  </conditionalFormatting>
  <conditionalFormatting sqref="O217">
    <cfRule type="cellIs" dxfId="95" priority="108" operator="lessThan">
      <formula>0</formula>
    </cfRule>
  </conditionalFormatting>
  <conditionalFormatting sqref="O217">
    <cfRule type="cellIs" dxfId="94" priority="107" operator="lessThan">
      <formula>0</formula>
    </cfRule>
  </conditionalFormatting>
  <conditionalFormatting sqref="O217">
    <cfRule type="cellIs" dxfId="93" priority="106" operator="lessThan">
      <formula>0</formula>
    </cfRule>
  </conditionalFormatting>
  <conditionalFormatting sqref="O217">
    <cfRule type="cellIs" dxfId="92" priority="104" operator="lessThan">
      <formula>0</formula>
    </cfRule>
    <cfRule type="cellIs" dxfId="91" priority="105" operator="lessThan">
      <formula>0</formula>
    </cfRule>
  </conditionalFormatting>
  <conditionalFormatting sqref="O217">
    <cfRule type="cellIs" dxfId="90" priority="103" operator="lessThan">
      <formula>0</formula>
    </cfRule>
  </conditionalFormatting>
  <conditionalFormatting sqref="H217:H219">
    <cfRule type="cellIs" dxfId="89" priority="84" operator="lessThan">
      <formula>0</formula>
    </cfRule>
  </conditionalFormatting>
  <conditionalFormatting sqref="O217">
    <cfRule type="cellIs" dxfId="88" priority="101" operator="lessThan">
      <formula>0</formula>
    </cfRule>
  </conditionalFormatting>
  <conditionalFormatting sqref="O217">
    <cfRule type="cellIs" dxfId="87" priority="99" operator="lessThan">
      <formula>0</formula>
    </cfRule>
    <cfRule type="cellIs" dxfId="86" priority="100" operator="lessThan">
      <formula>0</formula>
    </cfRule>
  </conditionalFormatting>
  <conditionalFormatting sqref="P217">
    <cfRule type="cellIs" dxfId="85" priority="78" operator="lessThan">
      <formula>0</formula>
    </cfRule>
  </conditionalFormatting>
  <conditionalFormatting sqref="O218">
    <cfRule type="cellIs" dxfId="84" priority="97" operator="lessThan">
      <formula>0</formula>
    </cfRule>
  </conditionalFormatting>
  <conditionalFormatting sqref="O218">
    <cfRule type="cellIs" dxfId="83" priority="96" operator="lessThan">
      <formula>0</formula>
    </cfRule>
  </conditionalFormatting>
  <conditionalFormatting sqref="O218">
    <cfRule type="cellIs" dxfId="82" priority="94" operator="lessThan">
      <formula>0</formula>
    </cfRule>
    <cfRule type="cellIs" dxfId="81" priority="95" operator="lessThan">
      <formula>0</formula>
    </cfRule>
  </conditionalFormatting>
  <conditionalFormatting sqref="O218">
    <cfRule type="cellIs" dxfId="80" priority="93" operator="lessThan">
      <formula>0</formula>
    </cfRule>
  </conditionalFormatting>
  <conditionalFormatting sqref="H223:H225">
    <cfRule type="cellIs" dxfId="79" priority="56" operator="lessThan">
      <formula>0</formula>
    </cfRule>
  </conditionalFormatting>
  <conditionalFormatting sqref="H217:H219">
    <cfRule type="cellIs" dxfId="78" priority="83" operator="lessThan">
      <formula>0</formula>
    </cfRule>
  </conditionalFormatting>
  <conditionalFormatting sqref="H217:H219">
    <cfRule type="cellIs" dxfId="77" priority="81" operator="lessThan">
      <formula>0</formula>
    </cfRule>
    <cfRule type="cellIs" dxfId="76" priority="82" operator="lessThan">
      <formula>0</formula>
    </cfRule>
  </conditionalFormatting>
  <conditionalFormatting sqref="P218">
    <cfRule type="cellIs" dxfId="75" priority="70" operator="lessThan">
      <formula>0</formula>
    </cfRule>
  </conditionalFormatting>
  <conditionalFormatting sqref="P218">
    <cfRule type="cellIs" dxfId="74" priority="69" operator="lessThan">
      <formula>0</formula>
    </cfRule>
  </conditionalFormatting>
  <conditionalFormatting sqref="H219">
    <cfRule type="cellIs" dxfId="73" priority="88" operator="lessThan">
      <formula>0</formula>
    </cfRule>
  </conditionalFormatting>
  <conditionalFormatting sqref="H219">
    <cfRule type="cellIs" dxfId="72" priority="86" operator="lessThan">
      <formula>0</formula>
    </cfRule>
    <cfRule type="cellIs" dxfId="71" priority="87" operator="lessThan">
      <formula>0</formula>
    </cfRule>
  </conditionalFormatting>
  <conditionalFormatting sqref="H217:H219">
    <cfRule type="cellIs" dxfId="70" priority="85" operator="lessThan">
      <formula>0</formula>
    </cfRule>
  </conditionalFormatting>
  <conditionalFormatting sqref="P218">
    <cfRule type="cellIs" dxfId="69" priority="68" operator="lessThan">
      <formula>0</formula>
    </cfRule>
  </conditionalFormatting>
  <conditionalFormatting sqref="P218">
    <cfRule type="cellIs" dxfId="68" priority="63" operator="lessThan">
      <formula>0</formula>
    </cfRule>
  </conditionalFormatting>
  <conditionalFormatting sqref="P218">
    <cfRule type="cellIs" dxfId="67" priority="61" operator="lessThan">
      <formula>0</formula>
    </cfRule>
    <cfRule type="cellIs" dxfId="66" priority="62" operator="lessThan">
      <formula>0</formula>
    </cfRule>
  </conditionalFormatting>
  <conditionalFormatting sqref="H225">
    <cfRule type="cellIs" dxfId="65" priority="60" operator="lessThan">
      <formula>0</formula>
    </cfRule>
  </conditionalFormatting>
  <conditionalFormatting sqref="H225">
    <cfRule type="cellIs" dxfId="64" priority="58" operator="lessThan">
      <formula>0</formula>
    </cfRule>
    <cfRule type="cellIs" dxfId="63" priority="59" operator="lessThan">
      <formula>0</formula>
    </cfRule>
  </conditionalFormatting>
  <conditionalFormatting sqref="H223:H225">
    <cfRule type="cellIs" dxfId="62" priority="57" operator="lessThan">
      <formula>0</formula>
    </cfRule>
  </conditionalFormatting>
  <conditionalFormatting sqref="P218">
    <cfRule type="cellIs" dxfId="61" priority="64" operator="lessThan">
      <formula>0</formula>
    </cfRule>
  </conditionalFormatting>
  <conditionalFormatting sqref="H223:H225">
    <cfRule type="cellIs" dxfId="60" priority="55" operator="lessThan">
      <formula>0</formula>
    </cfRule>
  </conditionalFormatting>
  <conditionalFormatting sqref="H223:H225">
    <cfRule type="cellIs" dxfId="59" priority="53" operator="lessThan">
      <formula>0</formula>
    </cfRule>
    <cfRule type="cellIs" dxfId="58" priority="54" operator="lessThan">
      <formula>0</formula>
    </cfRule>
  </conditionalFormatting>
  <conditionalFormatting sqref="P217">
    <cfRule type="cellIs" dxfId="57" priority="74" operator="lessThan">
      <formula>0</formula>
    </cfRule>
  </conditionalFormatting>
  <conditionalFormatting sqref="L217:L219">
    <cfRule type="cellIs" dxfId="56" priority="48" operator="lessThan">
      <formula>0</formula>
    </cfRule>
  </conditionalFormatting>
  <conditionalFormatting sqref="L217:L219">
    <cfRule type="cellIs" dxfId="55" priority="47" operator="lessThan">
      <formula>0</formula>
    </cfRule>
  </conditionalFormatting>
  <conditionalFormatting sqref="L217:L219">
    <cfRule type="cellIs" dxfId="54" priority="45" operator="lessThan">
      <formula>0</formula>
    </cfRule>
    <cfRule type="cellIs" dxfId="53" priority="46" operator="lessThan">
      <formula>0</formula>
    </cfRule>
  </conditionalFormatting>
  <conditionalFormatting sqref="P217">
    <cfRule type="cellIs" dxfId="52" priority="80" operator="lessThan">
      <formula>0</formula>
    </cfRule>
  </conditionalFormatting>
  <conditionalFormatting sqref="P217">
    <cfRule type="cellIs" dxfId="51" priority="79" operator="lessThan">
      <formula>0</formula>
    </cfRule>
  </conditionalFormatting>
  <conditionalFormatting sqref="P217">
    <cfRule type="cellIs" dxfId="50" priority="73" operator="lessThan">
      <formula>0</formula>
    </cfRule>
  </conditionalFormatting>
  <conditionalFormatting sqref="P217">
    <cfRule type="cellIs" dxfId="49" priority="71" operator="lessThan">
      <formula>0</formula>
    </cfRule>
    <cfRule type="cellIs" dxfId="48" priority="72" operator="lessThan">
      <formula>0</formula>
    </cfRule>
  </conditionalFormatting>
  <conditionalFormatting sqref="L223:L225">
    <cfRule type="cellIs" dxfId="47" priority="39" operator="lessThan">
      <formula>0</formula>
    </cfRule>
  </conditionalFormatting>
  <conditionalFormatting sqref="L223:L225">
    <cfRule type="cellIs" dxfId="46" priority="37" operator="lessThan">
      <formula>0</formula>
    </cfRule>
    <cfRule type="cellIs" dxfId="45" priority="38" operator="lessThan">
      <formula>0</formula>
    </cfRule>
  </conditionalFormatting>
  <conditionalFormatting sqref="L219">
    <cfRule type="cellIs" dxfId="44" priority="52" operator="lessThan">
      <formula>0</formula>
    </cfRule>
  </conditionalFormatting>
  <conditionalFormatting sqref="L219">
    <cfRule type="cellIs" dxfId="43" priority="50" operator="lessThan">
      <formula>0</formula>
    </cfRule>
    <cfRule type="cellIs" dxfId="42" priority="51" operator="lessThan">
      <formula>0</formula>
    </cfRule>
  </conditionalFormatting>
  <conditionalFormatting sqref="L217:L219">
    <cfRule type="cellIs" dxfId="41" priority="49" operator="lessThan">
      <formula>0</formula>
    </cfRule>
  </conditionalFormatting>
  <conditionalFormatting sqref="L223:L225">
    <cfRule type="cellIs" dxfId="40" priority="40" operator="lessThan">
      <formula>0</formula>
    </cfRule>
  </conditionalFormatting>
  <conditionalFormatting sqref="L225">
    <cfRule type="cellIs" dxfId="39" priority="44" operator="lessThan">
      <formula>0</formula>
    </cfRule>
  </conditionalFormatting>
  <conditionalFormatting sqref="L225">
    <cfRule type="cellIs" dxfId="38" priority="42" operator="lessThan">
      <formula>0</formula>
    </cfRule>
    <cfRule type="cellIs" dxfId="37" priority="43" operator="lessThan">
      <formula>0</formula>
    </cfRule>
  </conditionalFormatting>
  <conditionalFormatting sqref="L223:L225">
    <cfRule type="cellIs" dxfId="36" priority="41" operator="lessThan">
      <formula>0</formula>
    </cfRule>
  </conditionalFormatting>
  <conditionalFormatting sqref="AA38">
    <cfRule type="cellIs" dxfId="35" priority="36" operator="lessThan">
      <formula>0</formula>
    </cfRule>
  </conditionalFormatting>
  <conditionalFormatting sqref="AA38">
    <cfRule type="cellIs" dxfId="34" priority="34" operator="lessThan">
      <formula>0</formula>
    </cfRule>
    <cfRule type="cellIs" dxfId="33" priority="35" operator="lessThan">
      <formula>0</formula>
    </cfRule>
  </conditionalFormatting>
  <conditionalFormatting sqref="J55:P62">
    <cfRule type="cellIs" dxfId="32" priority="33" operator="lessThan">
      <formula>0</formula>
    </cfRule>
  </conditionalFormatting>
  <conditionalFormatting sqref="J55:P62">
    <cfRule type="cellIs" dxfId="31" priority="31" operator="lessThan">
      <formula>0</formula>
    </cfRule>
    <cfRule type="cellIs" dxfId="30" priority="32" operator="lessThan">
      <formula>0</formula>
    </cfRule>
  </conditionalFormatting>
  <conditionalFormatting sqref="J62:P62">
    <cfRule type="cellIs" dxfId="29" priority="30" operator="lessThan">
      <formula>0</formula>
    </cfRule>
  </conditionalFormatting>
  <conditionalFormatting sqref="J62:P62">
    <cfRule type="cellIs" dxfId="28" priority="28" operator="lessThan">
      <formula>0</formula>
    </cfRule>
    <cfRule type="cellIs" dxfId="27" priority="29" operator="lessThan">
      <formula>0</formula>
    </cfRule>
  </conditionalFormatting>
  <conditionalFormatting sqref="H56 G55:H55 G57:H64">
    <cfRule type="cellIs" dxfId="26" priority="27" operator="lessThan">
      <formula>0</formula>
    </cfRule>
  </conditionalFormatting>
  <conditionalFormatting sqref="H56 G55:H55 G57:H64">
    <cfRule type="cellIs" dxfId="25" priority="25" operator="lessThan">
      <formula>0</formula>
    </cfRule>
    <cfRule type="cellIs" dxfId="24" priority="26" operator="lessThan">
      <formula>0</formula>
    </cfRule>
  </conditionalFormatting>
  <conditionalFormatting sqref="G62:H62">
    <cfRule type="cellIs" dxfId="23" priority="24" operator="lessThan">
      <formula>0</formula>
    </cfRule>
  </conditionalFormatting>
  <conditionalFormatting sqref="G62:H62">
    <cfRule type="cellIs" dxfId="22" priority="22" operator="lessThan">
      <formula>0</formula>
    </cfRule>
    <cfRule type="cellIs" dxfId="21" priority="23" operator="lessThan">
      <formula>0</formula>
    </cfRule>
  </conditionalFormatting>
  <conditionalFormatting sqref="G56">
    <cfRule type="cellIs" dxfId="20" priority="21" operator="lessThan">
      <formula>0</formula>
    </cfRule>
  </conditionalFormatting>
  <conditionalFormatting sqref="G56">
    <cfRule type="cellIs" dxfId="19" priority="19" operator="lessThan">
      <formula>0</formula>
    </cfRule>
    <cfRule type="cellIs" dxfId="18" priority="20" operator="lessThan">
      <formula>0</formula>
    </cfRule>
  </conditionalFormatting>
  <conditionalFormatting sqref="E58:E64">
    <cfRule type="cellIs" dxfId="17" priority="18" operator="lessThan">
      <formula>0</formula>
    </cfRule>
  </conditionalFormatting>
  <conditionalFormatting sqref="E58:E64">
    <cfRule type="cellIs" dxfId="16" priority="16" operator="lessThan">
      <formula>0</formula>
    </cfRule>
    <cfRule type="cellIs" dxfId="15" priority="17" operator="lessThan">
      <formula>0</formula>
    </cfRule>
  </conditionalFormatting>
  <conditionalFormatting sqref="E62">
    <cfRule type="cellIs" dxfId="14" priority="15" operator="lessThan">
      <formula>0</formula>
    </cfRule>
  </conditionalFormatting>
  <conditionalFormatting sqref="E62">
    <cfRule type="cellIs" dxfId="13" priority="13" operator="lessThan">
      <formula>0</formula>
    </cfRule>
    <cfRule type="cellIs" dxfId="12" priority="14" operator="lessThan">
      <formula>0</formula>
    </cfRule>
  </conditionalFormatting>
  <conditionalFormatting sqref="P193">
    <cfRule type="cellIs" dxfId="11" priority="12" operator="lessThan">
      <formula>0</formula>
    </cfRule>
  </conditionalFormatting>
  <conditionalFormatting sqref="P193">
    <cfRule type="cellIs" dxfId="10" priority="10" operator="lessThan">
      <formula>0</formula>
    </cfRule>
    <cfRule type="cellIs" dxfId="9" priority="11" operator="lessThan">
      <formula>0</formula>
    </cfRule>
  </conditionalFormatting>
  <conditionalFormatting sqref="J203:J205 K203:P203">
    <cfRule type="cellIs" dxfId="8" priority="9" operator="lessThan">
      <formula>0</formula>
    </cfRule>
  </conditionalFormatting>
  <conditionalFormatting sqref="J203:J205 K203:P203">
    <cfRule type="cellIs" dxfId="7" priority="7" operator="lessThan">
      <formula>0</formula>
    </cfRule>
    <cfRule type="cellIs" dxfId="6" priority="8" operator="lessThan">
      <formula>0</formula>
    </cfRule>
  </conditionalFormatting>
  <conditionalFormatting sqref="J203:P203">
    <cfRule type="cellIs" dxfId="5" priority="6" operator="lessThan">
      <formula>0</formula>
    </cfRule>
  </conditionalFormatting>
  <conditionalFormatting sqref="J203:P203">
    <cfRule type="cellIs" dxfId="4" priority="4" operator="lessThan">
      <formula>0</formula>
    </cfRule>
    <cfRule type="cellIs" dxfId="3" priority="5" operator="lessThan">
      <formula>0</formula>
    </cfRule>
  </conditionalFormatting>
  <conditionalFormatting sqref="Q18">
    <cfRule type="cellIs" dxfId="2" priority="3" operator="lessThan">
      <formula>0</formula>
    </cfRule>
  </conditionalFormatting>
  <conditionalFormatting sqref="Q18">
    <cfRule type="cellIs" dxfId="1" priority="1" operator="lessThan">
      <formula>0</formula>
    </cfRule>
    <cfRule type="cellIs" dxfId="0" priority="2" operator="lessThan">
      <formula>0</formula>
    </cfRule>
  </conditionalFormatting>
  <pageMargins left="0.39370078740157483" right="0.74803149606299213" top="0.23622047244094491" bottom="0.70866141732283472" header="0.47244094488188981" footer="0.35433070866141736"/>
  <pageSetup paperSize="3" scale="86" orientation="landscape" horizontalDpi="4294967293" r:id="rId1"/>
  <headerFooter scaleWithDoc="0">
    <oddFooter xml:space="preserve">&amp;L&amp;"Times New Roman,Bold"&amp;10&amp;K00+000     &amp;KF0505ACONFIDENTIAL&amp;C&amp;"Times New Roman,Bold"&amp;10&amp;KF0505A&amp;T - &amp;D&amp;R&amp;"Times New Roman,Bold"&amp;10&amp;KF0505A#&amp;P/&amp;N&amp;K00+000__&amp;9_&amp;U&amp;KF0505A   &amp;11   </oddFooter>
  </headerFooter>
  <rowBreaks count="3" manualBreakCount="3">
    <brk id="123" min="1" max="19" man="1"/>
    <brk id="160" min="1" max="19" man="1"/>
    <brk id="208" min="1" max="19" man="1"/>
  </rowBreaks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7E14D2-6A9F-D04D-B2EC-A3E49AA89865}">
  <dimension ref="B2:L72"/>
  <sheetViews>
    <sheetView topLeftCell="A2" zoomScale="120" zoomScaleNormal="120" workbookViewId="0">
      <selection activeCell="D26" sqref="D26"/>
    </sheetView>
  </sheetViews>
  <sheetFormatPr baseColWidth="10" defaultColWidth="8.83203125" defaultRowHeight="14" x14ac:dyDescent="0.15"/>
  <cols>
    <col min="1" max="2" width="8.83203125" style="56"/>
    <col min="3" max="3" width="33.5" style="56" bestFit="1" customWidth="1"/>
    <col min="4" max="4" width="14.83203125" style="56" bestFit="1" customWidth="1"/>
    <col min="5" max="5" width="10.5" style="56" bestFit="1" customWidth="1"/>
    <col min="6" max="6" width="12.33203125" style="56" bestFit="1" customWidth="1"/>
    <col min="7" max="7" width="8.83203125" style="56"/>
    <col min="8" max="8" width="33.5" style="56" bestFit="1" customWidth="1"/>
    <col min="9" max="9" width="14.83203125" style="56" bestFit="1" customWidth="1"/>
    <col min="10" max="10" width="10.5" style="56" bestFit="1" customWidth="1"/>
    <col min="11" max="12" width="11.33203125" style="56" bestFit="1" customWidth="1"/>
    <col min="13" max="16384" width="8.83203125" style="56"/>
  </cols>
  <sheetData>
    <row r="2" spans="2:12" x14ac:dyDescent="0.15">
      <c r="C2" s="56" t="s">
        <v>437</v>
      </c>
    </row>
    <row r="3" spans="2:12" x14ac:dyDescent="0.15">
      <c r="C3" s="295" t="s">
        <v>438</v>
      </c>
    </row>
    <row r="4" spans="2:12" x14ac:dyDescent="0.15">
      <c r="C4" s="295" t="s">
        <v>439</v>
      </c>
    </row>
    <row r="6" spans="2:12" x14ac:dyDescent="0.15">
      <c r="B6" s="296" t="s">
        <v>440</v>
      </c>
      <c r="C6" s="297"/>
      <c r="D6" s="297"/>
      <c r="E6" s="297"/>
      <c r="G6" s="296" t="s">
        <v>441</v>
      </c>
      <c r="H6" s="297"/>
      <c r="I6" s="297"/>
      <c r="J6" s="297"/>
    </row>
    <row r="7" spans="2:12" x14ac:dyDescent="0.15">
      <c r="C7" s="56" t="s">
        <v>264</v>
      </c>
      <c r="D7" s="298">
        <v>2387</v>
      </c>
    </row>
    <row r="8" spans="2:12" x14ac:dyDescent="0.15">
      <c r="C8" s="56" t="s">
        <v>442</v>
      </c>
      <c r="D8" s="299">
        <v>0.1467</v>
      </c>
      <c r="H8" s="56" t="s">
        <v>443</v>
      </c>
      <c r="I8" s="300">
        <f>D29</f>
        <v>23201.419890988305</v>
      </c>
      <c r="J8" s="301"/>
    </row>
    <row r="9" spans="2:12" x14ac:dyDescent="0.15">
      <c r="C9" s="56" t="s">
        <v>444</v>
      </c>
      <c r="D9" s="299">
        <v>0.12</v>
      </c>
      <c r="H9" s="56" t="s">
        <v>445</v>
      </c>
      <c r="I9" s="302" t="e">
        <f>SUMIF('[1]1'!J53:P53,EXIT_DATE,'[1]1'!J184:P184)</f>
        <v>#VALUE!</v>
      </c>
    </row>
    <row r="10" spans="2:12" x14ac:dyDescent="0.15">
      <c r="H10" s="56" t="s">
        <v>446</v>
      </c>
      <c r="I10" s="303" t="e">
        <f>SUM(I8:I9)</f>
        <v>#VALUE!</v>
      </c>
    </row>
    <row r="11" spans="2:12" x14ac:dyDescent="0.15">
      <c r="B11" s="296" t="s">
        <v>447</v>
      </c>
      <c r="C11" s="297"/>
      <c r="D11" s="297"/>
      <c r="E11" s="297"/>
      <c r="F11" s="300"/>
    </row>
    <row r="12" spans="2:12" x14ac:dyDescent="0.15">
      <c r="C12" s="56" t="s">
        <v>448</v>
      </c>
      <c r="D12" s="304">
        <v>4.5</v>
      </c>
      <c r="H12" s="56" t="s">
        <v>449</v>
      </c>
      <c r="I12" s="305">
        <f>'[1]1'!Q187</f>
        <v>17086.647356935173</v>
      </c>
      <c r="K12" s="306"/>
    </row>
    <row r="13" spans="2:12" x14ac:dyDescent="0.15">
      <c r="C13" s="56" t="s">
        <v>450</v>
      </c>
      <c r="D13" s="304">
        <v>2.8</v>
      </c>
      <c r="H13" s="56" t="s">
        <v>451</v>
      </c>
      <c r="I13" s="305">
        <f>'[1]1'!Q186</f>
        <v>1114.3465667566416</v>
      </c>
    </row>
    <row r="14" spans="2:12" x14ac:dyDescent="0.15">
      <c r="C14" s="56" t="s">
        <v>452</v>
      </c>
      <c r="D14" s="94">
        <f>(D12-D13)*D7</f>
        <v>4057.9000000000005</v>
      </c>
      <c r="E14" s="306"/>
      <c r="F14" s="306"/>
      <c r="H14" s="56" t="s">
        <v>453</v>
      </c>
      <c r="I14" s="307">
        <f>'[1]1'!Q189</f>
        <v>5800.3549727470763</v>
      </c>
      <c r="K14" s="306"/>
    </row>
    <row r="15" spans="2:12" x14ac:dyDescent="0.15">
      <c r="C15" s="56" t="s">
        <v>454</v>
      </c>
      <c r="D15" s="308">
        <f>'[1]1'!Q16</f>
        <v>214.83</v>
      </c>
      <c r="H15" s="56" t="s">
        <v>455</v>
      </c>
      <c r="I15" s="303">
        <f>SUM(I12:I14)</f>
        <v>24001.348896438889</v>
      </c>
      <c r="K15" s="306"/>
      <c r="L15" s="306"/>
    </row>
    <row r="16" spans="2:12" x14ac:dyDescent="0.15">
      <c r="C16" s="56" t="s">
        <v>456</v>
      </c>
      <c r="D16" s="309">
        <f>'[1]1'!Q19</f>
        <v>477.40000000000003</v>
      </c>
    </row>
    <row r="17" spans="2:10" x14ac:dyDescent="0.15">
      <c r="C17" s="56" t="s">
        <v>457</v>
      </c>
      <c r="D17" s="310">
        <f>SUM(D14:D16)</f>
        <v>4750.13</v>
      </c>
      <c r="H17" s="56" t="s">
        <v>458</v>
      </c>
      <c r="I17" s="311">
        <f>'[1]1'!R187</f>
        <v>0.33840720057487483</v>
      </c>
    </row>
    <row r="18" spans="2:10" x14ac:dyDescent="0.15">
      <c r="D18" s="312"/>
      <c r="H18" s="56" t="s">
        <v>459</v>
      </c>
      <c r="I18" s="78">
        <f>'[1]1'!$S$187</f>
        <v>3.7144885558554726</v>
      </c>
      <c r="J18" s="306"/>
    </row>
    <row r="19" spans="2:10" x14ac:dyDescent="0.15">
      <c r="B19" s="296" t="s">
        <v>460</v>
      </c>
      <c r="C19" s="297"/>
      <c r="D19" s="313"/>
      <c r="E19" s="297"/>
      <c r="J19" s="306"/>
    </row>
    <row r="20" spans="2:10" x14ac:dyDescent="0.15">
      <c r="C20" s="56" t="s">
        <v>461</v>
      </c>
      <c r="D20" s="298">
        <v>400</v>
      </c>
      <c r="H20" s="59" t="s">
        <v>462</v>
      </c>
      <c r="I20" s="138">
        <f>'[1]1'!$I$198</f>
        <v>0.47148035168647762</v>
      </c>
      <c r="J20" s="314"/>
    </row>
    <row r="21" spans="2:10" x14ac:dyDescent="0.15">
      <c r="C21" s="56" t="s">
        <v>463</v>
      </c>
      <c r="D21" s="315">
        <f>D20*1.5</f>
        <v>600</v>
      </c>
      <c r="H21" s="59" t="s">
        <v>464</v>
      </c>
      <c r="I21" s="316">
        <f>'[1]1'!$I$199</f>
        <v>5.5717328337832077</v>
      </c>
    </row>
    <row r="22" spans="2:10" x14ac:dyDescent="0.15">
      <c r="D22" s="317"/>
    </row>
    <row r="23" spans="2:10" x14ac:dyDescent="0.15">
      <c r="B23" s="296" t="s">
        <v>465</v>
      </c>
      <c r="C23" s="297"/>
      <c r="D23" s="318"/>
      <c r="E23" s="297"/>
      <c r="H23" s="56" t="s">
        <v>466</v>
      </c>
      <c r="I23" s="300">
        <f>I13</f>
        <v>1114.3465667566416</v>
      </c>
    </row>
    <row r="24" spans="2:10" x14ac:dyDescent="0.15">
      <c r="C24" s="56" t="s">
        <v>467</v>
      </c>
      <c r="D24" s="317">
        <v>5</v>
      </c>
      <c r="E24" s="319" t="s">
        <v>468</v>
      </c>
      <c r="H24" s="56" t="s">
        <v>469</v>
      </c>
      <c r="I24" s="300">
        <f>'[1]1'!Q203</f>
        <v>707.17328337832078</v>
      </c>
    </row>
    <row r="25" spans="2:10" x14ac:dyDescent="0.15">
      <c r="C25" s="56" t="s">
        <v>264</v>
      </c>
      <c r="D25" s="305">
        <f>'[1]1'!G167</f>
        <v>4206.7095977984018</v>
      </c>
      <c r="H25" s="59" t="s">
        <v>470</v>
      </c>
      <c r="I25" s="300">
        <f>'[1]1'!$Q$207</f>
        <v>407.17328337832089</v>
      </c>
    </row>
    <row r="26" spans="2:10" x14ac:dyDescent="0.15">
      <c r="C26" s="56" t="s">
        <v>471</v>
      </c>
      <c r="D26" s="304">
        <v>5</v>
      </c>
    </row>
    <row r="27" spans="2:10" x14ac:dyDescent="0.15">
      <c r="C27" s="56" t="s">
        <v>472</v>
      </c>
      <c r="D27" s="305">
        <f>'[1]1'!G169</f>
        <v>21033.54798899201</v>
      </c>
      <c r="H27" s="59" t="s">
        <v>473</v>
      </c>
      <c r="I27" s="138">
        <f>'[1]1'!I204</f>
        <v>0.33928727507591261</v>
      </c>
    </row>
    <row r="28" spans="2:10" x14ac:dyDescent="0.15">
      <c r="C28" s="123" t="s">
        <v>474</v>
      </c>
      <c r="D28" s="305">
        <f>'[1]1'!G170</f>
        <v>3087.8480159883111</v>
      </c>
      <c r="H28" s="59" t="s">
        <v>475</v>
      </c>
      <c r="I28" s="316">
        <f>'[1]1'!I205</f>
        <v>3.5358664168916039</v>
      </c>
    </row>
    <row r="29" spans="2:10" x14ac:dyDescent="0.15">
      <c r="C29" s="56" t="s">
        <v>476</v>
      </c>
      <c r="D29" s="305">
        <f>'[1]1'!G171</f>
        <v>23201.419890988305</v>
      </c>
    </row>
    <row r="47" spans="4:4" x14ac:dyDescent="0.15">
      <c r="D47" s="305"/>
    </row>
    <row r="69" spans="3:5" ht="18" x14ac:dyDescent="0.2">
      <c r="C69" s="320" t="s">
        <v>477</v>
      </c>
      <c r="D69" s="321">
        <v>50</v>
      </c>
    </row>
    <row r="70" spans="3:5" ht="18" x14ac:dyDescent="0.2">
      <c r="C70" s="320" t="s">
        <v>116</v>
      </c>
      <c r="D70" s="322">
        <v>0.05</v>
      </c>
      <c r="E70" s="56" t="s">
        <v>478</v>
      </c>
    </row>
    <row r="71" spans="3:5" ht="18" x14ac:dyDescent="0.2">
      <c r="C71" s="320"/>
      <c r="D71" s="320"/>
    </row>
    <row r="72" spans="3:5" ht="18" x14ac:dyDescent="0.2">
      <c r="C72" s="320" t="s">
        <v>479</v>
      </c>
      <c r="D72" s="323">
        <f>D69*'[1]1'!J158*1000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Simple</vt:lpstr>
      <vt:lpstr>Yearly BS</vt:lpstr>
      <vt:lpstr>Yearly IS</vt:lpstr>
      <vt:lpstr>CCC</vt:lpstr>
      <vt:lpstr>Inv. Model</vt:lpstr>
      <vt:lpstr>Inv. Model Drivers</vt:lpstr>
      <vt:lpstr>EXIT_DATE</vt:lpstr>
      <vt:lpstr>'Inv. Model'!Print_Area</vt:lpstr>
      <vt:lpstr>'Inv. Model'!Print_Titles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Will Sullivan</cp:lastModifiedBy>
  <dcterms:created xsi:type="dcterms:W3CDTF">2021-03-31T17:21:30Z</dcterms:created>
  <dcterms:modified xsi:type="dcterms:W3CDTF">2021-04-13T17:25:12Z</dcterms:modified>
</cp:coreProperties>
</file>