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tradelabkaz-my.sharepoint.com/personal/sergey_smirnov_grotexmed_com/Documents/"/>
    </mc:Choice>
  </mc:AlternateContent>
  <xr:revisionPtr revIDLastSave="0" documentId="8_{0AEEB07E-76CB-8141-BE73-7C60FA177F40}" xr6:coauthVersionLast="47" xr6:coauthVersionMax="47" xr10:uidLastSave="{00000000-0000-0000-0000-000000000000}"/>
  <bookViews>
    <workbookView xWindow="-120" yWindow="-16320" windowWidth="29040" windowHeight="15840" xr2:uid="{B96C0DC7-9A5E-49CE-AE53-909CD1A75F2B}"/>
  </bookViews>
  <sheets>
    <sheet name="4pl" sheetId="1" r:id="rId1"/>
    <sheet name="Averkieva" sheetId="3" r:id="rId2"/>
    <sheet name="weighted mean potency"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3" l="1"/>
  <c r="I42" i="1"/>
  <c r="J42" i="1"/>
  <c r="J43" i="1"/>
  <c r="I43" i="1"/>
  <c r="P44" i="1"/>
  <c r="P45" i="1"/>
  <c r="P46" i="1"/>
  <c r="P47" i="1"/>
  <c r="P48" i="1"/>
  <c r="P49" i="1"/>
  <c r="P50" i="1"/>
  <c r="P51" i="1"/>
  <c r="P52" i="1"/>
  <c r="O44" i="1"/>
  <c r="O45" i="1"/>
  <c r="O46" i="1"/>
  <c r="O47" i="1"/>
  <c r="O48" i="1"/>
  <c r="O49" i="1"/>
  <c r="O50" i="1"/>
  <c r="O51" i="1"/>
  <c r="O52" i="1"/>
  <c r="P43" i="1"/>
  <c r="O43" i="1"/>
  <c r="N44" i="1"/>
  <c r="N45" i="1"/>
  <c r="N46" i="1"/>
  <c r="N47" i="1"/>
  <c r="N48" i="1"/>
  <c r="N49" i="1"/>
  <c r="N50" i="1"/>
  <c r="N51" i="1"/>
  <c r="N52" i="1"/>
  <c r="N43" i="1"/>
  <c r="M44" i="1"/>
  <c r="M45" i="1"/>
  <c r="M46" i="1"/>
  <c r="M47" i="1"/>
  <c r="M48" i="1"/>
  <c r="M49" i="1"/>
  <c r="M50" i="1"/>
  <c r="M51" i="1"/>
  <c r="M52" i="1"/>
  <c r="M43" i="1"/>
  <c r="E87" i="1"/>
  <c r="E78" i="1"/>
  <c r="K76" i="1"/>
  <c r="E77" i="1"/>
  <c r="F78" i="1"/>
  <c r="G78" i="1"/>
  <c r="H78" i="1"/>
  <c r="I78" i="1"/>
  <c r="J78" i="1"/>
  <c r="F79" i="1"/>
  <c r="G79" i="1"/>
  <c r="H79" i="1"/>
  <c r="I79" i="1"/>
  <c r="J79" i="1"/>
  <c r="F80" i="1"/>
  <c r="G80" i="1"/>
  <c r="H80" i="1"/>
  <c r="I80" i="1"/>
  <c r="J80" i="1"/>
  <c r="F81" i="1"/>
  <c r="G81" i="1"/>
  <c r="H81" i="1"/>
  <c r="I81" i="1"/>
  <c r="J81" i="1"/>
  <c r="F82" i="1"/>
  <c r="G82" i="1"/>
  <c r="H82" i="1"/>
  <c r="I82" i="1"/>
  <c r="J82" i="1"/>
  <c r="F83" i="1"/>
  <c r="G83" i="1"/>
  <c r="H83" i="1"/>
  <c r="I83" i="1"/>
  <c r="J83" i="1"/>
  <c r="F84" i="1"/>
  <c r="G84" i="1"/>
  <c r="H84" i="1"/>
  <c r="I84" i="1"/>
  <c r="J84" i="1"/>
  <c r="F85" i="1"/>
  <c r="G85" i="1"/>
  <c r="H85" i="1"/>
  <c r="I85" i="1"/>
  <c r="J85" i="1"/>
  <c r="F86" i="1"/>
  <c r="G86" i="1"/>
  <c r="H86" i="1"/>
  <c r="I86" i="1"/>
  <c r="J86" i="1"/>
  <c r="F77" i="1"/>
  <c r="G77" i="1"/>
  <c r="H77" i="1"/>
  <c r="I77" i="1"/>
  <c r="J77" i="1"/>
  <c r="E79" i="1"/>
  <c r="E80" i="1"/>
  <c r="E81" i="1"/>
  <c r="E82" i="1"/>
  <c r="E83" i="1"/>
  <c r="E84" i="1"/>
  <c r="E85" i="1"/>
  <c r="E86" i="1"/>
  <c r="I76" i="1"/>
  <c r="J76" i="1"/>
  <c r="F76" i="1"/>
  <c r="G76" i="1"/>
  <c r="H76" i="1"/>
  <c r="E76" i="1"/>
  <c r="F48" i="1"/>
  <c r="F49" i="1"/>
  <c r="C48" i="1"/>
  <c r="C45" i="1"/>
  <c r="I45" i="1"/>
  <c r="I44" i="1"/>
  <c r="E24" i="1"/>
  <c r="G24" i="1"/>
  <c r="E15" i="1"/>
  <c r="G15" i="1"/>
  <c r="F46" i="3"/>
  <c r="F45" i="3"/>
  <c r="Q4" i="3"/>
  <c r="Q2" i="3"/>
  <c r="C45" i="3"/>
  <c r="G15" i="3"/>
  <c r="I16" i="3"/>
  <c r="I17" i="3"/>
  <c r="I18" i="3"/>
  <c r="I19" i="3"/>
  <c r="I20" i="3"/>
  <c r="I21" i="3"/>
  <c r="I22" i="3"/>
  <c r="I23" i="3"/>
  <c r="I24" i="3"/>
  <c r="I25" i="3"/>
  <c r="I26" i="3"/>
  <c r="I27" i="3"/>
  <c r="I28" i="3"/>
  <c r="I29" i="3"/>
  <c r="I30" i="3"/>
  <c r="I31" i="3"/>
  <c r="I32" i="3"/>
  <c r="I33" i="3"/>
  <c r="I34" i="3"/>
  <c r="I15" i="3"/>
  <c r="H25" i="3"/>
  <c r="H26" i="3"/>
  <c r="H27" i="3"/>
  <c r="H28" i="3"/>
  <c r="H29" i="3"/>
  <c r="H30" i="3"/>
  <c r="H31" i="3"/>
  <c r="H32" i="3"/>
  <c r="H33" i="3"/>
  <c r="H34" i="3"/>
  <c r="H16" i="3"/>
  <c r="H17" i="3"/>
  <c r="H18" i="3"/>
  <c r="H19" i="3"/>
  <c r="H20" i="3"/>
  <c r="H21" i="3"/>
  <c r="H22" i="3"/>
  <c r="H23" i="3"/>
  <c r="H24" i="3"/>
  <c r="H15" i="3"/>
  <c r="G26" i="3"/>
  <c r="G27" i="3"/>
  <c r="G28" i="3"/>
  <c r="G29" i="3"/>
  <c r="G30" i="3"/>
  <c r="G31" i="3"/>
  <c r="G32" i="3"/>
  <c r="G33" i="3"/>
  <c r="G34" i="3"/>
  <c r="G25" i="3"/>
  <c r="G16" i="3"/>
  <c r="G17" i="3"/>
  <c r="G18" i="3"/>
  <c r="G19" i="3"/>
  <c r="G20" i="3"/>
  <c r="G21" i="3"/>
  <c r="G22" i="3"/>
  <c r="G23" i="3"/>
  <c r="G24" i="3"/>
  <c r="E16" i="3"/>
  <c r="E17" i="3"/>
  <c r="E18" i="3"/>
  <c r="E19" i="3"/>
  <c r="E20" i="3"/>
  <c r="E21" i="3"/>
  <c r="E22" i="3"/>
  <c r="E23" i="3"/>
  <c r="E24" i="3"/>
  <c r="E25" i="3"/>
  <c r="E26" i="3"/>
  <c r="E27" i="3"/>
  <c r="E28" i="3"/>
  <c r="E29" i="3"/>
  <c r="E30" i="3"/>
  <c r="E31" i="3"/>
  <c r="E32" i="3"/>
  <c r="E33" i="3"/>
  <c r="E34" i="3"/>
  <c r="E15" i="3"/>
  <c r="V6" i="3"/>
  <c r="V5" i="3"/>
  <c r="V10" i="3"/>
  <c r="V9" i="3"/>
  <c r="G17" i="1"/>
  <c r="I17" i="1"/>
  <c r="G18" i="1"/>
  <c r="I18" i="1"/>
  <c r="G19" i="1"/>
  <c r="I19" i="1"/>
  <c r="G20" i="1"/>
  <c r="I20" i="1"/>
  <c r="G21" i="1"/>
  <c r="I21" i="1"/>
  <c r="R12" i="1"/>
  <c r="E25" i="1"/>
  <c r="G25" i="1"/>
  <c r="E26" i="1"/>
  <c r="G26" i="1"/>
  <c r="H26" i="1"/>
  <c r="E27" i="1"/>
  <c r="G27" i="1"/>
  <c r="I27" i="1"/>
  <c r="E28" i="1"/>
  <c r="G28" i="1"/>
  <c r="H28" i="1"/>
  <c r="E29" i="1"/>
  <c r="G29" i="1"/>
  <c r="E30" i="1"/>
  <c r="G30" i="1"/>
  <c r="E31" i="1"/>
  <c r="G31" i="1"/>
  <c r="E32" i="1"/>
  <c r="G32" i="1"/>
  <c r="E33" i="1"/>
  <c r="G33" i="1"/>
  <c r="E34" i="1"/>
  <c r="G34" i="1"/>
  <c r="E16" i="1"/>
  <c r="G16" i="1"/>
  <c r="E17" i="1"/>
  <c r="E18" i="1"/>
  <c r="E19" i="1"/>
  <c r="E20" i="1"/>
  <c r="E21" i="1"/>
  <c r="E22" i="1"/>
  <c r="G22" i="1"/>
  <c r="H22" i="1"/>
  <c r="E23" i="1"/>
  <c r="G23" i="1"/>
  <c r="H23" i="1"/>
  <c r="R6" i="1"/>
  <c r="R5" i="1"/>
  <c r="M2" i="3"/>
  <c r="M53" i="1"/>
  <c r="I25" i="1"/>
  <c r="H25" i="1"/>
  <c r="I30" i="1"/>
  <c r="H30" i="1"/>
  <c r="I16" i="1"/>
  <c r="H16" i="1"/>
  <c r="I34" i="1"/>
  <c r="H34" i="1"/>
  <c r="I33" i="1"/>
  <c r="H33" i="1"/>
  <c r="I32" i="1"/>
  <c r="H32" i="1"/>
  <c r="I31" i="1"/>
  <c r="H31" i="1"/>
  <c r="H29" i="1"/>
  <c r="I29" i="1"/>
  <c r="I28" i="1"/>
  <c r="H21" i="1"/>
  <c r="H20" i="1"/>
  <c r="H19" i="1"/>
  <c r="I26" i="1"/>
  <c r="H18" i="1"/>
  <c r="I22" i="1"/>
  <c r="H17" i="1"/>
  <c r="H27" i="1"/>
  <c r="I23" i="1"/>
  <c r="I15" i="1"/>
  <c r="I24" i="1"/>
  <c r="H24" i="1"/>
  <c r="H15" i="1"/>
  <c r="D2" i="1"/>
  <c r="D3" i="1"/>
  <c r="V12" i="3"/>
  <c r="J3" i="3"/>
  <c r="O3" i="3"/>
  <c r="J4" i="3"/>
  <c r="O4" i="3"/>
  <c r="J5" i="3"/>
  <c r="P5" i="3"/>
  <c r="J6" i="3"/>
  <c r="O6" i="3"/>
  <c r="J7" i="3"/>
  <c r="O7" i="3"/>
  <c r="J8" i="3"/>
  <c r="P8" i="3"/>
  <c r="J9" i="3"/>
  <c r="N9" i="3"/>
  <c r="J10" i="3"/>
  <c r="J11" i="3"/>
  <c r="P11" i="3"/>
  <c r="J2" i="3"/>
  <c r="O2" i="3"/>
  <c r="E3" i="3"/>
  <c r="K3" i="3"/>
  <c r="E4" i="3"/>
  <c r="M4" i="3"/>
  <c r="E5" i="3"/>
  <c r="K5" i="3"/>
  <c r="E6" i="3"/>
  <c r="K6" i="3"/>
  <c r="E7" i="3"/>
  <c r="K7" i="3"/>
  <c r="E8" i="3"/>
  <c r="M8" i="3"/>
  <c r="E9" i="3"/>
  <c r="K9" i="3"/>
  <c r="E10" i="3"/>
  <c r="K10" i="3"/>
  <c r="E11" i="3"/>
  <c r="M11" i="3"/>
  <c r="E2" i="3"/>
  <c r="C49" i="3"/>
  <c r="C48" i="3"/>
  <c r="C47" i="3"/>
  <c r="C46" i="3"/>
  <c r="E44" i="3"/>
  <c r="C43" i="3"/>
  <c r="E43" i="3"/>
  <c r="F34" i="3"/>
  <c r="F33" i="3"/>
  <c r="F32" i="3"/>
  <c r="F31" i="3"/>
  <c r="F30" i="3"/>
  <c r="F29" i="3"/>
  <c r="F28" i="3"/>
  <c r="F27" i="3"/>
  <c r="F26" i="3"/>
  <c r="F25" i="3"/>
  <c r="F24" i="3"/>
  <c r="F23" i="3"/>
  <c r="F22" i="3"/>
  <c r="F21" i="3"/>
  <c r="F20" i="3"/>
  <c r="F19" i="3"/>
  <c r="F18" i="3"/>
  <c r="F17" i="3"/>
  <c r="F16" i="3"/>
  <c r="F15" i="3"/>
  <c r="L3" i="2"/>
  <c r="K3" i="2"/>
  <c r="I3" i="2"/>
  <c r="M2" i="2"/>
  <c r="D44" i="1"/>
  <c r="E44" i="1"/>
  <c r="F44" i="1"/>
  <c r="J15" i="1"/>
  <c r="I46" i="1"/>
  <c r="D47" i="1"/>
  <c r="E47" i="1"/>
  <c r="F47" i="1"/>
  <c r="J25" i="3"/>
  <c r="O8" i="3"/>
  <c r="P7" i="3"/>
  <c r="N4" i="3"/>
  <c r="N8" i="3"/>
  <c r="N7" i="3"/>
  <c r="N6" i="3"/>
  <c r="N5" i="3"/>
  <c r="P6" i="3"/>
  <c r="P4" i="3"/>
  <c r="O10" i="3"/>
  <c r="O5" i="3"/>
  <c r="P10" i="3"/>
  <c r="N11" i="3"/>
  <c r="P9" i="3"/>
  <c r="P3" i="3"/>
  <c r="N3" i="3"/>
  <c r="N10" i="3"/>
  <c r="O11" i="3"/>
  <c r="O9" i="3"/>
  <c r="K8" i="3"/>
  <c r="M9" i="3"/>
  <c r="L8" i="3"/>
  <c r="K4" i="3"/>
  <c r="L4" i="3"/>
  <c r="M5" i="3"/>
  <c r="L5" i="3"/>
  <c r="L9" i="3"/>
  <c r="M7" i="3"/>
  <c r="M3" i="3"/>
  <c r="L11" i="3"/>
  <c r="L7" i="3"/>
  <c r="L3" i="3"/>
  <c r="M6" i="3"/>
  <c r="L10" i="3"/>
  <c r="L6" i="3"/>
  <c r="K11" i="3"/>
  <c r="M10" i="3"/>
  <c r="N2" i="3"/>
  <c r="P2" i="3"/>
  <c r="L2" i="3"/>
  <c r="J15" i="3"/>
  <c r="K2" i="3"/>
  <c r="L2" i="2"/>
  <c r="K2" i="2"/>
  <c r="J2" i="2"/>
  <c r="I2" i="2"/>
  <c r="H9" i="2"/>
  <c r="H3" i="2"/>
  <c r="H4" i="2"/>
  <c r="H5" i="2"/>
  <c r="H8" i="2"/>
  <c r="H6" i="2"/>
  <c r="H7" i="2"/>
  <c r="H2" i="2"/>
  <c r="A8" i="2"/>
  <c r="G3" i="2"/>
  <c r="G4" i="2"/>
  <c r="G5" i="2"/>
  <c r="G6" i="2"/>
  <c r="G7" i="2"/>
  <c r="G2" i="2"/>
  <c r="E3" i="2"/>
  <c r="E4" i="2"/>
  <c r="E5" i="2"/>
  <c r="E6" i="2"/>
  <c r="E7" i="2"/>
  <c r="E2" i="2"/>
  <c r="C43" i="1"/>
  <c r="H2" i="1"/>
  <c r="L2" i="1"/>
  <c r="C49" i="1"/>
  <c r="C47" i="1"/>
  <c r="C46" i="1"/>
  <c r="D43" i="1"/>
  <c r="E43" i="1"/>
  <c r="F43" i="1"/>
  <c r="K31" i="3"/>
  <c r="J27" i="3"/>
  <c r="J32" i="3"/>
  <c r="J24" i="3"/>
  <c r="J20" i="3"/>
  <c r="J21" i="3"/>
  <c r="J23" i="3"/>
  <c r="J34" i="3"/>
  <c r="K2" i="1"/>
  <c r="H3" i="1"/>
  <c r="L3" i="1"/>
  <c r="H4" i="1"/>
  <c r="K4" i="1"/>
  <c r="H5" i="1"/>
  <c r="K5" i="1"/>
  <c r="H6" i="1"/>
  <c r="H7" i="1"/>
  <c r="K7" i="1"/>
  <c r="H8" i="1"/>
  <c r="H9" i="1"/>
  <c r="K9" i="1"/>
  <c r="H10" i="1"/>
  <c r="K10" i="1"/>
  <c r="H11" i="1"/>
  <c r="L11" i="1"/>
  <c r="I3" i="1"/>
  <c r="D4" i="1"/>
  <c r="I4" i="1"/>
  <c r="D5" i="1"/>
  <c r="D6" i="1"/>
  <c r="D7" i="1"/>
  <c r="J7" i="1"/>
  <c r="D8" i="1"/>
  <c r="J8" i="1"/>
  <c r="D9" i="1"/>
  <c r="J9" i="1"/>
  <c r="D10" i="1"/>
  <c r="J10" i="1"/>
  <c r="D11" i="1"/>
  <c r="J11" i="1"/>
  <c r="K8" i="1"/>
  <c r="J31" i="1"/>
  <c r="L6" i="1"/>
  <c r="J29" i="1"/>
  <c r="J29" i="3"/>
  <c r="J28" i="3"/>
  <c r="J30" i="3"/>
  <c r="J17" i="3"/>
  <c r="J19" i="3"/>
  <c r="J18" i="3"/>
  <c r="J16" i="3"/>
  <c r="J33" i="3"/>
  <c r="J22" i="3"/>
  <c r="J31" i="3"/>
  <c r="J27" i="1"/>
  <c r="J30" i="1"/>
  <c r="J32" i="1"/>
  <c r="J25" i="1"/>
  <c r="J18" i="1"/>
  <c r="K30" i="3"/>
  <c r="L8" i="1"/>
  <c r="K11" i="1"/>
  <c r="L10" i="1"/>
  <c r="L9" i="1"/>
  <c r="L7" i="1"/>
  <c r="L5" i="1"/>
  <c r="I10" i="1"/>
  <c r="I9" i="1"/>
  <c r="I8" i="1"/>
  <c r="I7" i="1"/>
  <c r="I11" i="1"/>
  <c r="J20" i="1"/>
  <c r="J26" i="3"/>
  <c r="J22" i="1"/>
  <c r="J21" i="1"/>
  <c r="K3" i="1"/>
  <c r="J24" i="1"/>
  <c r="J5" i="1"/>
  <c r="J3" i="1"/>
  <c r="J4" i="1"/>
  <c r="J23" i="1"/>
  <c r="J19" i="1"/>
  <c r="I6" i="1"/>
  <c r="J6" i="1"/>
  <c r="L4" i="1"/>
  <c r="J28" i="1"/>
  <c r="J17" i="1"/>
  <c r="K6" i="1"/>
  <c r="J16" i="1"/>
  <c r="I5" i="1"/>
  <c r="J2" i="1"/>
  <c r="I2" i="1"/>
  <c r="F16" i="1"/>
  <c r="F17" i="1"/>
  <c r="F18" i="1"/>
  <c r="F19" i="1"/>
  <c r="F20" i="1"/>
  <c r="F21" i="1"/>
  <c r="F22" i="1"/>
  <c r="F23" i="1"/>
  <c r="F24" i="1"/>
  <c r="F25" i="1"/>
  <c r="F26" i="1"/>
  <c r="F27" i="1"/>
  <c r="F28" i="1"/>
  <c r="F29" i="1"/>
  <c r="F30" i="1"/>
  <c r="F31" i="1"/>
  <c r="F32" i="1"/>
  <c r="F33" i="1"/>
  <c r="F34" i="1"/>
  <c r="F15" i="1"/>
  <c r="J34" i="1"/>
  <c r="K33" i="3"/>
  <c r="L33" i="3"/>
  <c r="K15" i="3"/>
  <c r="K23" i="3"/>
  <c r="K25" i="3"/>
  <c r="L25" i="3"/>
  <c r="M4" i="1"/>
  <c r="K28" i="3"/>
  <c r="M28" i="3"/>
  <c r="K16" i="3"/>
  <c r="M16" i="3"/>
  <c r="M31" i="3"/>
  <c r="K26" i="3"/>
  <c r="M26" i="3"/>
  <c r="K21" i="3"/>
  <c r="L21" i="3"/>
  <c r="O30" i="3"/>
  <c r="L30" i="3"/>
  <c r="K19" i="3"/>
  <c r="N19" i="3"/>
  <c r="K32" i="3"/>
  <c r="O32" i="3"/>
  <c r="K34" i="3"/>
  <c r="L34" i="3"/>
  <c r="K17" i="3"/>
  <c r="P17" i="3"/>
  <c r="K24" i="3"/>
  <c r="K22" i="3"/>
  <c r="P22" i="3"/>
  <c r="K27" i="3"/>
  <c r="M27" i="3"/>
  <c r="K18" i="3"/>
  <c r="O18" i="3"/>
  <c r="K20" i="3"/>
  <c r="N20" i="3"/>
  <c r="K29" i="3"/>
  <c r="P29" i="3"/>
  <c r="P30" i="3"/>
  <c r="M30" i="3"/>
  <c r="N30" i="3"/>
  <c r="J33" i="1"/>
  <c r="J26" i="1"/>
  <c r="M2" i="1"/>
  <c r="M6" i="1"/>
  <c r="L23" i="3"/>
  <c r="N23" i="3"/>
  <c r="M23" i="3"/>
  <c r="O23" i="3"/>
  <c r="P23" i="3"/>
  <c r="K26" i="1"/>
  <c r="O26" i="1"/>
  <c r="M15" i="3"/>
  <c r="B37" i="3"/>
  <c r="B38" i="3"/>
  <c r="L16" i="3"/>
  <c r="O16" i="3"/>
  <c r="N16" i="3"/>
  <c r="P16" i="3"/>
  <c r="N15" i="3"/>
  <c r="O31" i="3"/>
  <c r="P31" i="3"/>
  <c r="N31" i="3"/>
  <c r="L31" i="3"/>
  <c r="L27" i="3"/>
  <c r="P18" i="3"/>
  <c r="M18" i="3"/>
  <c r="L29" i="3"/>
  <c r="O29" i="3"/>
  <c r="M20" i="3"/>
  <c r="L15" i="3"/>
  <c r="N29" i="3"/>
  <c r="L18" i="3"/>
  <c r="N18" i="3"/>
  <c r="P15" i="3"/>
  <c r="N27" i="3"/>
  <c r="O15" i="3"/>
  <c r="P26" i="3"/>
  <c r="M34" i="3"/>
  <c r="M29" i="3"/>
  <c r="L26" i="3"/>
  <c r="L28" i="3"/>
  <c r="N26" i="3"/>
  <c r="N28" i="3"/>
  <c r="O26" i="3"/>
  <c r="L20" i="3"/>
  <c r="O34" i="3"/>
  <c r="P34" i="3"/>
  <c r="O28" i="3"/>
  <c r="P28" i="3"/>
  <c r="P20" i="3"/>
  <c r="N34" i="3"/>
  <c r="M19" i="3"/>
  <c r="P33" i="3"/>
  <c r="O20" i="3"/>
  <c r="M21" i="3"/>
  <c r="P21" i="3"/>
  <c r="O21" i="3"/>
  <c r="N21" i="3"/>
  <c r="N33" i="3"/>
  <c r="P25" i="3"/>
  <c r="M25" i="3"/>
  <c r="O33" i="3"/>
  <c r="M24" i="3"/>
  <c r="P24" i="3"/>
  <c r="O24" i="3"/>
  <c r="N24" i="3"/>
  <c r="L24" i="3"/>
  <c r="L22" i="3"/>
  <c r="N22" i="3"/>
  <c r="O19" i="3"/>
  <c r="P19" i="3"/>
  <c r="M22" i="3"/>
  <c r="P27" i="3"/>
  <c r="O25" i="3"/>
  <c r="M33" i="3"/>
  <c r="M17" i="3"/>
  <c r="N17" i="3"/>
  <c r="L17" i="3"/>
  <c r="O22" i="3"/>
  <c r="M32" i="3"/>
  <c r="P32" i="3"/>
  <c r="N32" i="3"/>
  <c r="L32" i="3"/>
  <c r="L19" i="3"/>
  <c r="O27" i="3"/>
  <c r="O17" i="3"/>
  <c r="N25" i="3"/>
  <c r="K15" i="1"/>
  <c r="K31" i="1"/>
  <c r="L31" i="1"/>
  <c r="K33" i="1"/>
  <c r="L33" i="1"/>
  <c r="K17" i="1"/>
  <c r="L17" i="1"/>
  <c r="K20" i="1"/>
  <c r="L20" i="1"/>
  <c r="K27" i="1"/>
  <c r="N27" i="1"/>
  <c r="K29" i="1"/>
  <c r="L29" i="1"/>
  <c r="K18" i="1"/>
  <c r="N18" i="1"/>
  <c r="K32" i="1"/>
  <c r="O32" i="1"/>
  <c r="K23" i="1"/>
  <c r="P23" i="1"/>
  <c r="K25" i="1"/>
  <c r="O25" i="1"/>
  <c r="K21" i="1"/>
  <c r="O21" i="1"/>
  <c r="K16" i="1"/>
  <c r="O16" i="1"/>
  <c r="K22" i="1"/>
  <c r="P22" i="1"/>
  <c r="K34" i="1"/>
  <c r="M34" i="1"/>
  <c r="K28" i="1"/>
  <c r="O28" i="1"/>
  <c r="N15" i="1"/>
  <c r="K24" i="1"/>
  <c r="L24" i="1"/>
  <c r="K19" i="1"/>
  <c r="L19" i="1"/>
  <c r="O31" i="1"/>
  <c r="K30" i="1"/>
  <c r="P30" i="1"/>
  <c r="M26" i="1"/>
  <c r="P26" i="1"/>
  <c r="L26" i="1"/>
  <c r="N26" i="1"/>
  <c r="E37" i="3"/>
  <c r="C37" i="3"/>
  <c r="K37" i="3"/>
  <c r="E38" i="3"/>
  <c r="D38" i="3"/>
  <c r="L38" i="3"/>
  <c r="G38" i="3"/>
  <c r="F37" i="3"/>
  <c r="C38" i="3"/>
  <c r="K38" i="3"/>
  <c r="D37" i="3"/>
  <c r="L37" i="3"/>
  <c r="F38" i="3"/>
  <c r="G37" i="3"/>
  <c r="P27" i="1"/>
  <c r="L27" i="1"/>
  <c r="M27" i="1"/>
  <c r="P32" i="1"/>
  <c r="O27" i="1"/>
  <c r="M20" i="1"/>
  <c r="O20" i="1"/>
  <c r="P20" i="1"/>
  <c r="N30" i="1"/>
  <c r="M32" i="1"/>
  <c r="N32" i="1"/>
  <c r="O30" i="1"/>
  <c r="L32" i="1"/>
  <c r="O33" i="1"/>
  <c r="N20" i="1"/>
  <c r="L21" i="1"/>
  <c r="N16" i="1"/>
  <c r="M25" i="1"/>
  <c r="L16" i="1"/>
  <c r="O22" i="1"/>
  <c r="N21" i="1"/>
  <c r="P16" i="1"/>
  <c r="O34" i="1"/>
  <c r="N33" i="1"/>
  <c r="O17" i="1"/>
  <c r="L30" i="1"/>
  <c r="P17" i="1"/>
  <c r="O23" i="1"/>
  <c r="M33" i="1"/>
  <c r="M22" i="1"/>
  <c r="M16" i="1"/>
  <c r="N22" i="1"/>
  <c r="M17" i="1"/>
  <c r="P33" i="1"/>
  <c r="N17" i="1"/>
  <c r="L23" i="1"/>
  <c r="L22" i="1"/>
  <c r="N23" i="1"/>
  <c r="M30" i="1"/>
  <c r="L34" i="1"/>
  <c r="M18" i="1"/>
  <c r="L18" i="1"/>
  <c r="N31" i="1"/>
  <c r="P18" i="1"/>
  <c r="M31" i="1"/>
  <c r="P31" i="1"/>
  <c r="O18" i="1"/>
  <c r="P29" i="1"/>
  <c r="B38" i="1"/>
  <c r="M29" i="1"/>
  <c r="O29" i="1"/>
  <c r="N25" i="1"/>
  <c r="P25" i="1"/>
  <c r="N29" i="1"/>
  <c r="M28" i="1"/>
  <c r="B37" i="1"/>
  <c r="P24" i="1"/>
  <c r="M24" i="1"/>
  <c r="O24" i="1"/>
  <c r="M15" i="1"/>
  <c r="O19" i="1"/>
  <c r="P19" i="1"/>
  <c r="N24" i="1"/>
  <c r="N19" i="1"/>
  <c r="P34" i="1"/>
  <c r="N28" i="1"/>
  <c r="L15" i="1"/>
  <c r="P28" i="1"/>
  <c r="M23" i="1"/>
  <c r="P15" i="1"/>
  <c r="L28" i="1"/>
  <c r="M19" i="1"/>
  <c r="M21" i="1"/>
  <c r="N34" i="1"/>
  <c r="L25" i="1"/>
  <c r="O15" i="1"/>
  <c r="P21" i="1"/>
  <c r="H37" i="3"/>
  <c r="H38" i="3"/>
  <c r="J37" i="3"/>
  <c r="I38" i="3"/>
  <c r="J38" i="3"/>
  <c r="I37" i="3"/>
  <c r="F38" i="1"/>
  <c r="E37" i="1"/>
  <c r="C38" i="1"/>
  <c r="K38" i="1"/>
  <c r="C37" i="1"/>
  <c r="K37" i="1"/>
  <c r="D38" i="1"/>
  <c r="L38" i="1"/>
  <c r="E38" i="1"/>
  <c r="F37" i="1"/>
  <c r="D37" i="1"/>
  <c r="L37" i="1"/>
  <c r="G37" i="1"/>
  <c r="G38" i="1"/>
  <c r="H39" i="3"/>
  <c r="I39" i="3"/>
  <c r="N38" i="3"/>
  <c r="O38" i="3"/>
  <c r="O37" i="3"/>
  <c r="N37" i="3"/>
  <c r="H37" i="1"/>
  <c r="H38" i="1"/>
  <c r="I37" i="1"/>
  <c r="J37" i="1"/>
  <c r="I38" i="1"/>
  <c r="J38" i="1"/>
  <c r="H40" i="3"/>
  <c r="N39" i="3"/>
  <c r="D46" i="3"/>
  <c r="E46" i="3"/>
  <c r="O39" i="3"/>
  <c r="D45" i="3"/>
  <c r="E45" i="3"/>
  <c r="N37" i="1"/>
  <c r="O37" i="1"/>
  <c r="H39" i="1"/>
  <c r="I39" i="1"/>
  <c r="O38" i="1"/>
  <c r="N38" i="1"/>
  <c r="M37" i="3"/>
  <c r="M38" i="3"/>
  <c r="O39" i="1"/>
  <c r="D45" i="1"/>
  <c r="E45" i="1"/>
  <c r="F45" i="1"/>
  <c r="H40" i="1"/>
  <c r="M38" i="1"/>
  <c r="N39" i="1"/>
  <c r="D46" i="1"/>
  <c r="E46" i="1"/>
  <c r="F46" i="1"/>
  <c r="M37" i="1"/>
</calcChain>
</file>

<file path=xl/sharedStrings.xml><?xml version="1.0" encoding="utf-8"?>
<sst xmlns="http://schemas.openxmlformats.org/spreadsheetml/2006/main" count="203" uniqueCount="106">
  <si>
    <t>Обратные разведения</t>
  </si>
  <si>
    <t>Obs.1</t>
  </si>
  <si>
    <t>Obs.2</t>
  </si>
  <si>
    <t>Standart S</t>
  </si>
  <si>
    <t>Preparation to be examined T</t>
  </si>
  <si>
    <t>S</t>
  </si>
  <si>
    <t>dose</t>
  </si>
  <si>
    <t>n</t>
  </si>
  <si>
    <t>r</t>
  </si>
  <si>
    <t>x</t>
  </si>
  <si>
    <t>p</t>
  </si>
  <si>
    <t>Y</t>
  </si>
  <si>
    <t>Ф</t>
  </si>
  <si>
    <t>Z</t>
  </si>
  <si>
    <t>y</t>
  </si>
  <si>
    <t>w</t>
  </si>
  <si>
    <t>wx</t>
  </si>
  <si>
    <t>wy</t>
  </si>
  <si>
    <r>
      <t>wx</t>
    </r>
    <r>
      <rPr>
        <vertAlign val="superscript"/>
        <sz val="11"/>
        <color theme="1"/>
        <rFont val="Aptos Narrow"/>
        <family val="2"/>
        <scheme val="minor"/>
      </rPr>
      <t>2</t>
    </r>
  </si>
  <si>
    <r>
      <t>wy</t>
    </r>
    <r>
      <rPr>
        <vertAlign val="superscript"/>
        <sz val="11"/>
        <color theme="1"/>
        <rFont val="Aptos Narrow"/>
        <family val="2"/>
        <scheme val="minor"/>
      </rPr>
      <t>2</t>
    </r>
  </si>
  <si>
    <t>wxy</t>
  </si>
  <si>
    <t>First working table</t>
  </si>
  <si>
    <t>T</t>
  </si>
  <si>
    <r>
      <rPr>
        <sz val="11"/>
        <color theme="1"/>
        <rFont val="Symbol"/>
        <family val="1"/>
        <charset val="2"/>
      </rPr>
      <t>S</t>
    </r>
    <r>
      <rPr>
        <sz val="11"/>
        <color theme="1"/>
        <rFont val="Aptos Narrow"/>
        <family val="2"/>
        <charset val="204"/>
      </rPr>
      <t>w</t>
    </r>
  </si>
  <si>
    <r>
      <rPr>
        <sz val="11"/>
        <color theme="1"/>
        <rFont val="Symbol"/>
        <family val="1"/>
        <charset val="2"/>
      </rPr>
      <t>S</t>
    </r>
    <r>
      <rPr>
        <sz val="11"/>
        <color theme="1"/>
        <rFont val="Aptos Narrow"/>
        <family val="2"/>
        <charset val="204"/>
      </rPr>
      <t>wx</t>
    </r>
  </si>
  <si>
    <r>
      <rPr>
        <sz val="11"/>
        <color theme="1"/>
        <rFont val="Symbol"/>
        <family val="1"/>
        <charset val="2"/>
      </rPr>
      <t>S</t>
    </r>
    <r>
      <rPr>
        <sz val="11"/>
        <color theme="1"/>
        <rFont val="Aptos Narrow"/>
        <family val="2"/>
        <charset val="204"/>
      </rPr>
      <t>wy</t>
    </r>
  </si>
  <si>
    <r>
      <rPr>
        <sz val="11"/>
        <color theme="1"/>
        <rFont val="Symbol"/>
        <family val="1"/>
        <charset val="2"/>
      </rPr>
      <t>S</t>
    </r>
    <r>
      <rPr>
        <sz val="11"/>
        <color theme="1"/>
        <rFont val="Aptos Narrow"/>
        <family val="2"/>
        <charset val="204"/>
      </rPr>
      <t>wx</t>
    </r>
    <r>
      <rPr>
        <vertAlign val="superscript"/>
        <sz val="11"/>
        <color theme="1"/>
        <rFont val="Aptos Narrow"/>
        <family val="2"/>
      </rPr>
      <t>2</t>
    </r>
  </si>
  <si>
    <r>
      <rPr>
        <sz val="11"/>
        <color theme="1"/>
        <rFont val="Symbol"/>
        <family val="1"/>
        <charset val="2"/>
      </rPr>
      <t>S</t>
    </r>
    <r>
      <rPr>
        <sz val="11"/>
        <color theme="1"/>
        <rFont val="Aptos Narrow"/>
        <family val="2"/>
        <charset val="204"/>
      </rPr>
      <t>wy</t>
    </r>
    <r>
      <rPr>
        <vertAlign val="superscript"/>
        <sz val="11"/>
        <color theme="1"/>
        <rFont val="Aptos Narrow"/>
        <family val="2"/>
      </rPr>
      <t>2</t>
    </r>
  </si>
  <si>
    <r>
      <rPr>
        <sz val="11"/>
        <color theme="1"/>
        <rFont val="Symbol"/>
        <family val="1"/>
        <charset val="2"/>
      </rPr>
      <t>S</t>
    </r>
    <r>
      <rPr>
        <sz val="11"/>
        <color theme="1"/>
        <rFont val="Aptos Narrow"/>
        <family val="2"/>
        <charset val="204"/>
      </rPr>
      <t>wxy</t>
    </r>
  </si>
  <si>
    <r>
      <rPr>
        <sz val="11"/>
        <color theme="1"/>
        <rFont val="Aptos Narrow"/>
        <family val="2"/>
      </rPr>
      <t>S</t>
    </r>
    <r>
      <rPr>
        <vertAlign val="subscript"/>
        <sz val="11"/>
        <color theme="1"/>
        <rFont val="Aptos Narrow"/>
        <family val="2"/>
      </rPr>
      <t>xx</t>
    </r>
  </si>
  <si>
    <r>
      <t>S</t>
    </r>
    <r>
      <rPr>
        <vertAlign val="subscript"/>
        <sz val="11"/>
        <color theme="1"/>
        <rFont val="Aptos Narrow"/>
        <family val="2"/>
      </rPr>
      <t>xy</t>
    </r>
  </si>
  <si>
    <r>
      <t>S</t>
    </r>
    <r>
      <rPr>
        <vertAlign val="subscript"/>
        <sz val="11"/>
        <color theme="1"/>
        <rFont val="Aptos Narrow"/>
        <family val="2"/>
      </rPr>
      <t>yy</t>
    </r>
  </si>
  <si>
    <t>x̄</t>
  </si>
  <si>
    <t>ȳ</t>
  </si>
  <si>
    <t>a</t>
  </si>
  <si>
    <t>Second working table</t>
  </si>
  <si>
    <t>å</t>
  </si>
  <si>
    <t>Sigmoid (4pl) fit</t>
  </si>
  <si>
    <r>
      <t>Bottom (</t>
    </r>
    <r>
      <rPr>
        <sz val="11"/>
        <color theme="1"/>
        <rFont val="Symbol"/>
        <family val="1"/>
        <charset val="2"/>
      </rPr>
      <t>d</t>
    </r>
    <r>
      <rPr>
        <sz val="11"/>
        <color theme="1"/>
        <rFont val="Aptos Narrow"/>
        <family val="2"/>
        <charset val="204"/>
      </rPr>
      <t>)</t>
    </r>
  </si>
  <si>
    <r>
      <t>Top (</t>
    </r>
    <r>
      <rPr>
        <sz val="11"/>
        <color theme="1"/>
        <rFont val="Symbol"/>
        <family val="1"/>
        <charset val="2"/>
      </rPr>
      <t>a)</t>
    </r>
  </si>
  <si>
    <r>
      <t>Slope (</t>
    </r>
    <r>
      <rPr>
        <sz val="11"/>
        <color theme="1"/>
        <rFont val="Symbol"/>
        <family val="1"/>
        <charset val="2"/>
      </rPr>
      <t>b</t>
    </r>
    <r>
      <rPr>
        <sz val="11"/>
        <color theme="1"/>
        <rFont val="Aptos Narrow"/>
        <family val="2"/>
        <charset val="204"/>
      </rPr>
      <t>)</t>
    </r>
  </si>
  <si>
    <t>Average</t>
  </si>
  <si>
    <r>
      <t>(Obs.1-Average)</t>
    </r>
    <r>
      <rPr>
        <vertAlign val="superscript"/>
        <sz val="11"/>
        <color theme="1"/>
        <rFont val="Aptos Narrow"/>
        <family val="2"/>
        <scheme val="minor"/>
      </rPr>
      <t>2</t>
    </r>
  </si>
  <si>
    <r>
      <t>(Obs.2-Average)</t>
    </r>
    <r>
      <rPr>
        <vertAlign val="superscript"/>
        <sz val="11"/>
        <color theme="1"/>
        <rFont val="Aptos Narrow"/>
        <family val="2"/>
        <scheme val="minor"/>
      </rPr>
      <t>2</t>
    </r>
  </si>
  <si>
    <t>Sum of squares</t>
  </si>
  <si>
    <t>df</t>
  </si>
  <si>
    <t>MSPE</t>
  </si>
  <si>
    <r>
      <t>This is "pure error mean square" (</t>
    </r>
    <r>
      <rPr>
        <sz val="11"/>
        <color theme="1"/>
        <rFont val="Aptos Narrow"/>
        <family val="2"/>
      </rPr>
      <t>σ</t>
    </r>
    <r>
      <rPr>
        <vertAlign val="superscript"/>
        <sz val="11"/>
        <color theme="1"/>
        <rFont val="Aptos Narrow"/>
        <family val="2"/>
      </rPr>
      <t>2</t>
    </r>
    <r>
      <rPr>
        <sz val="11"/>
        <color theme="1"/>
        <rFont val="Aptos Narrow"/>
        <family val="2"/>
        <charset val="204"/>
        <scheme val="minor"/>
      </rPr>
      <t>) - it quantifies the scatter of replicates, essentially pooling the standard deviations at all X values into one value. This value is based only on variation among replicates. It can be computed without any curve fitting. If the replicates vary wildly, this will be a high value. If the replicates are all very consistent, this value will be low. It is computed by summing the square of the distance of each replicate from the mean of that set of replicates. Divide that sum by its degrees of freedom (the total number of points minus the number of X values).</t>
    </r>
  </si>
  <si>
    <r>
      <t>ln(EC50-S) (</t>
    </r>
    <r>
      <rPr>
        <sz val="11"/>
        <color theme="1"/>
        <rFont val="Symbol"/>
        <family val="1"/>
        <charset val="2"/>
      </rPr>
      <t>g</t>
    </r>
    <r>
      <rPr>
        <vertAlign val="subscript"/>
        <sz val="11"/>
        <color theme="1"/>
        <rFont val="Arial"/>
        <family val="2"/>
        <charset val="204"/>
      </rPr>
      <t>S</t>
    </r>
    <r>
      <rPr>
        <sz val="11"/>
        <color theme="1"/>
        <rFont val="Aptos Narrow"/>
        <family val="2"/>
        <charset val="204"/>
      </rPr>
      <t>)</t>
    </r>
  </si>
  <si>
    <r>
      <t>ln(EC50-T) (</t>
    </r>
    <r>
      <rPr>
        <sz val="11"/>
        <color theme="1"/>
        <rFont val="Symbol"/>
        <family val="1"/>
        <charset val="2"/>
      </rPr>
      <t>g</t>
    </r>
    <r>
      <rPr>
        <vertAlign val="subscript"/>
        <sz val="11"/>
        <color theme="1"/>
        <rFont val="Symbol"/>
        <family val="1"/>
        <charset val="2"/>
      </rPr>
      <t>T</t>
    </r>
    <r>
      <rPr>
        <sz val="11"/>
        <color theme="1"/>
        <rFont val="Aptos Narrow"/>
        <family val="2"/>
        <charset val="204"/>
      </rPr>
      <t>)</t>
    </r>
  </si>
  <si>
    <t>b</t>
  </si>
  <si>
    <t>Source of variation</t>
  </si>
  <si>
    <t>Degrees of freedom</t>
  </si>
  <si>
    <r>
      <rPr>
        <sz val="11"/>
        <color theme="1"/>
        <rFont val="Symbol"/>
        <family val="1"/>
        <charset val="2"/>
      </rPr>
      <t>c</t>
    </r>
    <r>
      <rPr>
        <vertAlign val="superscript"/>
        <sz val="11"/>
        <color theme="1"/>
        <rFont val="Aptos Narrow"/>
        <family val="2"/>
      </rPr>
      <t>2</t>
    </r>
  </si>
  <si>
    <t>Probability</t>
  </si>
  <si>
    <t>Preparations</t>
  </si>
  <si>
    <t>Regression</t>
  </si>
  <si>
    <t>Non-parallelism</t>
  </si>
  <si>
    <t>Non-linearity</t>
  </si>
  <si>
    <t>Treatments</t>
  </si>
  <si>
    <t>Residual error</t>
  </si>
  <si>
    <t>Total</t>
  </si>
  <si>
    <t>Number of preparations in an assay, including the standart preparation</t>
  </si>
  <si>
    <t>Number of doses</t>
  </si>
  <si>
    <t>h</t>
  </si>
  <si>
    <t>d</t>
  </si>
  <si>
    <t>Number of replicates per each treatment</t>
  </si>
  <si>
    <r>
      <t>S</t>
    </r>
    <r>
      <rPr>
        <vertAlign val="subscript"/>
        <sz val="11"/>
        <color theme="1"/>
        <rFont val="Aptos Narrow"/>
        <family val="2"/>
      </rPr>
      <t>yy</t>
    </r>
    <r>
      <rPr>
        <sz val="11"/>
        <color theme="1"/>
        <rFont val="Aptos Narrow"/>
        <family val="2"/>
      </rPr>
      <t>-S</t>
    </r>
    <r>
      <rPr>
        <vertAlign val="superscript"/>
        <sz val="11"/>
        <color theme="1"/>
        <rFont val="Aptos Narrow"/>
        <family val="2"/>
      </rPr>
      <t>2</t>
    </r>
    <r>
      <rPr>
        <vertAlign val="subscript"/>
        <sz val="11"/>
        <color theme="1"/>
        <rFont val="Aptos Narrow"/>
        <family val="2"/>
      </rPr>
      <t>xy</t>
    </r>
    <r>
      <rPr>
        <sz val="11"/>
        <color theme="1"/>
        <rFont val="Aptos Narrow"/>
        <family val="2"/>
      </rPr>
      <t>/S</t>
    </r>
    <r>
      <rPr>
        <vertAlign val="subscript"/>
        <sz val="11"/>
        <color theme="1"/>
        <rFont val="Aptos Narrow"/>
        <family val="2"/>
      </rPr>
      <t>xx</t>
    </r>
  </si>
  <si>
    <r>
      <t>S</t>
    </r>
    <r>
      <rPr>
        <vertAlign val="superscript"/>
        <sz val="11"/>
        <color theme="1"/>
        <rFont val="Aptos Narrow"/>
        <family val="2"/>
      </rPr>
      <t>2</t>
    </r>
    <r>
      <rPr>
        <vertAlign val="subscript"/>
        <sz val="11"/>
        <color theme="1"/>
        <rFont val="Aptos Narrow"/>
        <family val="2"/>
      </rPr>
      <t>xy</t>
    </r>
    <r>
      <rPr>
        <sz val="11"/>
        <color theme="1"/>
        <rFont val="Aptos Narrow"/>
        <family val="2"/>
      </rPr>
      <t>/S</t>
    </r>
    <r>
      <rPr>
        <vertAlign val="subscript"/>
        <sz val="11"/>
        <color theme="1"/>
        <rFont val="Aptos Narrow"/>
        <family val="2"/>
      </rPr>
      <t>xx</t>
    </r>
  </si>
  <si>
    <t>log(EC50-S)</t>
  </si>
  <si>
    <t>log(EC50-T)</t>
  </si>
  <si>
    <t>Lower limit (IU/vial)</t>
  </si>
  <si>
    <t>ln(potency) M</t>
  </si>
  <si>
    <t>Weight W</t>
  </si>
  <si>
    <t>Potency estimate (IU/vial)</t>
  </si>
  <si>
    <t>Upper limit (IU/vial)</t>
  </si>
  <si>
    <r>
      <t>W(M-M̄)</t>
    </r>
    <r>
      <rPr>
        <vertAlign val="superscript"/>
        <sz val="11"/>
        <color theme="1"/>
        <rFont val="Aptos Narrow"/>
        <family val="2"/>
        <scheme val="minor"/>
      </rPr>
      <t>2</t>
    </r>
  </si>
  <si>
    <t>M̄</t>
  </si>
  <si>
    <t>WM</t>
  </si>
  <si>
    <t>Weighted mean potency M̄</t>
  </si>
  <si>
    <r>
      <t>Standart error of the ln(mean potency), S</t>
    </r>
    <r>
      <rPr>
        <vertAlign val="subscript"/>
        <sz val="11"/>
        <color theme="1"/>
        <rFont val="Aptos Narrow"/>
        <family val="2"/>
        <scheme val="minor"/>
      </rPr>
      <t>M̄</t>
    </r>
  </si>
  <si>
    <t>Student coefficient, t</t>
  </si>
  <si>
    <t>Confidence lower limit</t>
  </si>
  <si>
    <t>Confidence upper limit</t>
  </si>
  <si>
    <r>
      <t xml:space="preserve">The number of degrees of freedom of t equals </t>
    </r>
    <r>
      <rPr>
        <b/>
        <sz val="11"/>
        <color theme="1"/>
        <rFont val="Aptos Narrow"/>
        <family val="2"/>
        <scheme val="minor"/>
      </rPr>
      <t>the sum of the number of degrees of freedom for the error mean squares in the individual assays</t>
    </r>
    <r>
      <rPr>
        <sz val="11"/>
        <color theme="1"/>
        <rFont val="Aptos Narrow"/>
        <family val="2"/>
        <charset val="204"/>
        <scheme val="minor"/>
      </rPr>
      <t>.</t>
    </r>
  </si>
  <si>
    <t>Antilogarithm</t>
  </si>
  <si>
    <t>Obs.3</t>
  </si>
  <si>
    <r>
      <t>(Obs.3-Average)</t>
    </r>
    <r>
      <rPr>
        <vertAlign val="superscript"/>
        <sz val="11"/>
        <color theme="1"/>
        <rFont val="Aptos Narrow"/>
        <family val="2"/>
        <scheme val="minor"/>
      </rPr>
      <t>2</t>
    </r>
  </si>
  <si>
    <t>Conc</t>
  </si>
  <si>
    <t>EC50-S</t>
  </si>
  <si>
    <t>EC50-T</t>
  </si>
  <si>
    <t>LogEC50-T</t>
  </si>
  <si>
    <t>LogEC50-S</t>
  </si>
  <si>
    <r>
      <t>Total preparation (P</t>
    </r>
    <r>
      <rPr>
        <vertAlign val="subscript"/>
        <sz val="11"/>
        <color theme="1"/>
        <rFont val="Aptos Narrow"/>
        <family val="2"/>
        <scheme val="minor"/>
      </rPr>
      <t>S</t>
    </r>
    <r>
      <rPr>
        <sz val="11"/>
        <color theme="1"/>
        <rFont val="Aptos Narrow"/>
        <family val="2"/>
        <charset val="204"/>
        <scheme val="minor"/>
      </rPr>
      <t>)</t>
    </r>
  </si>
  <si>
    <r>
      <t>Linear contrast (L</t>
    </r>
    <r>
      <rPr>
        <vertAlign val="subscript"/>
        <sz val="11"/>
        <color theme="1"/>
        <rFont val="Aptos Narrow"/>
        <family val="2"/>
        <scheme val="minor"/>
      </rPr>
      <t>S</t>
    </r>
    <r>
      <rPr>
        <sz val="11"/>
        <color theme="1"/>
        <rFont val="Aptos Narrow"/>
        <family val="2"/>
        <charset val="204"/>
        <scheme val="minor"/>
      </rPr>
      <t>)</t>
    </r>
  </si>
  <si>
    <t>K</t>
  </si>
  <si>
    <r>
      <t>H</t>
    </r>
    <r>
      <rPr>
        <vertAlign val="subscript"/>
        <sz val="11"/>
        <color theme="1"/>
        <rFont val="Aptos Narrow"/>
        <family val="2"/>
        <scheme val="minor"/>
      </rPr>
      <t>P</t>
    </r>
  </si>
  <si>
    <r>
      <t>H</t>
    </r>
    <r>
      <rPr>
        <vertAlign val="subscript"/>
        <sz val="11"/>
        <color theme="1"/>
        <rFont val="Aptos Narrow"/>
        <family val="2"/>
        <scheme val="minor"/>
      </rPr>
      <t>L</t>
    </r>
  </si>
  <si>
    <r>
      <t>Total preparation (P</t>
    </r>
    <r>
      <rPr>
        <vertAlign val="subscript"/>
        <sz val="11"/>
        <color theme="1"/>
        <rFont val="Aptos Narrow"/>
        <family val="2"/>
        <scheme val="minor"/>
      </rPr>
      <t>T</t>
    </r>
    <r>
      <rPr>
        <sz val="11"/>
        <color theme="1"/>
        <rFont val="Aptos Narrow"/>
        <family val="2"/>
        <charset val="204"/>
        <scheme val="minor"/>
      </rPr>
      <t>)</t>
    </r>
  </si>
  <si>
    <r>
      <t>Linear contrast (L</t>
    </r>
    <r>
      <rPr>
        <vertAlign val="subscript"/>
        <sz val="11"/>
        <color theme="1"/>
        <rFont val="Aptos Narrow"/>
        <family val="2"/>
        <scheme val="minor"/>
      </rPr>
      <t>T</t>
    </r>
    <r>
      <rPr>
        <sz val="11"/>
        <color theme="1"/>
        <rFont val="Aptos Narrow"/>
        <family val="2"/>
        <charset val="204"/>
        <scheme val="minor"/>
      </rPr>
      <t>)</t>
    </r>
  </si>
  <si>
    <t>Significant</t>
  </si>
  <si>
    <t>Срзнач</t>
  </si>
  <si>
    <r>
      <t>(y</t>
    </r>
    <r>
      <rPr>
        <vertAlign val="subscript"/>
        <sz val="11"/>
        <color theme="1"/>
        <rFont val="Aptos Narrow"/>
        <family val="2"/>
        <scheme val="minor"/>
      </rPr>
      <t>S1</t>
    </r>
    <r>
      <rPr>
        <sz val="11"/>
        <color theme="1"/>
        <rFont val="Aptos Narrow"/>
        <family val="2"/>
        <charset val="204"/>
        <scheme val="minor"/>
      </rPr>
      <t>-ȳ)</t>
    </r>
    <r>
      <rPr>
        <vertAlign val="superscript"/>
        <sz val="11"/>
        <color theme="1"/>
        <rFont val="Aptos Narrow"/>
        <family val="2"/>
        <scheme val="minor"/>
      </rPr>
      <t>2</t>
    </r>
  </si>
  <si>
    <r>
      <t>(y</t>
    </r>
    <r>
      <rPr>
        <vertAlign val="subscript"/>
        <sz val="11"/>
        <color theme="1"/>
        <rFont val="Aptos Narrow"/>
        <family val="2"/>
        <scheme val="minor"/>
      </rPr>
      <t>S2</t>
    </r>
    <r>
      <rPr>
        <sz val="11"/>
        <color theme="1"/>
        <rFont val="Aptos Narrow"/>
        <family val="2"/>
        <charset val="204"/>
        <scheme val="minor"/>
      </rPr>
      <t>-ȳ)</t>
    </r>
    <r>
      <rPr>
        <vertAlign val="superscript"/>
        <sz val="11"/>
        <color theme="1"/>
        <rFont val="Aptos Narrow"/>
        <family val="2"/>
        <scheme val="minor"/>
      </rPr>
      <t>2</t>
    </r>
  </si>
  <si>
    <r>
      <t>(y</t>
    </r>
    <r>
      <rPr>
        <vertAlign val="subscript"/>
        <sz val="11"/>
        <color theme="1"/>
        <rFont val="Aptos Narrow"/>
        <family val="2"/>
        <scheme val="minor"/>
      </rPr>
      <t>T1</t>
    </r>
    <r>
      <rPr>
        <sz val="11"/>
        <color theme="1"/>
        <rFont val="Aptos Narrow"/>
        <family val="2"/>
        <charset val="204"/>
        <scheme val="minor"/>
      </rPr>
      <t>-ȳ)</t>
    </r>
    <r>
      <rPr>
        <vertAlign val="superscript"/>
        <sz val="11"/>
        <color theme="1"/>
        <rFont val="Aptos Narrow"/>
        <family val="2"/>
        <scheme val="minor"/>
      </rPr>
      <t>2</t>
    </r>
  </si>
  <si>
    <r>
      <t>(y</t>
    </r>
    <r>
      <rPr>
        <vertAlign val="subscript"/>
        <sz val="11"/>
        <color theme="1"/>
        <rFont val="Aptos Narrow"/>
        <family val="2"/>
        <scheme val="minor"/>
      </rPr>
      <t>T2</t>
    </r>
    <r>
      <rPr>
        <sz val="11"/>
        <color theme="1"/>
        <rFont val="Aptos Narrow"/>
        <family val="2"/>
        <charset val="204"/>
        <scheme val="minor"/>
      </rPr>
      <t>-ȳ)</t>
    </r>
    <r>
      <rPr>
        <vertAlign val="superscript"/>
        <sz val="11"/>
        <color theme="1"/>
        <rFont val="Aptos Narrow"/>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</si>
</sst>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00000"/>
    <numFmt numFmtId="166" formatCode="0.00000000"/>
    <numFmt numFmtId="167" formatCode="0.0000%"/>
  </numFmts>
  <fonts count="15" x14ac:knownFonts="1">
    <font>
      <sz val="11"/>
      <color theme="1"/>
      <name val="Aptos Narrow"/>
      <family val="2"/>
      <charset val="204"/>
      <scheme val="minor"/>
    </font>
    <font>
      <b/>
      <sz val="11"/>
      <color theme="1"/>
      <name val="Aptos Narrow"/>
      <family val="2"/>
      <scheme val="minor"/>
    </font>
    <font>
      <vertAlign val="superscript"/>
      <sz val="11"/>
      <color theme="1"/>
      <name val="Aptos Narrow"/>
      <family val="2"/>
      <scheme val="minor"/>
    </font>
    <font>
      <i/>
      <sz val="11"/>
      <color theme="1"/>
      <name val="Aptos Narrow"/>
      <family val="2"/>
      <scheme val="minor"/>
    </font>
    <font>
      <sz val="11"/>
      <color theme="1"/>
      <name val="Symbol"/>
      <family val="1"/>
      <charset val="2"/>
    </font>
    <font>
      <sz val="11"/>
      <color theme="1"/>
      <name val="Aptos Narrow"/>
      <family val="2"/>
      <charset val="204"/>
    </font>
    <font>
      <sz val="11"/>
      <color theme="1"/>
      <name val="Aptos Narrow"/>
      <family val="1"/>
      <charset val="2"/>
    </font>
    <font>
      <vertAlign val="superscript"/>
      <sz val="11"/>
      <color theme="1"/>
      <name val="Aptos Narrow"/>
      <family val="2"/>
    </font>
    <font>
      <vertAlign val="subscript"/>
      <sz val="11"/>
      <color theme="1"/>
      <name val="Aptos Narrow"/>
      <family val="2"/>
    </font>
    <font>
      <sz val="11"/>
      <color theme="1"/>
      <name val="Aptos Narrow"/>
      <family val="2"/>
    </font>
    <font>
      <sz val="8"/>
      <name val="Aptos Narrow"/>
      <family val="2"/>
      <charset val="204"/>
      <scheme val="minor"/>
    </font>
    <font>
      <vertAlign val="subscript"/>
      <sz val="11"/>
      <color theme="1"/>
      <name val="Symbol"/>
      <family val="1"/>
      <charset val="2"/>
    </font>
    <font>
      <vertAlign val="subscript"/>
      <sz val="11"/>
      <color theme="1"/>
      <name val="Arial"/>
      <family val="2"/>
      <charset val="204"/>
    </font>
    <font>
      <vertAlign val="subscript"/>
      <sz val="11"/>
      <color theme="1"/>
      <name val="Aptos Narrow"/>
      <family val="2"/>
      <scheme val="minor"/>
    </font>
    <font>
      <sz val="11"/>
      <color theme="1"/>
      <name val="Aptos Narrow"/>
      <family val="2"/>
      <charset val="204"/>
      <scheme val="minor"/>
    </font>
  </fonts>
  <fills count="3">
    <fill>
      <patternFill patternType="none"/>
    </fill>
    <fill>
      <patternFill patternType="gray125"/>
    </fill>
    <fill>
      <patternFill patternType="solid">
        <fgColor theme="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bottom style="thin">
        <color indexed="64"/>
      </bottom>
      <diagonal style="thin">
        <color indexed="64"/>
      </diagonal>
    </border>
    <border diagonalUp="1" diagonalDown="1">
      <left style="thin">
        <color indexed="64"/>
      </left>
      <right style="thin">
        <color indexed="64"/>
      </right>
      <top style="thin">
        <color indexed="64"/>
      </top>
      <bottom style="medium">
        <color indexed="64"/>
      </bottom>
      <diagonal style="thin">
        <color indexed="64"/>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2">
    <xf numFmtId="0" fontId="0" fillId="0" borderId="0"/>
    <xf numFmtId="9" fontId="14" fillId="0" borderId="0" applyFont="0" applyFill="0" applyBorder="0" applyAlignment="0" applyProtection="0"/>
  </cellStyleXfs>
  <cellXfs count="82">
    <xf numFmtId="0" fontId="0" fillId="0" borderId="0" xfId="0"/>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0" fillId="0" borderId="6" xfId="0" applyBorder="1" applyAlignment="1">
      <alignment horizontal="center" vertical="center"/>
    </xf>
    <xf numFmtId="164" fontId="0" fillId="0" borderId="1"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9" xfId="0"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0" fillId="0" borderId="0" xfId="0"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65" fontId="0" fillId="0" borderId="17" xfId="0" applyNumberFormat="1" applyBorder="1" applyAlignment="1">
      <alignment horizontal="center" vertical="center"/>
    </xf>
    <xf numFmtId="0" fontId="0" fillId="0" borderId="24" xfId="0" applyBorder="1" applyAlignment="1">
      <alignment horizontal="center" vertical="center"/>
    </xf>
    <xf numFmtId="165" fontId="0" fillId="0" borderId="23" xfId="0" applyNumberFormat="1" applyBorder="1" applyAlignment="1">
      <alignment horizontal="center" vertical="center"/>
    </xf>
    <xf numFmtId="0" fontId="0" fillId="0" borderId="9" xfId="0" applyBorder="1" applyAlignment="1">
      <alignment horizontal="center" vertical="center" wrapText="1"/>
    </xf>
    <xf numFmtId="0" fontId="6" fillId="0" borderId="9"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0" fontId="0" fillId="0" borderId="1" xfId="0" applyBorder="1" applyAlignment="1">
      <alignment horizontal="left"/>
    </xf>
    <xf numFmtId="0" fontId="0" fillId="0" borderId="31" xfId="0" applyBorder="1" applyAlignment="1">
      <alignment horizontal="center" vertical="center"/>
    </xf>
    <xf numFmtId="166" fontId="0" fillId="0" borderId="23" xfId="0" applyNumberFormat="1" applyBorder="1" applyAlignment="1">
      <alignment horizontal="center" vertical="center"/>
    </xf>
    <xf numFmtId="166" fontId="0" fillId="0" borderId="17" xfId="0" applyNumberFormat="1" applyBorder="1" applyAlignment="1">
      <alignment horizontal="center" vertical="center"/>
    </xf>
    <xf numFmtId="0" fontId="0" fillId="0" borderId="1" xfId="0" applyBorder="1" applyAlignment="1">
      <alignment horizontal="right"/>
    </xf>
    <xf numFmtId="0" fontId="0" fillId="0" borderId="31" xfId="0" applyBorder="1"/>
    <xf numFmtId="164" fontId="0" fillId="0" borderId="31" xfId="0" applyNumberFormat="1" applyBorder="1" applyAlignment="1">
      <alignment horizontal="center" vertical="center"/>
    </xf>
    <xf numFmtId="167" fontId="0" fillId="0" borderId="0" xfId="1" applyNumberFormat="1" applyFont="1"/>
    <xf numFmtId="0" fontId="0" fillId="0" borderId="33" xfId="0" applyBorder="1" applyAlignment="1">
      <alignment horizontal="center" vertical="center"/>
    </xf>
    <xf numFmtId="165" fontId="0" fillId="0" borderId="16" xfId="0" applyNumberFormat="1" applyBorder="1" applyAlignment="1">
      <alignment horizontal="center" vertical="center"/>
    </xf>
    <xf numFmtId="0" fontId="0" fillId="0" borderId="34" xfId="0" applyBorder="1" applyAlignment="1">
      <alignment horizontal="center" vertical="center"/>
    </xf>
    <xf numFmtId="0" fontId="0" fillId="0" borderId="33" xfId="0" applyBorder="1"/>
    <xf numFmtId="0" fontId="0" fillId="0" borderId="5" xfId="0" applyBorder="1" applyAlignment="1">
      <alignment horizontal="center"/>
    </xf>
    <xf numFmtId="0" fontId="0" fillId="0" borderId="5" xfId="0" applyBorder="1" applyAlignment="1">
      <alignment horizontal="center" vertical="center"/>
    </xf>
    <xf numFmtId="0" fontId="0" fillId="2" borderId="21" xfId="0" applyFill="1" applyBorder="1" applyAlignment="1">
      <alignment horizontal="center" vertical="center"/>
    </xf>
    <xf numFmtId="165" fontId="0" fillId="2" borderId="17" xfId="0" applyNumberFormat="1" applyFill="1" applyBorder="1" applyAlignment="1">
      <alignment horizontal="center" vertical="center"/>
    </xf>
    <xf numFmtId="0" fontId="0" fillId="2" borderId="22" xfId="0" applyFill="1" applyBorder="1" applyAlignment="1">
      <alignment horizontal="center" vertical="center"/>
    </xf>
    <xf numFmtId="165" fontId="0" fillId="2" borderId="32" xfId="0" applyNumberFormat="1" applyFill="1" applyBorder="1" applyAlignment="1">
      <alignment horizontal="center" vertical="center"/>
    </xf>
    <xf numFmtId="0" fontId="0" fillId="0" borderId="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 xfId="0" applyBorder="1" applyAlignment="1">
      <alignment horizontal="left" wrapText="1"/>
    </xf>
    <xf numFmtId="0" fontId="0" fillId="0" borderId="10" xfId="0" applyBorder="1" applyAlignment="1">
      <alignment horizontal="left"/>
    </xf>
    <xf numFmtId="0" fontId="0" fillId="0" borderId="11"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4" xfId="0" applyBorder="1" applyAlignment="1">
      <alignment horizontal="left" wrapText="1"/>
    </xf>
    <xf numFmtId="0" fontId="0" fillId="0" borderId="1" xfId="0" applyBorder="1" applyAlignment="1">
      <alignment horizontal="left"/>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left"/>
    </xf>
    <xf numFmtId="0" fontId="0" fillId="0" borderId="27" xfId="0" applyBorder="1" applyAlignment="1">
      <alignment horizontal="left"/>
    </xf>
    <xf numFmtId="0" fontId="0" fillId="0" borderId="21" xfId="0" applyBorder="1" applyAlignment="1">
      <alignment horizontal="left"/>
    </xf>
    <xf numFmtId="0" fontId="0" fillId="0" borderId="25"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3" fillId="0" borderId="5" xfId="0" applyFont="1" applyBorder="1" applyAlignment="1">
      <alignment horizontal="center"/>
    </xf>
    <xf numFmtId="0" fontId="0" fillId="0" borderId="4" xfId="0" applyBorder="1" applyAlignment="1">
      <alignment horizontal="center" vertical="center"/>
    </xf>
    <xf numFmtId="0" fontId="1" fillId="0" borderId="1" xfId="0" applyFont="1" applyBorder="1" applyAlignment="1">
      <alignment horizontal="center"/>
    </xf>
    <xf numFmtId="0" fontId="0" fillId="0" borderId="3" xfId="0" applyBorder="1" applyAlignment="1">
      <alignment horizontal="center" vertical="center"/>
    </xf>
    <xf numFmtId="0" fontId="3" fillId="0" borderId="2" xfId="0" applyFont="1" applyBorder="1" applyAlignment="1">
      <alignment horizontal="center"/>
    </xf>
    <xf numFmtId="0" fontId="0" fillId="0" borderId="0" xfId="0" applyAlignment="1">
      <alignment horizontal="center" vertical="top" wrapText="1"/>
    </xf>
    <xf numFmtId="0" fontId="0" fillId="0" borderId="0" xfId="0" applyAlignment="1">
      <alignment horizontal="left" vertical="top" wrapText="1"/>
    </xf>
    <xf numFmtId="0" fontId="0" fillId="0" borderId="1" xfId="0" applyBorder="1" applyAlignment="1">
      <alignment horizontal="left" vertical="center" wrapText="1"/>
    </xf>
    <xf numFmtId="0" fontId="1" fillId="0" borderId="30" xfId="0" applyFont="1" applyBorder="1" applyAlignment="1">
      <alignment horizontal="center"/>
    </xf>
    <xf numFmtId="0" fontId="1" fillId="0" borderId="5" xfId="0" applyFont="1" applyBorder="1" applyAlignment="1">
      <alignment horizontal="center"/>
    </xf>
    <xf numFmtId="0" fontId="1" fillId="0" borderId="31" xfId="0" applyFont="1" applyBorder="1" applyAlignment="1">
      <alignment horizontal="center"/>
    </xf>
    <xf numFmtId="0" fontId="0" fillId="0" borderId="4" xfId="0" applyBorder="1" applyAlignment="1">
      <alignment horizontal="left" vertical="center" wrapText="1"/>
    </xf>
    <xf numFmtId="0" fontId="0" fillId="0" borderId="1"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Transformed</a:t>
            </a:r>
            <a:r>
              <a:rPr lang="en-US" baseline="0"/>
              <a:t> Data (linearized)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Standart transformed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656605424321959"/>
                  <c:y val="0.133907515716182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'4pl'!$E$15:$E$24</c:f>
              <c:numCache>
                <c:formatCode>General</c:formatCode>
                <c:ptCount val="10"/>
                <c:pt idx="0">
                  <c:v>-1</c:v>
                </c:pt>
                <c:pt idx="1">
                  <c:v>-1.3010299956639813</c:v>
                </c:pt>
                <c:pt idx="2">
                  <c:v>-1.6020599913279623</c:v>
                </c:pt>
                <c:pt idx="3">
                  <c:v>-1.9030899869919435</c:v>
                </c:pt>
                <c:pt idx="4">
                  <c:v>-2.2041199826559246</c:v>
                </c:pt>
                <c:pt idx="5">
                  <c:v>-2.5051499783199058</c:v>
                </c:pt>
                <c:pt idx="6">
                  <c:v>-2.8061799739838871</c:v>
                </c:pt>
                <c:pt idx="7">
                  <c:v>-3.1072099696478683</c:v>
                </c:pt>
                <c:pt idx="8">
                  <c:v>-3.4082399653118496</c:v>
                </c:pt>
                <c:pt idx="9">
                  <c:v>-3.7092699609758308</c:v>
                </c:pt>
              </c:numCache>
            </c:numRef>
          </c:xVal>
          <c:yVal>
            <c:numRef>
              <c:f>'4pl'!$G$15:$G$24</c:f>
              <c:numCache>
                <c:formatCode>General</c:formatCode>
                <c:ptCount val="10"/>
                <c:pt idx="0">
                  <c:v>0.97875000000000012</c:v>
                </c:pt>
                <c:pt idx="1">
                  <c:v>0.64009125487802121</c:v>
                </c:pt>
                <c:pt idx="2">
                  <c:v>0.30143250975604252</c:v>
                </c:pt>
                <c:pt idx="3">
                  <c:v>-3.7226235365936361E-2</c:v>
                </c:pt>
                <c:pt idx="4">
                  <c:v>-0.37588498048791502</c:v>
                </c:pt>
                <c:pt idx="5">
                  <c:v>-0.71454372560989388</c:v>
                </c:pt>
                <c:pt idx="6">
                  <c:v>-1.0532024707318728</c:v>
                </c:pt>
                <c:pt idx="7">
                  <c:v>-1.3918612158538517</c:v>
                </c:pt>
                <c:pt idx="8">
                  <c:v>-1.7305199609758306</c:v>
                </c:pt>
                <c:pt idx="9">
                  <c:v>-2.0691787060978095</c:v>
                </c:pt>
              </c:numCache>
            </c:numRef>
          </c:yVal>
          <c:smooth val="0"/>
          <c:extLst>
            <c:ext xmlns:c16="http://schemas.microsoft.com/office/drawing/2014/chart" uri="{C3380CC4-5D6E-409C-BE32-E72D297353CC}">
              <c16:uniqueId val="{0000000C-18D4-49A5-AD27-19E96856A52B}"/>
            </c:ext>
          </c:extLst>
        </c:ser>
        <c:ser>
          <c:idx val="1"/>
          <c:order val="1"/>
          <c:tx>
            <c:v>Preparation to be examined 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322834645669349E-2"/>
                  <c:y val="6.306231124137627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'4pl'!$E$25:$E$34</c:f>
              <c:numCache>
                <c:formatCode>General</c:formatCode>
                <c:ptCount val="10"/>
                <c:pt idx="0">
                  <c:v>-1</c:v>
                </c:pt>
                <c:pt idx="1">
                  <c:v>-1.3010299956639813</c:v>
                </c:pt>
                <c:pt idx="2">
                  <c:v>-1.6020599913279623</c:v>
                </c:pt>
                <c:pt idx="3">
                  <c:v>-1.9030899869919435</c:v>
                </c:pt>
                <c:pt idx="4">
                  <c:v>-2.2041199826559246</c:v>
                </c:pt>
                <c:pt idx="5">
                  <c:v>-2.5051499783199058</c:v>
                </c:pt>
                <c:pt idx="6">
                  <c:v>-2.8061799739838871</c:v>
                </c:pt>
                <c:pt idx="7">
                  <c:v>-3.1072099696478683</c:v>
                </c:pt>
                <c:pt idx="8">
                  <c:v>-3.4082399653118496</c:v>
                </c:pt>
                <c:pt idx="9">
                  <c:v>-3.7092699609758308</c:v>
                </c:pt>
              </c:numCache>
            </c:numRef>
          </c:xVal>
          <c:yVal>
            <c:numRef>
              <c:f>'4pl'!$G$25:$G$34</c:f>
              <c:numCache>
                <c:formatCode>General</c:formatCode>
                <c:ptCount val="10"/>
                <c:pt idx="0">
                  <c:v>1.1632499999999997</c:v>
                </c:pt>
                <c:pt idx="1">
                  <c:v>0.82459125487802087</c:v>
                </c:pt>
                <c:pt idx="2">
                  <c:v>0.48593250975604219</c:v>
                </c:pt>
                <c:pt idx="3">
                  <c:v>0.1472737646340633</c:v>
                </c:pt>
                <c:pt idx="4">
                  <c:v>-0.19138498048791536</c:v>
                </c:pt>
                <c:pt idx="5">
                  <c:v>-0.53004372560989421</c:v>
                </c:pt>
                <c:pt idx="6">
                  <c:v>-0.86870247073187312</c:v>
                </c:pt>
                <c:pt idx="7">
                  <c:v>-1.207361215853852</c:v>
                </c:pt>
                <c:pt idx="8">
                  <c:v>-1.5460199609758309</c:v>
                </c:pt>
                <c:pt idx="9">
                  <c:v>-1.8846787060978099</c:v>
                </c:pt>
              </c:numCache>
            </c:numRef>
          </c:yVal>
          <c:smooth val="0"/>
          <c:extLst>
            <c:ext xmlns:c16="http://schemas.microsoft.com/office/drawing/2014/chart" uri="{C3380CC4-5D6E-409C-BE32-E72D297353CC}">
              <c16:uniqueId val="{0000000D-18D4-49A5-AD27-19E96856A52B}"/>
            </c:ext>
          </c:extLst>
        </c:ser>
        <c:dLbls>
          <c:showLegendKey val="0"/>
          <c:showVal val="0"/>
          <c:showCatName val="0"/>
          <c:showSerName val="0"/>
          <c:showPercent val="0"/>
          <c:showBubbleSize val="0"/>
        </c:dLbls>
        <c:axId val="1130640031"/>
        <c:axId val="1130640511"/>
      </c:scatterChart>
      <c:valAx>
        <c:axId val="1130640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Log(dose)</a:t>
                </a:r>
                <a:r>
                  <a:rPr lang="en-US" baseline="0"/>
                  <a:t> = x</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30640511"/>
        <c:crosses val="autoZero"/>
        <c:crossBetween val="midCat"/>
      </c:valAx>
      <c:valAx>
        <c:axId val="113064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306400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Transformed</a:t>
            </a:r>
            <a:r>
              <a:rPr lang="en-US" baseline="0"/>
              <a:t> Data (linearized)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Standart transformed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6550237625650522E-2"/>
                  <c:y val="-0.172090670173219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Averkieva!$E$15:$E$23</c:f>
              <c:numCache>
                <c:formatCode>General</c:formatCode>
                <c:ptCount val="9"/>
                <c:pt idx="0">
                  <c:v>2</c:v>
                </c:pt>
                <c:pt idx="1">
                  <c:v>1.3979400086720377</c:v>
                </c:pt>
                <c:pt idx="2">
                  <c:v>1</c:v>
                </c:pt>
                <c:pt idx="3">
                  <c:v>0.69897000433601886</c:v>
                </c:pt>
                <c:pt idx="4">
                  <c:v>0.47712125471966244</c:v>
                </c:pt>
                <c:pt idx="5">
                  <c:v>0.3010299956639812</c:v>
                </c:pt>
                <c:pt idx="6">
                  <c:v>0</c:v>
                </c:pt>
                <c:pt idx="7">
                  <c:v>-0.3010299956639812</c:v>
                </c:pt>
                <c:pt idx="8">
                  <c:v>-1</c:v>
                </c:pt>
              </c:numCache>
            </c:numRef>
          </c:xVal>
          <c:yVal>
            <c:numRef>
              <c:f>Averkieva!$G$15:$G$23</c:f>
              <c:numCache>
                <c:formatCode>General</c:formatCode>
                <c:ptCount val="9"/>
                <c:pt idx="0">
                  <c:v>-0.8094669000000001</c:v>
                </c:pt>
                <c:pt idx="1">
                  <c:v>-0.28031637362185396</c:v>
                </c:pt>
                <c:pt idx="2">
                  <c:v>6.943309999999997E-2</c:v>
                </c:pt>
                <c:pt idx="3">
                  <c:v>0.33400836318907301</c:v>
                </c:pt>
                <c:pt idx="4">
                  <c:v>0.52899122922688868</c:v>
                </c:pt>
                <c:pt idx="5">
                  <c:v>0.68375783681092683</c:v>
                </c:pt>
                <c:pt idx="6">
                  <c:v>0.94833309999999993</c:v>
                </c:pt>
                <c:pt idx="7">
                  <c:v>1.2129083631890731</c:v>
                </c:pt>
                <c:pt idx="8">
                  <c:v>1.8272330999999997</c:v>
                </c:pt>
              </c:numCache>
            </c:numRef>
          </c:yVal>
          <c:smooth val="0"/>
          <c:extLst>
            <c:ext xmlns:c16="http://schemas.microsoft.com/office/drawing/2014/chart" uri="{C3380CC4-5D6E-409C-BE32-E72D297353CC}">
              <c16:uniqueId val="{00000001-CC3B-4160-8211-848FDF6A774E}"/>
            </c:ext>
          </c:extLst>
        </c:ser>
        <c:ser>
          <c:idx val="1"/>
          <c:order val="1"/>
          <c:tx>
            <c:v>Preparation to be examined 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6.6655625981742725E-2"/>
                  <c:y val="-1.06870820402791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Averkieva!$E$25:$E$33</c:f>
              <c:numCache>
                <c:formatCode>General</c:formatCode>
                <c:ptCount val="9"/>
                <c:pt idx="0">
                  <c:v>2</c:v>
                </c:pt>
                <c:pt idx="1">
                  <c:v>1.3979400086720377</c:v>
                </c:pt>
                <c:pt idx="2">
                  <c:v>1</c:v>
                </c:pt>
                <c:pt idx="3">
                  <c:v>0.69897000433601886</c:v>
                </c:pt>
                <c:pt idx="4">
                  <c:v>0.47712125471966244</c:v>
                </c:pt>
                <c:pt idx="5">
                  <c:v>0.3010299956639812</c:v>
                </c:pt>
                <c:pt idx="6">
                  <c:v>0</c:v>
                </c:pt>
                <c:pt idx="7">
                  <c:v>-0.3010299956639812</c:v>
                </c:pt>
                <c:pt idx="8">
                  <c:v>-1</c:v>
                </c:pt>
              </c:numCache>
            </c:numRef>
          </c:xVal>
          <c:yVal>
            <c:numRef>
              <c:f>Averkieva!$G$25:$G$33</c:f>
              <c:numCache>
                <c:formatCode>General</c:formatCode>
                <c:ptCount val="9"/>
                <c:pt idx="0">
                  <c:v>-0.99983663999999994</c:v>
                </c:pt>
                <c:pt idx="1">
                  <c:v>-0.47068611362185392</c:v>
                </c:pt>
                <c:pt idx="2">
                  <c:v>-0.12093663999999996</c:v>
                </c:pt>
                <c:pt idx="3">
                  <c:v>0.14363862318907308</c:v>
                </c:pt>
                <c:pt idx="4">
                  <c:v>0.33862148922688873</c:v>
                </c:pt>
                <c:pt idx="5">
                  <c:v>0.49338809681092693</c:v>
                </c:pt>
                <c:pt idx="6">
                  <c:v>0.75796336000000009</c:v>
                </c:pt>
                <c:pt idx="7">
                  <c:v>1.0225386231890732</c:v>
                </c:pt>
                <c:pt idx="8">
                  <c:v>1.63686336</c:v>
                </c:pt>
              </c:numCache>
            </c:numRef>
          </c:yVal>
          <c:smooth val="0"/>
          <c:extLst>
            <c:ext xmlns:c16="http://schemas.microsoft.com/office/drawing/2014/chart" uri="{C3380CC4-5D6E-409C-BE32-E72D297353CC}">
              <c16:uniqueId val="{00000003-CC3B-4160-8211-848FDF6A774E}"/>
            </c:ext>
          </c:extLst>
        </c:ser>
        <c:dLbls>
          <c:showLegendKey val="0"/>
          <c:showVal val="0"/>
          <c:showCatName val="0"/>
          <c:showSerName val="0"/>
          <c:showPercent val="0"/>
          <c:showBubbleSize val="0"/>
        </c:dLbls>
        <c:axId val="1130640031"/>
        <c:axId val="1130640511"/>
      </c:scatterChart>
      <c:valAx>
        <c:axId val="1130640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Log(dose)</a:t>
                </a:r>
                <a:r>
                  <a:rPr lang="en-US" baseline="0"/>
                  <a:t> = x</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30640511"/>
        <c:crosses val="autoZero"/>
        <c:crossBetween val="midCat"/>
      </c:valAx>
      <c:valAx>
        <c:axId val="113064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306400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dr:twoCellAnchor>
    <xdr:from>
      <xdr:col>16</xdr:col>
      <xdr:colOff>66675</xdr:colOff>
      <xdr:row>12</xdr:row>
      <xdr:rowOff>153986</xdr:rowOff>
    </xdr:from>
    <xdr:to>
      <xdr:col>23</xdr:col>
      <xdr:colOff>111125</xdr:colOff>
      <xdr:row>33</xdr:row>
      <xdr:rowOff>165099</xdr:rowOff>
    </xdr:to>
    <xdr:graphicFrame macro="">
      <xdr:nvGraphicFramePr>
        <xdr:cNvPr id="2" name="Диаграмма 1">
          <a:extLst>
            <a:ext uri="{FF2B5EF4-FFF2-40B4-BE49-F238E27FC236}">
              <a16:creationId xmlns:a16="http://schemas.microsoft.com/office/drawing/2014/main" id="{8D38563A-83D2-1D42-F6EB-5071774B7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66675</xdr:colOff>
      <xdr:row>12</xdr:row>
      <xdr:rowOff>153986</xdr:rowOff>
    </xdr:from>
    <xdr:to>
      <xdr:col>23</xdr:col>
      <xdr:colOff>111125</xdr:colOff>
      <xdr:row>33</xdr:row>
      <xdr:rowOff>165099</xdr:rowOff>
    </xdr:to>
    <xdr:graphicFrame macro="">
      <xdr:nvGraphicFramePr>
        <xdr:cNvPr id="2" name="Диаграмма 1">
          <a:extLst>
            <a:ext uri="{FF2B5EF4-FFF2-40B4-BE49-F238E27FC236}">
              <a16:creationId xmlns:a16="http://schemas.microsoft.com/office/drawing/2014/main" id="{5F2E60F9-D06C-4A04-9C7A-2E66E873F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6F57-2402-4CF6-8965-7B13406232E9}">
  <dimension ref="A1:R87"/>
  <sheetViews>
    <sheetView tabSelected="1" workbookViewId="0">
      <selection activeCell="K12" sqref="K12"/>
    </sheetView>
  </sheetViews>
  <sheetFormatPr defaultRowHeight="15" x14ac:dyDescent="0.2"/>
  <cols>
    <col min="1" max="1" width="11.02734375" customWidth="1"/>
    <col min="3" max="3" width="9.4140625" bestFit="1" customWidth="1"/>
    <col min="4" max="4" width="11.43359375" customWidth="1"/>
    <col min="5" max="5" width="15.73828125" customWidth="1"/>
    <col min="6" max="6" width="10.35546875" customWidth="1"/>
    <col min="7" max="7" width="8.7421875" customWidth="1"/>
    <col min="8" max="8" width="12.23828125" customWidth="1"/>
    <col min="9" max="10" width="14.796875" customWidth="1"/>
    <col min="11" max="12" width="14.9296875" customWidth="1"/>
    <col min="13" max="13" width="9.4140625" bestFit="1" customWidth="1"/>
    <col min="14" max="14" width="10.76171875" customWidth="1"/>
    <col min="17" max="17" width="12.5078125" customWidth="1"/>
  </cols>
  <sheetData>
    <row r="1" spans="1:18" ht="27.75" x14ac:dyDescent="0.2">
      <c r="A1" s="1" t="s">
        <v>0</v>
      </c>
      <c r="B1" s="1" t="s">
        <v>1</v>
      </c>
      <c r="C1" s="1" t="s">
        <v>2</v>
      </c>
      <c r="D1" s="3" t="s">
        <v>41</v>
      </c>
      <c r="E1" s="1" t="s">
        <v>0</v>
      </c>
      <c r="F1" s="1" t="s">
        <v>1</v>
      </c>
      <c r="G1" s="1" t="s">
        <v>2</v>
      </c>
      <c r="H1" s="3" t="s">
        <v>41</v>
      </c>
      <c r="I1" s="1" t="s">
        <v>42</v>
      </c>
      <c r="J1" s="1" t="s">
        <v>43</v>
      </c>
      <c r="K1" s="1" t="s">
        <v>42</v>
      </c>
      <c r="L1" s="1" t="s">
        <v>43</v>
      </c>
      <c r="M1" s="1" t="s">
        <v>44</v>
      </c>
      <c r="N1" s="74" t="s">
        <v>47</v>
      </c>
      <c r="O1" s="74"/>
      <c r="P1" s="74"/>
      <c r="Q1" s="49" t="s">
        <v>37</v>
      </c>
      <c r="R1" s="49"/>
    </row>
    <row r="2" spans="1:18" x14ac:dyDescent="0.2">
      <c r="A2" s="2">
        <v>10</v>
      </c>
      <c r="B2">
        <v>2.9119999999999999</v>
      </c>
      <c r="C2" s="2">
        <v>2.9169999999999998</v>
      </c>
      <c r="D2" s="2">
        <f>AVERAGE(B2:C2)</f>
        <v>2.9144999999999999</v>
      </c>
      <c r="E2" s="2">
        <v>10</v>
      </c>
      <c r="F2" s="2">
        <v>3.0169999999999999</v>
      </c>
      <c r="G2" s="2">
        <v>2.9870000000000001</v>
      </c>
      <c r="H2" s="2">
        <f>AVERAGE(F2:G2)</f>
        <v>3.0019999999999998</v>
      </c>
      <c r="I2" s="2">
        <f>(B2-$D2)^2</f>
        <v>6.2499999999997335E-6</v>
      </c>
      <c r="J2" s="2">
        <f>(C2-$D2)^2</f>
        <v>6.2499999999997335E-6</v>
      </c>
      <c r="K2" s="2">
        <f>(F2-$H2)^2</f>
        <v>2.2500000000000373E-4</v>
      </c>
      <c r="L2" s="2">
        <f>(G2-$H2)^2</f>
        <v>2.249999999999904E-4</v>
      </c>
      <c r="M2" s="2">
        <f>SUM(I2:L11)</f>
        <v>2.8579500000000042E-2</v>
      </c>
      <c r="N2" s="74"/>
      <c r="O2" s="74"/>
      <c r="P2" s="74"/>
      <c r="Q2" s="2" t="s">
        <v>38</v>
      </c>
      <c r="R2" s="3">
        <v>0.14549999999999999</v>
      </c>
    </row>
    <row r="3" spans="1:18" x14ac:dyDescent="0.2">
      <c r="A3" s="2">
        <v>20</v>
      </c>
      <c r="B3" s="2">
        <v>2.5790000000000002</v>
      </c>
      <c r="C3" s="2">
        <v>2.6539999999999999</v>
      </c>
      <c r="D3" s="2">
        <f t="shared" ref="D3:D11" si="0">AVERAGE(B3:C3)</f>
        <v>2.6165000000000003</v>
      </c>
      <c r="E3" s="2">
        <v>20</v>
      </c>
      <c r="F3" s="2">
        <v>2.8010000000000002</v>
      </c>
      <c r="G3" s="2">
        <v>2.8079999999999998</v>
      </c>
      <c r="H3" s="2">
        <f t="shared" ref="H3:H11" si="1">AVERAGE(F3:G3)</f>
        <v>2.8045</v>
      </c>
      <c r="I3" s="2">
        <f t="shared" ref="I3:I11" si="2">(B3-$D3)^2</f>
        <v>1.4062500000000067E-3</v>
      </c>
      <c r="J3" s="2">
        <f t="shared" ref="J3:J11" si="3">(C3-$D3)^2</f>
        <v>1.4062499999999733E-3</v>
      </c>
      <c r="K3" s="2">
        <f t="shared" ref="K3:K11" si="4">(F3-$H3)^2</f>
        <v>1.2249999999998856E-5</v>
      </c>
      <c r="L3" s="2">
        <f t="shared" ref="L3:L10" si="5">(G3-$H3)^2</f>
        <v>1.2249999999998856E-5</v>
      </c>
      <c r="M3" s="3" t="s">
        <v>45</v>
      </c>
      <c r="N3" s="74"/>
      <c r="O3" s="74"/>
      <c r="P3" s="74"/>
      <c r="Q3" s="2" t="s">
        <v>39</v>
      </c>
      <c r="R3" s="3">
        <v>3.1960000000000002</v>
      </c>
    </row>
    <row r="4" spans="1:18" x14ac:dyDescent="0.2">
      <c r="A4" s="2">
        <v>40</v>
      </c>
      <c r="B4" s="2">
        <v>2.13</v>
      </c>
      <c r="C4" s="2">
        <v>2.2120000000000002</v>
      </c>
      <c r="D4" s="2">
        <f t="shared" si="0"/>
        <v>2.1710000000000003</v>
      </c>
      <c r="E4" s="2">
        <v>40</v>
      </c>
      <c r="F4" s="2">
        <v>2.4009999999999998</v>
      </c>
      <c r="G4" s="2">
        <v>2.4500000000000002</v>
      </c>
      <c r="H4" s="2">
        <f t="shared" si="1"/>
        <v>2.4255</v>
      </c>
      <c r="I4" s="2">
        <f t="shared" si="2"/>
        <v>1.6810000000000303E-3</v>
      </c>
      <c r="J4" s="2">
        <f>(C4-$D4)^2</f>
        <v>1.6809999999999939E-3</v>
      </c>
      <c r="K4" s="2">
        <f t="shared" si="4"/>
        <v>6.002500000000092E-4</v>
      </c>
      <c r="L4" s="2">
        <f t="shared" si="5"/>
        <v>6.002500000000092E-4</v>
      </c>
      <c r="M4" s="3">
        <f>COUNT(I2:L11)-COUNT(A2:A11,E2:E11)</f>
        <v>20</v>
      </c>
      <c r="N4" s="74"/>
      <c r="O4" s="74"/>
      <c r="P4" s="74"/>
      <c r="Q4" s="2" t="s">
        <v>40</v>
      </c>
      <c r="R4" s="3">
        <v>1.125</v>
      </c>
    </row>
    <row r="5" spans="1:18" ht="16.5" x14ac:dyDescent="0.25">
      <c r="A5" s="2">
        <v>80</v>
      </c>
      <c r="B5" s="2">
        <v>1.651</v>
      </c>
      <c r="C5" s="2">
        <v>1.6379999999999999</v>
      </c>
      <c r="D5" s="2">
        <f t="shared" si="0"/>
        <v>1.6444999999999999</v>
      </c>
      <c r="E5" s="2">
        <v>80</v>
      </c>
      <c r="F5" s="2">
        <v>1.9179999999999999</v>
      </c>
      <c r="G5" s="2">
        <v>1.9630000000000001</v>
      </c>
      <c r="H5" s="2">
        <f t="shared" si="1"/>
        <v>1.9405000000000001</v>
      </c>
      <c r="I5" s="2">
        <f t="shared" si="2"/>
        <v>4.225000000000224E-5</v>
      </c>
      <c r="J5" s="2">
        <f t="shared" si="3"/>
        <v>4.2249999999999353E-5</v>
      </c>
      <c r="K5" s="2">
        <f t="shared" si="4"/>
        <v>5.0625000000000843E-4</v>
      </c>
      <c r="L5" s="2">
        <f t="shared" si="5"/>
        <v>5.0624999999999845E-4</v>
      </c>
      <c r="M5" s="3" t="s">
        <v>46</v>
      </c>
      <c r="N5" s="74"/>
      <c r="O5" s="74"/>
      <c r="P5" s="74"/>
      <c r="Q5" s="2" t="s">
        <v>48</v>
      </c>
      <c r="R5" s="3">
        <f>LN(R7)</f>
        <v>-4.3065481734979763</v>
      </c>
    </row>
    <row r="6" spans="1:18" ht="17.25" x14ac:dyDescent="0.25">
      <c r="A6" s="2">
        <v>160</v>
      </c>
      <c r="B6" s="2">
        <v>1.073</v>
      </c>
      <c r="C6" s="2">
        <v>0.97299999999999998</v>
      </c>
      <c r="D6" s="2">
        <f t="shared" si="0"/>
        <v>1.0229999999999999</v>
      </c>
      <c r="E6" s="2">
        <v>160</v>
      </c>
      <c r="F6" s="2">
        <v>1.3640000000000001</v>
      </c>
      <c r="G6" s="2">
        <v>1.2989999999999999</v>
      </c>
      <c r="H6" s="2">
        <f t="shared" si="1"/>
        <v>1.3315000000000001</v>
      </c>
      <c r="I6" s="2">
        <f>(B6-$D6)^2</f>
        <v>2.5000000000000044E-3</v>
      </c>
      <c r="J6" s="2">
        <f>(C6-$D6)^2</f>
        <v>2.4999999999999935E-3</v>
      </c>
      <c r="K6" s="2">
        <f t="shared" si="4"/>
        <v>1.0562499999999982E-3</v>
      </c>
      <c r="L6" s="2">
        <f t="shared" si="5"/>
        <v>1.0562500000000127E-3</v>
      </c>
      <c r="M6" s="10">
        <f>M2/M4</f>
        <v>1.428975000000002E-3</v>
      </c>
      <c r="N6" s="74"/>
      <c r="O6" s="74"/>
      <c r="P6" s="74"/>
      <c r="Q6" s="2" t="s">
        <v>49</v>
      </c>
      <c r="R6" s="3">
        <f>-LN(R8)</f>
        <v>4.6844298669737237</v>
      </c>
    </row>
    <row r="7" spans="1:18" x14ac:dyDescent="0.2">
      <c r="A7" s="2">
        <v>320</v>
      </c>
      <c r="B7" s="2">
        <v>0.58499999999999996</v>
      </c>
      <c r="C7" s="2">
        <v>0.66600000000000004</v>
      </c>
      <c r="D7" s="2">
        <f t="shared" si="0"/>
        <v>0.62549999999999994</v>
      </c>
      <c r="E7" s="2">
        <v>320</v>
      </c>
      <c r="F7" s="2">
        <v>0.86099999999999999</v>
      </c>
      <c r="G7" s="2">
        <v>0.85399999999999998</v>
      </c>
      <c r="H7" s="2">
        <f t="shared" si="1"/>
        <v>0.85749999999999993</v>
      </c>
      <c r="I7" s="2">
        <f t="shared" si="2"/>
        <v>1.6402499999999985E-3</v>
      </c>
      <c r="J7" s="2">
        <f t="shared" si="3"/>
        <v>1.6402500000000074E-3</v>
      </c>
      <c r="K7" s="2">
        <f t="shared" si="4"/>
        <v>1.225000000000041E-5</v>
      </c>
      <c r="L7" s="2">
        <f t="shared" si="5"/>
        <v>1.2249999999999634E-5</v>
      </c>
      <c r="N7" s="74"/>
      <c r="O7" s="74"/>
      <c r="P7" s="74"/>
      <c r="Q7" s="2" t="s">
        <v>89</v>
      </c>
      <c r="R7" s="3">
        <v>1.3480000000000001E-2</v>
      </c>
    </row>
    <row r="8" spans="1:18" x14ac:dyDescent="0.2">
      <c r="A8" s="2">
        <v>640</v>
      </c>
      <c r="B8" s="2">
        <v>0.46300000000000002</v>
      </c>
      <c r="C8" s="2">
        <v>0.35599999999999998</v>
      </c>
      <c r="D8" s="2">
        <f t="shared" si="0"/>
        <v>0.40949999999999998</v>
      </c>
      <c r="E8" s="2">
        <v>640</v>
      </c>
      <c r="F8" s="2">
        <v>0.497</v>
      </c>
      <c r="G8" s="2">
        <v>0.496</v>
      </c>
      <c r="H8" s="2">
        <f t="shared" si="1"/>
        <v>0.4965</v>
      </c>
      <c r="I8" s="2">
        <f t="shared" si="2"/>
        <v>2.862250000000005E-3</v>
      </c>
      <c r="J8" s="2">
        <f t="shared" si="3"/>
        <v>2.8622499999999993E-3</v>
      </c>
      <c r="K8" s="2">
        <f t="shared" si="4"/>
        <v>2.5000000000000047E-7</v>
      </c>
      <c r="L8" s="2">
        <f t="shared" si="5"/>
        <v>2.5000000000000047E-7</v>
      </c>
      <c r="N8" s="74"/>
      <c r="O8" s="74"/>
      <c r="P8" s="74"/>
      <c r="Q8" s="2" t="s">
        <v>90</v>
      </c>
      <c r="R8" s="3">
        <v>9.2379999999999997E-3</v>
      </c>
    </row>
    <row r="9" spans="1:18" x14ac:dyDescent="0.2">
      <c r="A9" s="2">
        <v>1280</v>
      </c>
      <c r="B9" s="2">
        <v>0.26600000000000001</v>
      </c>
      <c r="C9" s="2">
        <v>0.23400000000000001</v>
      </c>
      <c r="D9" s="2">
        <f t="shared" si="0"/>
        <v>0.25</v>
      </c>
      <c r="E9" s="2">
        <v>1280</v>
      </c>
      <c r="F9" s="2">
        <v>0.34</v>
      </c>
      <c r="G9" s="2">
        <v>0.34399999999999997</v>
      </c>
      <c r="H9" s="2">
        <f t="shared" si="1"/>
        <v>0.34199999999999997</v>
      </c>
      <c r="I9" s="2">
        <f t="shared" si="2"/>
        <v>2.5600000000000048E-4</v>
      </c>
      <c r="J9" s="2">
        <f t="shared" si="3"/>
        <v>2.5599999999999955E-4</v>
      </c>
      <c r="K9" s="2">
        <f>(F9-$H9)^2</f>
        <v>3.9999999999997847E-6</v>
      </c>
      <c r="L9" s="2">
        <f t="shared" si="5"/>
        <v>4.0000000000000074E-6</v>
      </c>
      <c r="N9" s="74"/>
      <c r="O9" s="74"/>
      <c r="P9" s="74"/>
      <c r="Q9" s="31" t="s">
        <v>92</v>
      </c>
      <c r="R9" s="3">
        <v>-1.87</v>
      </c>
    </row>
    <row r="10" spans="1:18" x14ac:dyDescent="0.2">
      <c r="A10" s="2">
        <v>2560</v>
      </c>
      <c r="B10" s="2">
        <v>0.22800000000000001</v>
      </c>
      <c r="C10" s="2">
        <v>0.19700000000000001</v>
      </c>
      <c r="D10" s="2">
        <f t="shared" si="0"/>
        <v>0.21250000000000002</v>
      </c>
      <c r="E10" s="2">
        <v>2560</v>
      </c>
      <c r="F10" s="2">
        <v>0.24199999999999999</v>
      </c>
      <c r="G10" s="2">
        <v>0.217</v>
      </c>
      <c r="H10" s="2">
        <f t="shared" si="1"/>
        <v>0.22949999999999998</v>
      </c>
      <c r="I10" s="2">
        <f t="shared" si="2"/>
        <v>2.4024999999999958E-4</v>
      </c>
      <c r="J10" s="2">
        <f t="shared" si="3"/>
        <v>2.4025000000000042E-4</v>
      </c>
      <c r="K10" s="2">
        <f t="shared" si="4"/>
        <v>1.5625000000000027E-4</v>
      </c>
      <c r="L10" s="2">
        <f t="shared" si="5"/>
        <v>1.562499999999996E-4</v>
      </c>
      <c r="N10" s="74"/>
      <c r="O10" s="74"/>
      <c r="P10" s="74"/>
      <c r="Q10" s="31" t="s">
        <v>91</v>
      </c>
      <c r="R10" s="3">
        <v>-2.0339999999999998</v>
      </c>
    </row>
    <row r="11" spans="1:18" x14ac:dyDescent="0.2">
      <c r="A11" s="2">
        <v>5120</v>
      </c>
      <c r="B11" s="2">
        <v>0.17599999999999999</v>
      </c>
      <c r="C11" s="2">
        <v>0.215</v>
      </c>
      <c r="D11" s="2">
        <f t="shared" si="0"/>
        <v>0.19550000000000001</v>
      </c>
      <c r="E11" s="2">
        <v>5120</v>
      </c>
      <c r="F11" s="2">
        <v>0.17799999999999999</v>
      </c>
      <c r="G11" s="2">
        <v>0.125</v>
      </c>
      <c r="H11" s="2">
        <f t="shared" si="1"/>
        <v>0.1515</v>
      </c>
      <c r="I11" s="2">
        <f t="shared" si="2"/>
        <v>3.8025000000000065E-4</v>
      </c>
      <c r="J11" s="2">
        <f t="shared" si="3"/>
        <v>3.8024999999999957E-4</v>
      </c>
      <c r="K11" s="2">
        <f t="shared" si="4"/>
        <v>7.0224999999999975E-4</v>
      </c>
      <c r="L11" s="2">
        <f>(G11-$H11)^2</f>
        <v>7.0224999999999975E-4</v>
      </c>
      <c r="N11" s="74"/>
      <c r="O11" s="74"/>
      <c r="P11" s="74"/>
    </row>
    <row r="12" spans="1:18" x14ac:dyDescent="0.2">
      <c r="A12" s="71" t="s">
        <v>3</v>
      </c>
      <c r="B12" s="71"/>
      <c r="C12" s="71"/>
      <c r="D12" s="71"/>
      <c r="E12" s="71" t="s">
        <v>4</v>
      </c>
      <c r="F12" s="71"/>
      <c r="G12" s="71"/>
      <c r="H12" s="71"/>
      <c r="N12" s="74"/>
      <c r="O12" s="74"/>
      <c r="P12" s="74"/>
      <c r="R12">
        <f>EXP(R7-R8)</f>
        <v>1.00425101001766</v>
      </c>
    </row>
    <row r="13" spans="1:18" x14ac:dyDescent="0.2">
      <c r="A13" s="73" t="s">
        <v>21</v>
      </c>
      <c r="B13" s="73"/>
      <c r="C13" s="73"/>
      <c r="D13" s="73"/>
      <c r="E13" s="73"/>
      <c r="F13" s="73"/>
      <c r="G13" s="73"/>
      <c r="H13" s="73"/>
      <c r="I13" s="73"/>
      <c r="J13" s="73"/>
      <c r="K13" s="73"/>
      <c r="L13" s="73"/>
      <c r="M13" s="73"/>
      <c r="N13" s="73"/>
      <c r="O13" s="73"/>
      <c r="P13" s="73"/>
    </row>
    <row r="14" spans="1:18" ht="17.25" x14ac:dyDescent="0.2">
      <c r="A14" s="3"/>
      <c r="B14" s="3" t="s">
        <v>6</v>
      </c>
      <c r="C14" s="3" t="s">
        <v>7</v>
      </c>
      <c r="D14" s="3" t="s">
        <v>8</v>
      </c>
      <c r="E14" s="3" t="s">
        <v>9</v>
      </c>
      <c r="F14" s="3" t="s">
        <v>10</v>
      </c>
      <c r="G14" s="3" t="s">
        <v>11</v>
      </c>
      <c r="H14" s="3" t="s">
        <v>12</v>
      </c>
      <c r="I14" s="3" t="s">
        <v>13</v>
      </c>
      <c r="J14" s="3" t="s">
        <v>14</v>
      </c>
      <c r="K14" s="3" t="s">
        <v>15</v>
      </c>
      <c r="L14" s="3" t="s">
        <v>16</v>
      </c>
      <c r="M14" s="3" t="s">
        <v>17</v>
      </c>
      <c r="N14" s="3" t="s">
        <v>18</v>
      </c>
      <c r="O14" s="3" t="s">
        <v>19</v>
      </c>
      <c r="P14" s="3" t="s">
        <v>20</v>
      </c>
    </row>
    <row r="15" spans="1:18" x14ac:dyDescent="0.2">
      <c r="A15" s="49" t="s">
        <v>5</v>
      </c>
      <c r="B15" s="3">
        <v>10</v>
      </c>
      <c r="C15" s="9">
        <v>2</v>
      </c>
      <c r="D15" s="9">
        <v>2</v>
      </c>
      <c r="E15" s="3">
        <f>LOG10(1/B15)</f>
        <v>-1</v>
      </c>
      <c r="F15" s="9">
        <f>D15/C15</f>
        <v>1</v>
      </c>
      <c r="G15" s="3">
        <f>$R$4*($E15-$R$9)</f>
        <v>0.97875000000000012</v>
      </c>
      <c r="H15" s="3">
        <f>1/(1+(10^(-G15)))</f>
        <v>0.90496535567930902</v>
      </c>
      <c r="I15" s="3">
        <f>(10^(-G15))/((1+(10^(-G15)))^2)</f>
        <v>8.6003060699530731E-2</v>
      </c>
      <c r="J15" s="3">
        <f>$G15+(((($D2-$R$2)/($R$3-$R$2))-$H15)/$I15)</f>
        <v>1.0107801416298503</v>
      </c>
      <c r="K15" s="3">
        <f>((($I15^2)*(($R$3-$R$2)^2))/$M$6)</f>
        <v>48.166516946075284</v>
      </c>
      <c r="L15" s="3">
        <f>K15*E15</f>
        <v>-48.166516946075284</v>
      </c>
      <c r="M15" s="3">
        <f>K15*J15</f>
        <v>48.685758820570562</v>
      </c>
      <c r="N15" s="3">
        <f>K15*((E15)^2)</f>
        <v>48.166516946075284</v>
      </c>
      <c r="O15" s="3">
        <f>K15*((J15)^2)</f>
        <v>49.210598196013038</v>
      </c>
      <c r="P15" s="3">
        <f>K15*E15*J15</f>
        <v>-48.685758820570562</v>
      </c>
    </row>
    <row r="16" spans="1:18" x14ac:dyDescent="0.2">
      <c r="A16" s="49"/>
      <c r="B16" s="3">
        <v>20</v>
      </c>
      <c r="C16" s="9">
        <v>2</v>
      </c>
      <c r="D16" s="9">
        <v>2</v>
      </c>
      <c r="E16" s="3">
        <f t="shared" ref="E16:E34" si="6">LOG10(1/B16)</f>
        <v>-1.3010299956639813</v>
      </c>
      <c r="F16" s="9">
        <f t="shared" ref="F16:F34" si="7">D16/C16</f>
        <v>1</v>
      </c>
      <c r="G16" s="3">
        <f t="shared" ref="G16:G24" si="8">$R$4*($E16-$R$9)</f>
        <v>0.64009125487802121</v>
      </c>
      <c r="H16" s="3">
        <f t="shared" ref="H16:H34" si="9">1/(1+(10^(-G16)))</f>
        <v>0.8136440728753882</v>
      </c>
      <c r="I16" s="3">
        <f t="shared" ref="I16:I34" si="10">(10^(-G16))/((1+(10^(-G16)))^2)</f>
        <v>0.15162739555013813</v>
      </c>
      <c r="J16" s="3">
        <f t="shared" ref="J16:J24" si="11">$G16+(((($D3-$R$2)/($R$3-$R$2))-$H16)/$I16)</f>
        <v>0.61626356578124974</v>
      </c>
      <c r="K16" s="3">
        <f t="shared" ref="K16:K34" si="12">((($I16^2)*(($R$3-$R$2)^2))/$M$6)</f>
        <v>149.7175730270128</v>
      </c>
      <c r="L16" s="3">
        <f>K16*E16</f>
        <v>-194.78705338615626</v>
      </c>
      <c r="M16" s="3">
        <f t="shared" ref="M16:M30" si="13">K16*J16</f>
        <v>92.265485413741573</v>
      </c>
      <c r="N16" s="3">
        <f t="shared" ref="N16:N34" si="14">K16*((E16)^2)</f>
        <v>253.42379922239058</v>
      </c>
      <c r="O16" s="3">
        <f t="shared" ref="O16:O33" si="15">K16*((J16)^2)</f>
        <v>56.859857039610262</v>
      </c>
      <c r="P16" s="3">
        <f t="shared" ref="P16:P33" si="16">K16*E16*J16</f>
        <v>-120.04016408777531</v>
      </c>
    </row>
    <row r="17" spans="1:16" x14ac:dyDescent="0.2">
      <c r="A17" s="49"/>
      <c r="B17" s="3">
        <v>40</v>
      </c>
      <c r="C17" s="9">
        <v>2</v>
      </c>
      <c r="D17" s="9">
        <v>2</v>
      </c>
      <c r="E17" s="3">
        <f t="shared" si="6"/>
        <v>-1.6020599913279623</v>
      </c>
      <c r="F17" s="9">
        <f t="shared" si="7"/>
        <v>1</v>
      </c>
      <c r="G17" s="3">
        <f t="shared" si="8"/>
        <v>0.30143250975604252</v>
      </c>
      <c r="H17" s="3">
        <f t="shared" si="9"/>
        <v>0.6668725954971314</v>
      </c>
      <c r="I17" s="3">
        <f t="shared" si="10"/>
        <v>0.22215353687205078</v>
      </c>
      <c r="J17" s="3">
        <f t="shared" si="11"/>
        <v>0.28845461338167705</v>
      </c>
      <c r="K17" s="3">
        <f t="shared" si="12"/>
        <v>321.38373358576905</v>
      </c>
      <c r="L17" s="3">
        <f>K17*E17</f>
        <v>-514.87602144136531</v>
      </c>
      <c r="M17" s="3">
        <f t="shared" si="13"/>
        <v>92.704620618642906</v>
      </c>
      <c r="N17" s="3">
        <f t="shared" si="14"/>
        <v>824.86227444532938</v>
      </c>
      <c r="O17" s="3">
        <f t="shared" si="15"/>
        <v>26.741075499245685</v>
      </c>
      <c r="P17" s="3">
        <f t="shared" si="16"/>
        <v>-148.5183637043651</v>
      </c>
    </row>
    <row r="18" spans="1:16" x14ac:dyDescent="0.2">
      <c r="A18" s="49"/>
      <c r="B18" s="3">
        <v>80</v>
      </c>
      <c r="C18" s="9">
        <v>2</v>
      </c>
      <c r="D18" s="9">
        <v>2</v>
      </c>
      <c r="E18" s="3">
        <f t="shared" si="6"/>
        <v>-1.9030899869919435</v>
      </c>
      <c r="F18" s="9">
        <f t="shared" si="7"/>
        <v>1</v>
      </c>
      <c r="G18" s="3">
        <f t="shared" si="8"/>
        <v>-3.7226235365936361E-2</v>
      </c>
      <c r="H18" s="3">
        <f t="shared" si="9"/>
        <v>0.4785839672961455</v>
      </c>
      <c r="I18" s="3">
        <f t="shared" si="10"/>
        <v>0.24954135354322746</v>
      </c>
      <c r="J18" s="3">
        <f t="shared" si="11"/>
        <v>1.4111492127685449E-2</v>
      </c>
      <c r="K18" s="3">
        <f t="shared" si="12"/>
        <v>405.51085168278837</v>
      </c>
      <c r="L18" s="3">
        <f t="shared" ref="L18:L34" si="17">K18*E18</f>
        <v>-771.72364145408972</v>
      </c>
      <c r="M18" s="3">
        <f t="shared" si="13"/>
        <v>5.7223631912126898</v>
      </c>
      <c r="N18" s="3">
        <f t="shared" si="14"/>
        <v>1468.6595347762388</v>
      </c>
      <c r="O18" s="3">
        <f t="shared" si="15"/>
        <v>8.0751083124554854E-2</v>
      </c>
      <c r="P18" s="3">
        <f t="shared" si="16"/>
        <v>-10.890172091128134</v>
      </c>
    </row>
    <row r="19" spans="1:16" x14ac:dyDescent="0.2">
      <c r="A19" s="49"/>
      <c r="B19" s="3">
        <v>160</v>
      </c>
      <c r="C19" s="9">
        <v>2</v>
      </c>
      <c r="D19" s="9">
        <v>2</v>
      </c>
      <c r="E19" s="3">
        <f t="shared" si="6"/>
        <v>-2.2041199826559246</v>
      </c>
      <c r="F19" s="9">
        <f t="shared" si="7"/>
        <v>1</v>
      </c>
      <c r="G19" s="3">
        <f t="shared" si="8"/>
        <v>-0.37588498048791502</v>
      </c>
      <c r="H19" s="3">
        <f t="shared" si="9"/>
        <v>0.29619002925240617</v>
      </c>
      <c r="I19" s="3">
        <f t="shared" si="10"/>
        <v>0.20846149582386495</v>
      </c>
      <c r="J19" s="3">
        <f t="shared" si="11"/>
        <v>-0.41681468885397321</v>
      </c>
      <c r="K19" s="3">
        <f t="shared" si="12"/>
        <v>282.9887216291977</v>
      </c>
      <c r="L19" s="3">
        <f>K19*E19</f>
        <v>-623.74109620916954</v>
      </c>
      <c r="M19" s="3">
        <f t="shared" si="13"/>
        <v>-117.95385595505768</v>
      </c>
      <c r="N19" s="3">
        <f t="shared" si="14"/>
        <v>1374.800214158342</v>
      </c>
      <c r="O19" s="3">
        <f t="shared" si="15"/>
        <v>49.164899769033738</v>
      </c>
      <c r="P19" s="3">
        <f t="shared" si="16"/>
        <v>259.98445094186116</v>
      </c>
    </row>
    <row r="20" spans="1:16" x14ac:dyDescent="0.2">
      <c r="A20" s="49"/>
      <c r="B20" s="3">
        <v>320</v>
      </c>
      <c r="C20" s="9">
        <v>2</v>
      </c>
      <c r="D20" s="9">
        <v>2</v>
      </c>
      <c r="E20" s="3">
        <f t="shared" si="6"/>
        <v>-2.5051499783199058</v>
      </c>
      <c r="F20" s="9">
        <f t="shared" si="7"/>
        <v>1</v>
      </c>
      <c r="G20" s="3">
        <f t="shared" si="8"/>
        <v>-0.71454372560989388</v>
      </c>
      <c r="H20" s="3">
        <f t="shared" si="9"/>
        <v>0.16174548786442805</v>
      </c>
      <c r="I20" s="3">
        <f t="shared" si="10"/>
        <v>0.13558388501992621</v>
      </c>
      <c r="J20" s="3">
        <f t="shared" si="11"/>
        <v>-0.74695343249340573</v>
      </c>
      <c r="K20" s="3">
        <f t="shared" si="12"/>
        <v>119.71086691269143</v>
      </c>
      <c r="L20" s="3">
        <f>K20*E20</f>
        <v>-299.89367565098604</v>
      </c>
      <c r="M20" s="3">
        <f t="shared" si="13"/>
        <v>-89.418442947196141</v>
      </c>
      <c r="N20" s="3">
        <f t="shared" si="14"/>
        <v>751.27863505534458</v>
      </c>
      <c r="O20" s="3">
        <f t="shared" si="15"/>
        <v>66.79141288762392</v>
      </c>
      <c r="P20" s="3">
        <f t="shared" si="16"/>
        <v>224.00661041056813</v>
      </c>
    </row>
    <row r="21" spans="1:16" x14ac:dyDescent="0.2">
      <c r="A21" s="49"/>
      <c r="B21" s="3">
        <v>640</v>
      </c>
      <c r="C21" s="9">
        <v>2</v>
      </c>
      <c r="D21" s="9">
        <v>2</v>
      </c>
      <c r="E21" s="3">
        <f t="shared" si="6"/>
        <v>-2.8061799739838871</v>
      </c>
      <c r="F21" s="9">
        <f t="shared" si="7"/>
        <v>1</v>
      </c>
      <c r="G21" s="3">
        <f t="shared" si="8"/>
        <v>-1.0532024707318728</v>
      </c>
      <c r="H21" s="3">
        <f t="shared" si="9"/>
        <v>8.1279485059387854E-2</v>
      </c>
      <c r="I21" s="3">
        <f t="shared" si="10"/>
        <v>7.4673130367868601E-2</v>
      </c>
      <c r="J21" s="3">
        <f t="shared" si="11"/>
        <v>-0.98271252936041065</v>
      </c>
      <c r="K21" s="3">
        <f t="shared" si="12"/>
        <v>36.311663344806192</v>
      </c>
      <c r="L21" s="3">
        <f t="shared" si="17"/>
        <v>-101.89706250023991</v>
      </c>
      <c r="M21" s="3">
        <f t="shared" si="13"/>
        <v>-35.683926530858201</v>
      </c>
      <c r="N21" s="3">
        <f t="shared" si="14"/>
        <v>285.94149619595771</v>
      </c>
      <c r="O21" s="3">
        <f t="shared" si="15"/>
        <v>35.067041698650726</v>
      </c>
      <c r="P21" s="3">
        <f t="shared" si="16"/>
        <v>100.13552002400661</v>
      </c>
    </row>
    <row r="22" spans="1:16" x14ac:dyDescent="0.2">
      <c r="A22" s="49"/>
      <c r="B22" s="3">
        <v>1280</v>
      </c>
      <c r="C22" s="9">
        <v>2</v>
      </c>
      <c r="D22" s="9">
        <v>2</v>
      </c>
      <c r="E22" s="3">
        <f t="shared" si="6"/>
        <v>-3.1072099696478683</v>
      </c>
      <c r="F22" s="9">
        <f t="shared" si="7"/>
        <v>1</v>
      </c>
      <c r="G22" s="3">
        <f t="shared" si="8"/>
        <v>-1.3918612158538517</v>
      </c>
      <c r="H22" s="3">
        <f t="shared" si="9"/>
        <v>3.898253388081642E-2</v>
      </c>
      <c r="I22" s="3">
        <f t="shared" si="10"/>
        <v>3.7462895933047413E-2</v>
      </c>
      <c r="J22" s="3">
        <f>$G22+(((($D9-$R$2)/($R$3-$R$2))-$H22)/$I22)</f>
        <v>-1.5180088221774442</v>
      </c>
      <c r="K22" s="3">
        <f t="shared" si="12"/>
        <v>9.1394512277402828</v>
      </c>
      <c r="L22" s="3">
        <f>K22*E22</f>
        <v>-28.398193971945059</v>
      </c>
      <c r="M22" s="3">
        <f t="shared" si="13"/>
        <v>-13.873767593570223</v>
      </c>
      <c r="N22" s="3">
        <f t="shared" si="14"/>
        <v>88.239151429621671</v>
      </c>
      <c r="O22" s="3">
        <f t="shared" si="15"/>
        <v>21.060501603879128</v>
      </c>
      <c r="P22" s="3">
        <f t="shared" si="16"/>
        <v>43.108708983318913</v>
      </c>
    </row>
    <row r="23" spans="1:16" x14ac:dyDescent="0.2">
      <c r="A23" s="49"/>
      <c r="B23" s="3">
        <v>2560</v>
      </c>
      <c r="C23" s="9">
        <v>2</v>
      </c>
      <c r="D23" s="9">
        <v>2</v>
      </c>
      <c r="E23" s="3">
        <f t="shared" si="6"/>
        <v>-3.4082399653118496</v>
      </c>
      <c r="F23" s="9">
        <f t="shared" si="7"/>
        <v>1</v>
      </c>
      <c r="G23" s="3">
        <f t="shared" si="8"/>
        <v>-1.7305199609758306</v>
      </c>
      <c r="H23" s="3">
        <f t="shared" si="9"/>
        <v>1.8258999133953492E-2</v>
      </c>
      <c r="I23" s="3">
        <f t="shared" si="10"/>
        <v>1.7925608084579776E-2</v>
      </c>
      <c r="J23" s="3">
        <f t="shared" si="11"/>
        <v>-1.5238539794869994</v>
      </c>
      <c r="K23" s="3">
        <f t="shared" si="12"/>
        <v>2.0924988204271413</v>
      </c>
      <c r="L23" s="3">
        <f t="shared" si="17"/>
        <v>-7.1317381071476866</v>
      </c>
      <c r="M23" s="3">
        <f t="shared" si="13"/>
        <v>-3.1886626545797516</v>
      </c>
      <c r="N23" s="3">
        <f t="shared" si="14"/>
        <v>24.306674838918227</v>
      </c>
      <c r="O23" s="3">
        <f t="shared" si="15"/>
        <v>4.8590562754229341</v>
      </c>
      <c r="P23" s="3">
        <f t="shared" si="16"/>
        <v>10.867727495236084</v>
      </c>
    </row>
    <row r="24" spans="1:16" ht="15.75" thickBot="1" x14ac:dyDescent="0.25">
      <c r="A24" s="72"/>
      <c r="B24" s="5">
        <v>5120</v>
      </c>
      <c r="C24" s="12">
        <v>2</v>
      </c>
      <c r="D24" s="12">
        <v>2</v>
      </c>
      <c r="E24" s="5">
        <f>LOG10(1/B24)</f>
        <v>-3.7092699609758308</v>
      </c>
      <c r="F24" s="12">
        <f t="shared" si="7"/>
        <v>1</v>
      </c>
      <c r="G24" s="5">
        <f t="shared" si="8"/>
        <v>-2.0691787060978095</v>
      </c>
      <c r="H24" s="5">
        <f t="shared" si="9"/>
        <v>8.4553882238115174E-3</v>
      </c>
      <c r="I24" s="5">
        <f t="shared" si="10"/>
        <v>8.3838946337961486E-3</v>
      </c>
      <c r="J24" s="5">
        <f t="shared" si="11"/>
        <v>-1.1226773798485286</v>
      </c>
      <c r="K24" s="5">
        <f t="shared" si="12"/>
        <v>0.457729656006713</v>
      </c>
      <c r="L24" s="5">
        <f t="shared" si="17"/>
        <v>-1.6978428632735008</v>
      </c>
      <c r="M24" s="5">
        <f t="shared" si="13"/>
        <v>-0.5138827308845848</v>
      </c>
      <c r="N24" s="5">
        <f t="shared" si="14"/>
        <v>6.2977575311975915</v>
      </c>
      <c r="O24" s="5">
        <f t="shared" si="15"/>
        <v>0.57692451785891219</v>
      </c>
      <c r="P24" s="5">
        <f t="shared" si="16"/>
        <v>1.9061297771344174</v>
      </c>
    </row>
    <row r="25" spans="1:16" x14ac:dyDescent="0.2">
      <c r="A25" s="70" t="s">
        <v>22</v>
      </c>
      <c r="B25" s="4">
        <v>10</v>
      </c>
      <c r="C25" s="11">
        <v>2</v>
      </c>
      <c r="D25" s="11">
        <v>2</v>
      </c>
      <c r="E25" s="4">
        <f t="shared" si="6"/>
        <v>-1</v>
      </c>
      <c r="F25" s="11">
        <f t="shared" si="7"/>
        <v>1</v>
      </c>
      <c r="G25" s="4">
        <f>$R$4*($E25-$R$10)</f>
        <v>1.1632499999999997</v>
      </c>
      <c r="H25" s="4">
        <f t="shared" si="9"/>
        <v>0.93574491869246645</v>
      </c>
      <c r="I25" s="4">
        <f>(10^(-G25))/((1+(10^(-G25)))^2)</f>
        <v>6.0126365833695773E-2</v>
      </c>
      <c r="J25" s="4">
        <f>$G25+(((($H2-$R$2)/($R$3-$R$2))-$H25)/$I25)</f>
        <v>1.1742094105135323</v>
      </c>
      <c r="K25" s="4">
        <f>((($I25^2)*(($R$3-$R$2)^2))/$M$6)</f>
        <v>23.542215873532669</v>
      </c>
      <c r="L25" s="4">
        <f t="shared" si="17"/>
        <v>-23.542215873532669</v>
      </c>
      <c r="M25" s="4">
        <f>K25*J25</f>
        <v>27.64349142304312</v>
      </c>
      <c r="N25" s="4">
        <f t="shared" si="14"/>
        <v>23.542215873532669</v>
      </c>
      <c r="O25" s="4">
        <f t="shared" si="15"/>
        <v>32.45924776838735</v>
      </c>
      <c r="P25" s="4">
        <f t="shared" si="16"/>
        <v>-27.64349142304312</v>
      </c>
    </row>
    <row r="26" spans="1:16" x14ac:dyDescent="0.2">
      <c r="A26" s="49"/>
      <c r="B26" s="3">
        <v>20</v>
      </c>
      <c r="C26" s="9">
        <v>2</v>
      </c>
      <c r="D26" s="9">
        <v>2</v>
      </c>
      <c r="E26" s="3">
        <f t="shared" si="6"/>
        <v>-1.3010299956639813</v>
      </c>
      <c r="F26" s="9">
        <f t="shared" si="7"/>
        <v>1</v>
      </c>
      <c r="G26" s="3">
        <f t="shared" ref="G26:G34" si="18">$R$4*($E26-$R$10)</f>
        <v>0.82459125487802087</v>
      </c>
      <c r="H26" s="3">
        <f t="shared" si="9"/>
        <v>0.86974336112055251</v>
      </c>
      <c r="I26" s="3">
        <f t="shared" si="10"/>
        <v>0.1132898469072767</v>
      </c>
      <c r="J26" s="4">
        <f t="shared" ref="J26:J34" si="19">$G26+(((($H3-$R$2)/($R$3-$R$2))-$H26)/$I26)</f>
        <v>0.841512651414974</v>
      </c>
      <c r="K26" s="3">
        <f t="shared" si="12"/>
        <v>83.579430510705421</v>
      </c>
      <c r="L26" s="3">
        <f t="shared" si="17"/>
        <v>-108.7393461149411</v>
      </c>
      <c r="M26" s="3">
        <f>K26*J26</f>
        <v>70.333148172817289</v>
      </c>
      <c r="N26" s="3">
        <f t="shared" si="14"/>
        <v>141.47315100442597</v>
      </c>
      <c r="O26" s="3">
        <f t="shared" si="15"/>
        <v>59.18623400126971</v>
      </c>
      <c r="P26" s="3">
        <f t="shared" si="16"/>
        <v>-91.50553546231464</v>
      </c>
    </row>
    <row r="27" spans="1:16" x14ac:dyDescent="0.2">
      <c r="A27" s="49"/>
      <c r="B27" s="3">
        <v>40</v>
      </c>
      <c r="C27" s="9">
        <v>2</v>
      </c>
      <c r="D27" s="9">
        <v>2</v>
      </c>
      <c r="E27" s="3">
        <f t="shared" si="6"/>
        <v>-1.6020599913279623</v>
      </c>
      <c r="F27" s="9">
        <f t="shared" si="7"/>
        <v>1</v>
      </c>
      <c r="G27" s="3">
        <f t="shared" si="18"/>
        <v>0.48593250975604219</v>
      </c>
      <c r="H27" s="3">
        <f t="shared" si="9"/>
        <v>0.75378479764375339</v>
      </c>
      <c r="I27" s="3">
        <f t="shared" si="10"/>
        <v>0.18559327648491919</v>
      </c>
      <c r="J27" s="4">
        <f t="shared" si="19"/>
        <v>0.45162985734584254</v>
      </c>
      <c r="K27" s="3">
        <f t="shared" si="12"/>
        <v>224.30652417190009</v>
      </c>
      <c r="L27" s="3">
        <f t="shared" si="17"/>
        <v>-359.35250816963963</v>
      </c>
      <c r="M27" s="3">
        <f t="shared" si="13"/>
        <v>101.30352351349703</v>
      </c>
      <c r="N27" s="3">
        <f t="shared" si="14"/>
        <v>575.7042761219343</v>
      </c>
      <c r="O27" s="3">
        <f t="shared" si="15"/>
        <v>45.751695873031863</v>
      </c>
      <c r="P27" s="3">
        <f t="shared" si="16"/>
        <v>-162.29432200152507</v>
      </c>
    </row>
    <row r="28" spans="1:16" x14ac:dyDescent="0.2">
      <c r="A28" s="49"/>
      <c r="B28" s="3">
        <v>80</v>
      </c>
      <c r="C28" s="9">
        <v>2</v>
      </c>
      <c r="D28" s="9">
        <v>2</v>
      </c>
      <c r="E28" s="3">
        <f t="shared" si="6"/>
        <v>-1.9030899869919435</v>
      </c>
      <c r="F28" s="9">
        <f t="shared" si="7"/>
        <v>1</v>
      </c>
      <c r="G28" s="3">
        <f t="shared" si="18"/>
        <v>0.1472737646340633</v>
      </c>
      <c r="H28" s="3">
        <f t="shared" si="9"/>
        <v>0.58397440622285735</v>
      </c>
      <c r="I28" s="3">
        <f t="shared" si="10"/>
        <v>0.24294829909951848</v>
      </c>
      <c r="J28" s="4">
        <f t="shared" si="19"/>
        <v>0.16560573209497412</v>
      </c>
      <c r="K28" s="3">
        <f t="shared" si="12"/>
        <v>384.36616763534067</v>
      </c>
      <c r="L28" s="3">
        <f t="shared" si="17"/>
        <v>-731.48340496528363</v>
      </c>
      <c r="M28" s="3">
        <f t="shared" si="13"/>
        <v>63.653240583790136</v>
      </c>
      <c r="N28" s="3">
        <f t="shared" si="14"/>
        <v>1392.0787436402043</v>
      </c>
      <c r="O28" s="3">
        <f t="shared" si="15"/>
        <v>10.541341507096083</v>
      </c>
      <c r="P28" s="3">
        <f t="shared" si="16"/>
        <v>-121.13784479460023</v>
      </c>
    </row>
    <row r="29" spans="1:16" x14ac:dyDescent="0.2">
      <c r="A29" s="49"/>
      <c r="B29" s="3">
        <v>160</v>
      </c>
      <c r="C29" s="9">
        <v>2</v>
      </c>
      <c r="D29" s="9">
        <v>2</v>
      </c>
      <c r="E29" s="3">
        <f t="shared" si="6"/>
        <v>-2.2041199826559246</v>
      </c>
      <c r="F29" s="9">
        <f t="shared" si="7"/>
        <v>1</v>
      </c>
      <c r="G29" s="3">
        <f t="shared" si="18"/>
        <v>-0.19138498048791536</v>
      </c>
      <c r="H29" s="3">
        <f>1/(1+(10^(-G29)))</f>
        <v>0.39157890241275772</v>
      </c>
      <c r="I29" s="3">
        <f>(10^(-G29))/((1+(10^(-G29)))^2)</f>
        <v>0.23824486559797767</v>
      </c>
      <c r="J29" s="4">
        <f>$G29+(((($H6-$R$2)/($R$3-$R$2))-$H29)/$I29)</f>
        <v>-0.20309637349366527</v>
      </c>
      <c r="K29" s="3">
        <f t="shared" si="12"/>
        <v>369.62771515120198</v>
      </c>
      <c r="L29" s="3">
        <f t="shared" si="17"/>
        <v>-814.70383310821637</v>
      </c>
      <c r="M29" s="3">
        <f>K29*J29</f>
        <v>-75.070048489958637</v>
      </c>
      <c r="N29" s="3">
        <f t="shared" si="14"/>
        <v>1795.704998500197</v>
      </c>
      <c r="O29" s="3">
        <f t="shared" si="15"/>
        <v>15.246454606304203</v>
      </c>
      <c r="P29" s="3">
        <f t="shared" si="16"/>
        <v>165.46339397566706</v>
      </c>
    </row>
    <row r="30" spans="1:16" x14ac:dyDescent="0.2">
      <c r="A30" s="49"/>
      <c r="B30" s="3">
        <v>320</v>
      </c>
      <c r="C30" s="9">
        <v>2</v>
      </c>
      <c r="D30" s="9">
        <v>2</v>
      </c>
      <c r="E30" s="3">
        <f t="shared" si="6"/>
        <v>-2.5051499783199058</v>
      </c>
      <c r="F30" s="9">
        <f t="shared" si="7"/>
        <v>1</v>
      </c>
      <c r="G30" s="3">
        <f>$R$4*($E30-$R$10)</f>
        <v>-0.53004372560989421</v>
      </c>
      <c r="H30" s="3">
        <f>1/(1+(10^(-G30)))</f>
        <v>0.22785361243409266</v>
      </c>
      <c r="I30" s="3">
        <f>(10^(-G30))/((1+(10^(-G30)))^2)</f>
        <v>0.17593634373482697</v>
      </c>
      <c r="J30" s="4">
        <f t="shared" si="19"/>
        <v>-0.49849397648434263</v>
      </c>
      <c r="K30" s="3">
        <f t="shared" si="12"/>
        <v>201.57123304260392</v>
      </c>
      <c r="L30" s="3">
        <f t="shared" si="17"/>
        <v>-504.96617008659592</v>
      </c>
      <c r="M30" s="3">
        <f t="shared" si="13"/>
        <v>-100.48204550425974</v>
      </c>
      <c r="N30" s="3">
        <f t="shared" si="14"/>
        <v>1265.0159900447215</v>
      </c>
      <c r="O30" s="3">
        <f t="shared" si="15"/>
        <v>50.089694428699104</v>
      </c>
      <c r="P30" s="3">
        <f t="shared" si="16"/>
        <v>251.7225941165361</v>
      </c>
    </row>
    <row r="31" spans="1:16" x14ac:dyDescent="0.2">
      <c r="A31" s="49"/>
      <c r="B31" s="3">
        <v>640</v>
      </c>
      <c r="C31" s="9">
        <v>2</v>
      </c>
      <c r="D31" s="9">
        <v>2</v>
      </c>
      <c r="E31" s="3">
        <f t="shared" si="6"/>
        <v>-2.8061799739838871</v>
      </c>
      <c r="F31" s="9">
        <f t="shared" si="7"/>
        <v>1</v>
      </c>
      <c r="G31" s="3">
        <f t="shared" si="18"/>
        <v>-0.86870247073187312</v>
      </c>
      <c r="H31" s="3">
        <f t="shared" si="9"/>
        <v>0.11917548369738216</v>
      </c>
      <c r="I31" s="3">
        <f t="shared" si="10"/>
        <v>0.10497268778287716</v>
      </c>
      <c r="J31" s="4">
        <f>$G31+(((($H8-$R$2)/($R$3-$R$2))-$H31)/$I31)</f>
        <v>-0.90787817800512927</v>
      </c>
      <c r="K31" s="3">
        <f>((($I31^2)*(($R$3-$R$2)^2))/$M$6)</f>
        <v>71.757956475045575</v>
      </c>
      <c r="L31" s="3">
        <f>K31*E31</f>
        <v>-201.3657404342803</v>
      </c>
      <c r="M31" s="3">
        <f>K31*J31</f>
        <v>-65.14748278193575</v>
      </c>
      <c r="N31" s="3">
        <f t="shared" si="14"/>
        <v>565.06850825311483</v>
      </c>
      <c r="O31" s="3">
        <f t="shared" si="15"/>
        <v>59.145977969684353</v>
      </c>
      <c r="P31" s="3">
        <f t="shared" si="16"/>
        <v>182.81556153812818</v>
      </c>
    </row>
    <row r="32" spans="1:16" x14ac:dyDescent="0.2">
      <c r="A32" s="49"/>
      <c r="B32" s="3">
        <v>1280</v>
      </c>
      <c r="C32" s="9">
        <v>2</v>
      </c>
      <c r="D32" s="9">
        <v>2</v>
      </c>
      <c r="E32" s="3">
        <f t="shared" si="6"/>
        <v>-3.1072099696478683</v>
      </c>
      <c r="F32" s="9">
        <f t="shared" si="7"/>
        <v>1</v>
      </c>
      <c r="G32" s="3">
        <f>$R$4*($E32-$R$10)</f>
        <v>-1.207361215853852</v>
      </c>
      <c r="H32" s="3">
        <f t="shared" si="9"/>
        <v>5.8411698927070217E-2</v>
      </c>
      <c r="I32" s="3">
        <f t="shared" si="10"/>
        <v>5.4999772355523523E-2</v>
      </c>
      <c r="J32" s="4">
        <f t="shared" si="19"/>
        <v>-1.0981976615670017</v>
      </c>
      <c r="K32" s="3">
        <f t="shared" si="12"/>
        <v>19.698774637379621</v>
      </c>
      <c r="L32" s="3">
        <f t="shared" si="17"/>
        <v>-61.20822894311253</v>
      </c>
      <c r="M32" s="3">
        <f>K32*J32</f>
        <v>-21.633148242505662</v>
      </c>
      <c r="N32" s="3">
        <f t="shared" si="14"/>
        <v>190.18681919652846</v>
      </c>
      <c r="O32" s="3">
        <f t="shared" si="15"/>
        <v>23.757472812252011</v>
      </c>
      <c r="P32" s="3">
        <f t="shared" si="16"/>
        <v>67.218733893983853</v>
      </c>
    </row>
    <row r="33" spans="1:16" x14ac:dyDescent="0.2">
      <c r="A33" s="49"/>
      <c r="B33" s="3">
        <v>2560</v>
      </c>
      <c r="C33" s="9">
        <v>2</v>
      </c>
      <c r="D33" s="9">
        <v>2</v>
      </c>
      <c r="E33" s="3">
        <f t="shared" si="6"/>
        <v>-3.4082399653118496</v>
      </c>
      <c r="F33" s="9">
        <f t="shared" si="7"/>
        <v>1</v>
      </c>
      <c r="G33" s="3">
        <f t="shared" si="18"/>
        <v>-1.5460199609758309</v>
      </c>
      <c r="H33" s="3">
        <f t="shared" si="9"/>
        <v>2.7656657041116733E-2</v>
      </c>
      <c r="I33" s="3">
        <f t="shared" si="10"/>
        <v>2.6891766362426777E-2</v>
      </c>
      <c r="J33" s="4">
        <f t="shared" si="19"/>
        <v>-1.5504892698436887</v>
      </c>
      <c r="K33" s="3">
        <f t="shared" si="12"/>
        <v>4.7092970628847333</v>
      </c>
      <c r="L33" s="3">
        <f t="shared" si="17"/>
        <v>-16.05041445824946</v>
      </c>
      <c r="M33" s="3">
        <f>K33*J33</f>
        <v>-7.3017145645091777</v>
      </c>
      <c r="N33" s="3">
        <f t="shared" si="14"/>
        <v>54.703664016424938</v>
      </c>
      <c r="O33" s="3">
        <f t="shared" si="15"/>
        <v>11.321230083732864</v>
      </c>
      <c r="P33" s="3">
        <f t="shared" si="16"/>
        <v>24.88599539405979</v>
      </c>
    </row>
    <row r="34" spans="1:16" x14ac:dyDescent="0.2">
      <c r="A34" s="49"/>
      <c r="B34" s="3">
        <v>5120</v>
      </c>
      <c r="C34" s="9">
        <v>2</v>
      </c>
      <c r="D34" s="9">
        <v>2</v>
      </c>
      <c r="E34" s="3">
        <f t="shared" si="6"/>
        <v>-3.7092699609758308</v>
      </c>
      <c r="F34" s="9">
        <f t="shared" si="7"/>
        <v>1</v>
      </c>
      <c r="G34" s="3">
        <f t="shared" si="18"/>
        <v>-1.8846787060978099</v>
      </c>
      <c r="H34" s="3">
        <f t="shared" si="9"/>
        <v>1.2873425897737829E-2</v>
      </c>
      <c r="I34" s="3">
        <f t="shared" si="10"/>
        <v>1.2707700803393281E-2</v>
      </c>
      <c r="J34" s="4">
        <f t="shared" si="19"/>
        <v>-2.7429405894091836</v>
      </c>
      <c r="K34" s="3">
        <f t="shared" si="12"/>
        <v>1.0516019671949643</v>
      </c>
      <c r="L34" s="3">
        <f t="shared" si="17"/>
        <v>-3.9006755878193724</v>
      </c>
      <c r="M34" s="3">
        <f>K34*J34</f>
        <v>-2.8844817197216126</v>
      </c>
      <c r="N34" s="3">
        <f t="shared" si="14"/>
        <v>14.46865878541014</v>
      </c>
      <c r="O34" s="3">
        <f>K34*((J34)^2)</f>
        <v>7.911961988433216</v>
      </c>
      <c r="P34" s="3">
        <f>K34*E34*J34</f>
        <v>10.699321395947283</v>
      </c>
    </row>
    <row r="35" spans="1:16" x14ac:dyDescent="0.2">
      <c r="A35" s="69" t="s">
        <v>35</v>
      </c>
      <c r="B35" s="69"/>
      <c r="C35" s="69"/>
      <c r="D35" s="69"/>
      <c r="E35" s="69"/>
      <c r="F35" s="69"/>
      <c r="G35" s="69"/>
      <c r="H35" s="69"/>
      <c r="I35" s="69"/>
      <c r="J35" s="69"/>
      <c r="K35" s="69"/>
      <c r="L35" s="69"/>
      <c r="M35" s="69"/>
      <c r="N35" s="69"/>
      <c r="O35" s="69"/>
    </row>
    <row r="36" spans="1:16" ht="18" x14ac:dyDescent="0.2">
      <c r="A36" s="3"/>
      <c r="B36" s="6" t="s">
        <v>23</v>
      </c>
      <c r="C36" s="6" t="s">
        <v>24</v>
      </c>
      <c r="D36" s="6" t="s">
        <v>25</v>
      </c>
      <c r="E36" s="6" t="s">
        <v>26</v>
      </c>
      <c r="F36" s="6" t="s">
        <v>27</v>
      </c>
      <c r="G36" s="6" t="s">
        <v>28</v>
      </c>
      <c r="H36" s="7" t="s">
        <v>29</v>
      </c>
      <c r="I36" s="7" t="s">
        <v>30</v>
      </c>
      <c r="J36" s="7" t="s">
        <v>31</v>
      </c>
      <c r="K36" s="7" t="s">
        <v>32</v>
      </c>
      <c r="L36" s="7" t="s">
        <v>33</v>
      </c>
      <c r="M36" s="7" t="s">
        <v>34</v>
      </c>
      <c r="N36" s="7" t="s">
        <v>67</v>
      </c>
      <c r="O36" s="7" t="s">
        <v>68</v>
      </c>
    </row>
    <row r="37" spans="1:16" x14ac:dyDescent="0.2">
      <c r="A37" s="3" t="s">
        <v>5</v>
      </c>
      <c r="B37" s="3">
        <f>SUM(K15:K24)</f>
        <v>1375.4796068325149</v>
      </c>
      <c r="C37" s="3">
        <f>SUM(L15:L24)</f>
        <v>-2592.3128425304481</v>
      </c>
      <c r="D37" s="3">
        <f>SUM(M15:M24)</f>
        <v>-21.254310367978864</v>
      </c>
      <c r="E37" s="3">
        <f>SUM(N15:N24)</f>
        <v>5125.976054599415</v>
      </c>
      <c r="F37" s="3">
        <f>SUM(O15:O24)</f>
        <v>310.41211857046289</v>
      </c>
      <c r="G37" s="3">
        <f t="shared" ref="G37" si="20">SUM(P15:P24)</f>
        <v>311.87468892828616</v>
      </c>
      <c r="H37" s="3">
        <f>E37-((C37^2)/B37)</f>
        <v>240.3450062238926</v>
      </c>
      <c r="I37" s="3">
        <f>G37-((C37*D37)/B37)</f>
        <v>271.81751799507242</v>
      </c>
      <c r="J37" s="3">
        <f>F37-((D37^2)/B37)</f>
        <v>310.08369079372642</v>
      </c>
      <c r="K37" s="3">
        <f>C37/B37</f>
        <v>-1.8846610517912976</v>
      </c>
      <c r="L37" s="3">
        <f>D37/B37</f>
        <v>-1.5452290431934329E-2</v>
      </c>
      <c r="M37" s="3">
        <f>L37-$H$40*K37</f>
        <v>2.1028212361557874</v>
      </c>
      <c r="N37" s="3">
        <f>J37-((I37^2)/H37)</f>
        <v>2.672422925841488</v>
      </c>
      <c r="O37" s="2">
        <f>(I37^2)/H37</f>
        <v>307.41126786788493</v>
      </c>
    </row>
    <row r="38" spans="1:16" x14ac:dyDescent="0.2">
      <c r="A38" s="3" t="s">
        <v>22</v>
      </c>
      <c r="B38" s="3">
        <f>SUM(K25:K34)</f>
        <v>1384.2109165277895</v>
      </c>
      <c r="C38" s="3">
        <f>SUM(L25:L34)</f>
        <v>-2825.3125377416709</v>
      </c>
      <c r="D38" s="3">
        <f>SUM(M25:M34)</f>
        <v>-9.5855176097430306</v>
      </c>
      <c r="E38" s="3">
        <f>SUM(N25:N34)</f>
        <v>6017.9470254364942</v>
      </c>
      <c r="F38" s="3">
        <f>SUM(O25:O34)</f>
        <v>315.41131103889074</v>
      </c>
      <c r="G38" s="3">
        <f t="shared" ref="G38" si="21">SUM(P25:P34)</f>
        <v>300.22440663283913</v>
      </c>
      <c r="H38" s="3">
        <f>E38-((C38^2)/B38)</f>
        <v>251.20234757798426</v>
      </c>
      <c r="I38" s="3">
        <f>G38-((C38*D38)/B38)</f>
        <v>280.65940916013869</v>
      </c>
      <c r="J38" s="3">
        <f>F38-((D38^2)/B38)</f>
        <v>315.34493231961494</v>
      </c>
      <c r="K38" s="3">
        <f>C38/B38</f>
        <v>-2.0410997370464314</v>
      </c>
      <c r="L38" s="3">
        <f>D38/B38</f>
        <v>-6.9248967012828719E-3</v>
      </c>
      <c r="M38" s="3">
        <f>L38-$H$40*K38</f>
        <v>2.2871786154401677</v>
      </c>
      <c r="N38" s="3">
        <f>J38-((I38^2)/H38)</f>
        <v>1.7742005585809011</v>
      </c>
      <c r="O38" s="2">
        <f>(I38^2)/H38</f>
        <v>313.57073176103404</v>
      </c>
    </row>
    <row r="39" spans="1:16" x14ac:dyDescent="0.2">
      <c r="G39" s="8" t="s">
        <v>36</v>
      </c>
      <c r="H39" s="3">
        <f>SUM(H37:H38)</f>
        <v>491.54735380187685</v>
      </c>
      <c r="I39" s="3">
        <f>SUM(I37:I38)</f>
        <v>552.47692715521111</v>
      </c>
      <c r="L39" s="19"/>
      <c r="M39" s="8" t="s">
        <v>36</v>
      </c>
      <c r="N39" s="3">
        <f>SUM(N37:N38)</f>
        <v>4.4466234844223891</v>
      </c>
      <c r="O39" s="2">
        <f>SUM(O37:O38)</f>
        <v>620.98199962891897</v>
      </c>
    </row>
    <row r="40" spans="1:16" x14ac:dyDescent="0.2">
      <c r="G40" s="3" t="s">
        <v>50</v>
      </c>
      <c r="H40" s="3">
        <f>I39/H39</f>
        <v>1.123954636073359</v>
      </c>
    </row>
    <row r="41" spans="1:16" ht="15.75" thickBot="1" x14ac:dyDescent="0.25"/>
    <row r="42" spans="1:16" ht="41.45" customHeight="1" thickBot="1" x14ac:dyDescent="0.25">
      <c r="A42" s="61" t="s">
        <v>51</v>
      </c>
      <c r="B42" s="62"/>
      <c r="C42" s="26" t="s">
        <v>52</v>
      </c>
      <c r="D42" s="27" t="s">
        <v>53</v>
      </c>
      <c r="E42" s="16" t="s">
        <v>54</v>
      </c>
      <c r="F42" s="32" t="s">
        <v>100</v>
      </c>
      <c r="G42" s="51" t="s">
        <v>93</v>
      </c>
      <c r="H42" s="49"/>
      <c r="I42" s="3">
        <f>SUM(G15:G24)</f>
        <v>-5.452143530489046</v>
      </c>
      <c r="J42" s="3">
        <f>SUM(G25:G34)</f>
        <v>-3.6071435304890498</v>
      </c>
      <c r="K42" s="49" t="s">
        <v>98</v>
      </c>
      <c r="L42" s="49"/>
      <c r="M42" s="3" t="s">
        <v>102</v>
      </c>
      <c r="N42" s="3" t="s">
        <v>103</v>
      </c>
      <c r="O42" s="3" t="s">
        <v>104</v>
      </c>
      <c r="P42" s="3" t="s">
        <v>105</v>
      </c>
    </row>
    <row r="43" spans="1:16" ht="18" x14ac:dyDescent="0.2">
      <c r="A43" s="63" t="s">
        <v>55</v>
      </c>
      <c r="B43" s="64"/>
      <c r="C43" s="22">
        <f>E50-1</f>
        <v>1</v>
      </c>
      <c r="D43" s="24">
        <f>(I44*((I42^2)+(J42^2)))-I46</f>
        <v>0.34040249999999794</v>
      </c>
      <c r="E43" s="25">
        <f>_xlfn.CHISQ.DIST.RT(D43,C43)</f>
        <v>0.55959698339489838</v>
      </c>
      <c r="F43" s="32" t="str">
        <f>IF(E43&gt;0.05,"Yes","No")</f>
        <v>Yes</v>
      </c>
      <c r="G43" s="51" t="s">
        <v>94</v>
      </c>
      <c r="H43" s="49"/>
      <c r="I43" s="3">
        <f>G15+(2*G16)+(3*G17)+(4*G18)+(5*G19)+(6*G20)+(7*G21)+(8*G22)+(9*G23)+(10*G24)-(0.5*($E$51+1)*I42)</f>
        <v>-27.939346472563248</v>
      </c>
      <c r="J43" s="3">
        <f>G25+(2*G26)+(3*G27)+(4*G28)+(5*G29)+(6*G30)+(7*G31)+(8*G32)+(9*G33)+(10*G34)-(0.5*($E$51+1)*J42)</f>
        <v>-27.939346472563255</v>
      </c>
      <c r="K43" s="49" t="s">
        <v>99</v>
      </c>
      <c r="L43" s="50"/>
      <c r="M43" s="3">
        <f>(B2-AVERAGE($B$2:$C$11,$F$2:$G$11))^2</f>
        <v>2.6563295306249994</v>
      </c>
      <c r="N43" s="3">
        <f t="shared" ref="N43:N52" si="22">(C2-AVERAGE($B$2:$C$11,$F$2:$G$11))^2</f>
        <v>2.6726527806249991</v>
      </c>
      <c r="O43" s="3">
        <f>(F2-AVERAGE($B$2:$C$11,$F$2:$G$11))^2</f>
        <v>3.0096177806249993</v>
      </c>
      <c r="P43" s="3">
        <f>(G2-AVERAGE($B$2:$C$11,$F$2:$G$11))^2</f>
        <v>2.9064282806250001</v>
      </c>
    </row>
    <row r="44" spans="1:16" ht="18" x14ac:dyDescent="0.2">
      <c r="A44" s="65" t="s">
        <v>56</v>
      </c>
      <c r="B44" s="66"/>
      <c r="C44" s="14">
        <v>1</v>
      </c>
      <c r="D44" s="20">
        <f>(1/E50)*I45*((I43+J43)^2)</f>
        <v>37.847616063705821</v>
      </c>
      <c r="E44" s="23">
        <f>_xlfn.CHISQ.DIST.RT(D44,C44)</f>
        <v>7.6491797841883927E-10</v>
      </c>
      <c r="F44" s="32" t="str">
        <f t="shared" ref="F44:F49" si="23">IF(E44&gt;0.05,"Yes","No")</f>
        <v>No</v>
      </c>
      <c r="G44" s="51" t="s">
        <v>96</v>
      </c>
      <c r="H44" s="49"/>
      <c r="I44" s="3">
        <f>E52/E51</f>
        <v>0.2</v>
      </c>
      <c r="J44" s="19"/>
      <c r="M44" s="3">
        <f t="shared" ref="M44:M52" si="24">(B3-AVERAGE($B$2:$C$11,$F$2:$G$11))^2</f>
        <v>1.6817550806250003</v>
      </c>
      <c r="N44" s="3">
        <f t="shared" si="22"/>
        <v>1.8819038306249996</v>
      </c>
      <c r="O44" s="3">
        <f t="shared" ref="O44:O52" si="25">(F3-AVERAGE($B$2:$C$11,$F$2:$G$11))^2</f>
        <v>2.3068293806250004</v>
      </c>
      <c r="P44" s="3">
        <f t="shared" ref="P44:P52" si="26">(G3-AVERAGE($B$2:$C$11,$F$2:$G$11))^2</f>
        <v>2.3281419306249993</v>
      </c>
    </row>
    <row r="45" spans="1:16" ht="18" x14ac:dyDescent="0.2">
      <c r="A45" s="67" t="s">
        <v>57</v>
      </c>
      <c r="B45" s="68"/>
      <c r="C45" s="14">
        <f>E50-1</f>
        <v>1</v>
      </c>
      <c r="D45" s="45">
        <f>O39-((I39^2)/H39)</f>
        <v>2.2996029255978101E-2</v>
      </c>
      <c r="E45" s="46">
        <f>_xlfn.CHISQ.DIST.RT(D45,C45)</f>
        <v>0.87946739867566071</v>
      </c>
      <c r="F45" s="32" t="str">
        <f t="shared" si="23"/>
        <v>Yes</v>
      </c>
      <c r="G45" s="51" t="s">
        <v>97</v>
      </c>
      <c r="H45" s="49"/>
      <c r="I45" s="3">
        <f>(12*E52)/((E51^3)-E51)</f>
        <v>2.4242424242424242E-2</v>
      </c>
      <c r="J45" s="19"/>
      <c r="M45" s="3">
        <f t="shared" si="24"/>
        <v>0.71880723062499974</v>
      </c>
      <c r="N45" s="3">
        <f t="shared" si="22"/>
        <v>0.86457453062500023</v>
      </c>
      <c r="O45" s="3">
        <f t="shared" si="25"/>
        <v>1.2517693806249994</v>
      </c>
      <c r="P45" s="3">
        <f t="shared" si="26"/>
        <v>1.3638152306250002</v>
      </c>
    </row>
    <row r="46" spans="1:16" ht="15.75" thickBot="1" x14ac:dyDescent="0.25">
      <c r="A46" s="55" t="s">
        <v>58</v>
      </c>
      <c r="B46" s="56"/>
      <c r="C46" s="15">
        <f>E50*(E51-2)</f>
        <v>16</v>
      </c>
      <c r="D46" s="47">
        <f>N39</f>
        <v>4.4466234844223891</v>
      </c>
      <c r="E46" s="48">
        <f>_xlfn.CHISQ.DIST.RT(D46,C46)</f>
        <v>0.99789131276480481</v>
      </c>
      <c r="F46" s="32" t="str">
        <f t="shared" si="23"/>
        <v>Yes</v>
      </c>
      <c r="G46" s="51" t="s">
        <v>95</v>
      </c>
      <c r="H46" s="49"/>
      <c r="I46" s="3">
        <f>(E52*((SUM(I42:J42))^2))/(E50*E51)</f>
        <v>8.2070682053205157</v>
      </c>
      <c r="J46" s="19"/>
      <c r="M46" s="3">
        <f t="shared" si="24"/>
        <v>0.13603188062499996</v>
      </c>
      <c r="N46" s="3">
        <f t="shared" si="22"/>
        <v>0.12661143062499988</v>
      </c>
      <c r="O46" s="3">
        <f t="shared" si="25"/>
        <v>0.40427343062499982</v>
      </c>
      <c r="P46" s="3">
        <f t="shared" si="26"/>
        <v>0.46352268062500002</v>
      </c>
    </row>
    <row r="47" spans="1:16" x14ac:dyDescent="0.2">
      <c r="A47" s="53" t="s">
        <v>59</v>
      </c>
      <c r="B47" s="54"/>
      <c r="C47" s="13">
        <f>(E50*E51)-1</f>
        <v>19</v>
      </c>
      <c r="D47" s="13">
        <f>(E52*((G25^2)+(G26^2)+(G27^2)+(G28^2)+(G29^2)+(G30^2)+(G31^2)+(G32^2)+(G33^2)+(G34^2)+(G15^2)+(G16^2)+(G17^2)+(G18^2)+(G19^2)+(G20^2)+(G21^2)+(G22^2)+(G23^2)+(G24^2)))-I46</f>
        <v>38.188018563705825</v>
      </c>
      <c r="E47" s="40">
        <f>_xlfn.CHISQ.DIST.RT(D47,C47)</f>
        <v>5.6162006341804339E-3</v>
      </c>
      <c r="F47" s="32" t="str">
        <f t="shared" si="23"/>
        <v>No</v>
      </c>
      <c r="M47" s="3">
        <f t="shared" si="24"/>
        <v>4.3754180625000048E-2</v>
      </c>
      <c r="N47" s="3">
        <f t="shared" si="22"/>
        <v>9.5589180625000061E-2</v>
      </c>
      <c r="O47" s="3">
        <f t="shared" si="25"/>
        <v>6.6953306250000059E-3</v>
      </c>
      <c r="P47" s="3">
        <f t="shared" si="26"/>
        <v>2.8308062499999556E-4</v>
      </c>
    </row>
    <row r="48" spans="1:16" ht="15.75" thickBot="1" x14ac:dyDescent="0.25">
      <c r="A48" s="55" t="s">
        <v>60</v>
      </c>
      <c r="B48" s="56"/>
      <c r="C48" s="15">
        <f>E50*E51*(E52-1)</f>
        <v>20</v>
      </c>
      <c r="D48" s="42"/>
      <c r="E48" s="15"/>
      <c r="F48" s="32" t="str">
        <f t="shared" si="23"/>
        <v>No</v>
      </c>
      <c r="M48" s="3">
        <f t="shared" si="24"/>
        <v>0.48605298062500013</v>
      </c>
      <c r="N48" s="3">
        <f t="shared" si="22"/>
        <v>0.37967163062500003</v>
      </c>
      <c r="O48" s="3">
        <f t="shared" si="25"/>
        <v>0.17738838062500006</v>
      </c>
      <c r="P48" s="3">
        <f t="shared" si="26"/>
        <v>0.18333383062500008</v>
      </c>
    </row>
    <row r="49" spans="1:16" ht="15.75" thickBot="1" x14ac:dyDescent="0.25">
      <c r="A49" s="57" t="s">
        <v>61</v>
      </c>
      <c r="B49" s="58"/>
      <c r="C49" s="16">
        <f>(E50*E51*E52)-1</f>
        <v>39</v>
      </c>
      <c r="D49" s="41"/>
      <c r="E49" s="39"/>
      <c r="F49" s="32" t="str">
        <f t="shared" si="23"/>
        <v>No</v>
      </c>
      <c r="M49" s="3">
        <f t="shared" si="24"/>
        <v>0.67104768062499998</v>
      </c>
      <c r="N49" s="3">
        <f t="shared" si="22"/>
        <v>0.85780013062500016</v>
      </c>
      <c r="O49" s="3">
        <f t="shared" si="25"/>
        <v>0.6164997806250001</v>
      </c>
      <c r="P49" s="3">
        <f t="shared" si="26"/>
        <v>0.61807113062500008</v>
      </c>
    </row>
    <row r="50" spans="1:16" ht="44.1" customHeight="1" x14ac:dyDescent="0.2">
      <c r="A50" s="59" t="s">
        <v>62</v>
      </c>
      <c r="B50" s="59"/>
      <c r="C50" s="59"/>
      <c r="D50" s="18" t="s">
        <v>64</v>
      </c>
      <c r="E50" s="4">
        <v>2</v>
      </c>
      <c r="M50" s="3">
        <f t="shared" si="24"/>
        <v>1.0326116306250002</v>
      </c>
      <c r="N50" s="3">
        <f t="shared" si="22"/>
        <v>1.0986708306250001</v>
      </c>
      <c r="O50" s="3">
        <f t="shared" si="25"/>
        <v>0.88769373062500001</v>
      </c>
      <c r="P50" s="3">
        <f t="shared" si="26"/>
        <v>0.88017233062500022</v>
      </c>
    </row>
    <row r="51" spans="1:16" x14ac:dyDescent="0.2">
      <c r="A51" s="60" t="s">
        <v>63</v>
      </c>
      <c r="B51" s="60"/>
      <c r="C51" s="60"/>
      <c r="D51" s="17" t="s">
        <v>65</v>
      </c>
      <c r="E51" s="3">
        <v>10</v>
      </c>
      <c r="M51" s="3">
        <f t="shared" si="24"/>
        <v>1.1112849306250001</v>
      </c>
      <c r="N51" s="3">
        <f t="shared" si="22"/>
        <v>1.1776047806250001</v>
      </c>
      <c r="O51" s="3">
        <f t="shared" si="25"/>
        <v>1.0819640306250002</v>
      </c>
      <c r="P51" s="3">
        <f t="shared" si="26"/>
        <v>1.1345977806250001</v>
      </c>
    </row>
    <row r="52" spans="1:16" ht="29.1" customHeight="1" x14ac:dyDescent="0.2">
      <c r="A52" s="52" t="s">
        <v>66</v>
      </c>
      <c r="B52" s="52"/>
      <c r="C52" s="52"/>
      <c r="D52" s="17" t="s">
        <v>7</v>
      </c>
      <c r="E52" s="3">
        <v>2</v>
      </c>
      <c r="M52" s="3">
        <f t="shared" si="24"/>
        <v>1.2236231306250003</v>
      </c>
      <c r="N52" s="3">
        <f t="shared" si="22"/>
        <v>1.1388624806250001</v>
      </c>
      <c r="O52" s="3">
        <f t="shared" si="25"/>
        <v>1.2192024306250002</v>
      </c>
      <c r="P52" s="3">
        <f t="shared" si="26"/>
        <v>1.3390539806250001</v>
      </c>
    </row>
    <row r="53" spans="1:16" x14ac:dyDescent="0.2">
      <c r="L53" s="8" t="s">
        <v>5</v>
      </c>
      <c r="M53" s="3">
        <f>SUM(M43:P52)</f>
        <v>42.234593775000015</v>
      </c>
      <c r="N53" s="19"/>
    </row>
    <row r="66" spans="4:11" x14ac:dyDescent="0.2">
      <c r="E66" s="19">
        <v>300</v>
      </c>
      <c r="F66" s="19">
        <v>289</v>
      </c>
      <c r="G66" s="19">
        <v>310</v>
      </c>
      <c r="H66" s="19">
        <v>230</v>
      </c>
      <c r="I66" s="19">
        <v>250</v>
      </c>
      <c r="J66" s="19">
        <v>236</v>
      </c>
    </row>
    <row r="67" spans="4:11" x14ac:dyDescent="0.2">
      <c r="E67" s="19">
        <v>310</v>
      </c>
      <c r="F67" s="19">
        <v>221</v>
      </c>
      <c r="G67" s="19">
        <v>290</v>
      </c>
      <c r="H67" s="19">
        <v>210</v>
      </c>
      <c r="I67" s="19">
        <v>268</v>
      </c>
      <c r="J67" s="19">
        <v>213</v>
      </c>
    </row>
    <row r="68" spans="4:11" x14ac:dyDescent="0.2">
      <c r="E68" s="19">
        <v>330</v>
      </c>
      <c r="F68" s="19">
        <v>267</v>
      </c>
      <c r="G68" s="19">
        <v>360</v>
      </c>
      <c r="H68" s="19">
        <v>280</v>
      </c>
      <c r="I68" s="19">
        <v>273</v>
      </c>
      <c r="J68" s="19">
        <v>283</v>
      </c>
    </row>
    <row r="69" spans="4:11" x14ac:dyDescent="0.2">
      <c r="E69" s="19">
        <v>290</v>
      </c>
      <c r="F69" s="19">
        <v>236</v>
      </c>
      <c r="G69" s="19">
        <v>341</v>
      </c>
      <c r="H69" s="19">
        <v>261</v>
      </c>
      <c r="I69" s="19">
        <v>240</v>
      </c>
      <c r="J69" s="19">
        <v>269</v>
      </c>
    </row>
    <row r="70" spans="4:11" x14ac:dyDescent="0.2">
      <c r="E70" s="19">
        <v>364</v>
      </c>
      <c r="F70" s="19">
        <v>250</v>
      </c>
      <c r="G70" s="19">
        <v>321</v>
      </c>
      <c r="H70" s="19">
        <v>241</v>
      </c>
      <c r="I70" s="19">
        <v>307</v>
      </c>
      <c r="J70" s="19">
        <v>251</v>
      </c>
    </row>
    <row r="71" spans="4:11" x14ac:dyDescent="0.2">
      <c r="E71" s="19">
        <v>328</v>
      </c>
      <c r="F71" s="19">
        <v>231</v>
      </c>
      <c r="G71" s="19">
        <v>370</v>
      </c>
      <c r="H71" s="19">
        <v>290</v>
      </c>
      <c r="I71" s="19">
        <v>270</v>
      </c>
      <c r="J71" s="19">
        <v>294</v>
      </c>
    </row>
    <row r="72" spans="4:11" x14ac:dyDescent="0.2">
      <c r="E72" s="19">
        <v>390</v>
      </c>
      <c r="F72" s="19">
        <v>229</v>
      </c>
      <c r="G72" s="19">
        <v>303</v>
      </c>
      <c r="H72" s="19">
        <v>223</v>
      </c>
      <c r="I72" s="19">
        <v>317</v>
      </c>
      <c r="J72" s="19">
        <v>223</v>
      </c>
    </row>
    <row r="73" spans="4:11" x14ac:dyDescent="0.2">
      <c r="E73" s="19">
        <v>360</v>
      </c>
      <c r="F73" s="19">
        <v>269</v>
      </c>
      <c r="G73" s="19">
        <v>334</v>
      </c>
      <c r="H73" s="19">
        <v>254</v>
      </c>
      <c r="I73" s="19">
        <v>312</v>
      </c>
      <c r="J73" s="19">
        <v>250</v>
      </c>
    </row>
    <row r="74" spans="4:11" x14ac:dyDescent="0.2">
      <c r="E74" s="19">
        <v>342</v>
      </c>
      <c r="F74" s="19">
        <v>233</v>
      </c>
      <c r="G74" s="19">
        <v>295</v>
      </c>
      <c r="H74" s="19">
        <v>216</v>
      </c>
      <c r="I74" s="19">
        <v>320</v>
      </c>
      <c r="J74" s="19">
        <v>216</v>
      </c>
    </row>
    <row r="75" spans="4:11" x14ac:dyDescent="0.2">
      <c r="E75" s="19">
        <v>306</v>
      </c>
      <c r="F75" s="19">
        <v>259</v>
      </c>
      <c r="G75" s="19">
        <v>315</v>
      </c>
      <c r="H75" s="19">
        <v>235</v>
      </c>
      <c r="I75" s="19">
        <v>265</v>
      </c>
      <c r="J75" s="19">
        <v>265</v>
      </c>
    </row>
    <row r="76" spans="4:11" x14ac:dyDescent="0.2">
      <c r="D76" s="43" t="s">
        <v>101</v>
      </c>
      <c r="E76" s="44">
        <f>AVERAGE(E66:E75)</f>
        <v>332</v>
      </c>
      <c r="F76" s="44">
        <f t="shared" ref="F76:H76" si="27">AVERAGE(F66:F75)</f>
        <v>248.4</v>
      </c>
      <c r="G76" s="44">
        <f t="shared" si="27"/>
        <v>323.89999999999998</v>
      </c>
      <c r="H76" s="44">
        <f t="shared" si="27"/>
        <v>244</v>
      </c>
      <c r="I76" s="44">
        <f>AVERAGE(I66:I75)</f>
        <v>282.2</v>
      </c>
      <c r="J76" s="44">
        <f t="shared" ref="J76" si="28">AVERAGE(J66:J75)</f>
        <v>250</v>
      </c>
      <c r="K76" s="19">
        <f>AVERAGE(E66:J75)</f>
        <v>280.08333333333331</v>
      </c>
    </row>
    <row r="77" spans="4:11" x14ac:dyDescent="0.2">
      <c r="E77" s="19">
        <f>(E66-$K$76)^2</f>
        <v>396.67361111111188</v>
      </c>
      <c r="F77" s="19">
        <f t="shared" ref="F77:J77" si="29">(F66-$K$76)^2</f>
        <v>79.506944444444784</v>
      </c>
      <c r="G77" s="19">
        <f t="shared" si="29"/>
        <v>895.00694444444559</v>
      </c>
      <c r="H77" s="19">
        <f t="shared" si="29"/>
        <v>2508.340277777776</v>
      </c>
      <c r="I77" s="19">
        <f t="shared" si="29"/>
        <v>905.00694444444332</v>
      </c>
      <c r="J77" s="19">
        <f t="shared" si="29"/>
        <v>1943.340277777776</v>
      </c>
    </row>
    <row r="78" spans="4:11" x14ac:dyDescent="0.2">
      <c r="E78" s="19">
        <f>(E67-$K$76)^2</f>
        <v>895.00694444444559</v>
      </c>
      <c r="F78" s="19">
        <f t="shared" ref="E78:J86" si="30">(F67-$K$76)^2</f>
        <v>3490.8402777777756</v>
      </c>
      <c r="G78" s="19">
        <f t="shared" si="30"/>
        <v>98.340277777778155</v>
      </c>
      <c r="H78" s="19">
        <f t="shared" si="30"/>
        <v>4911.6736111111086</v>
      </c>
      <c r="I78" s="19">
        <f t="shared" si="30"/>
        <v>146.00694444444397</v>
      </c>
      <c r="J78" s="19">
        <f t="shared" si="30"/>
        <v>4500.1736111111086</v>
      </c>
    </row>
    <row r="79" spans="4:11" x14ac:dyDescent="0.2">
      <c r="E79" s="19">
        <f t="shared" si="30"/>
        <v>2491.6736111111131</v>
      </c>
      <c r="F79" s="19">
        <f t="shared" si="30"/>
        <v>171.1736111111106</v>
      </c>
      <c r="G79" s="19">
        <f t="shared" si="30"/>
        <v>6386.673611111114</v>
      </c>
      <c r="H79" s="19">
        <f t="shared" si="30"/>
        <v>6.9444444444412869E-3</v>
      </c>
      <c r="I79" s="19">
        <f t="shared" si="30"/>
        <v>50.173611111110844</v>
      </c>
      <c r="J79" s="19">
        <f t="shared" si="30"/>
        <v>8.5069444444445548</v>
      </c>
    </row>
    <row r="80" spans="4:11" x14ac:dyDescent="0.2">
      <c r="E80" s="19">
        <f t="shared" si="30"/>
        <v>98.340277777778155</v>
      </c>
      <c r="F80" s="19">
        <f t="shared" si="30"/>
        <v>1943.340277777776</v>
      </c>
      <c r="G80" s="19">
        <f t="shared" si="30"/>
        <v>3710.8402777777801</v>
      </c>
      <c r="H80" s="19">
        <f t="shared" si="30"/>
        <v>364.1736111111104</v>
      </c>
      <c r="I80" s="19">
        <f t="shared" si="30"/>
        <v>1606.6736111111095</v>
      </c>
      <c r="J80" s="19">
        <f t="shared" si="30"/>
        <v>122.84027777777736</v>
      </c>
    </row>
    <row r="81" spans="5:10" x14ac:dyDescent="0.2">
      <c r="E81" s="19">
        <f t="shared" si="30"/>
        <v>7042.006944444448</v>
      </c>
      <c r="F81" s="19">
        <f t="shared" si="30"/>
        <v>905.00694444444332</v>
      </c>
      <c r="G81" s="19">
        <f t="shared" si="30"/>
        <v>1674.1736111111127</v>
      </c>
      <c r="H81" s="19">
        <f t="shared" si="30"/>
        <v>1527.506944444443</v>
      </c>
      <c r="I81" s="19">
        <f t="shared" si="30"/>
        <v>724.50694444444548</v>
      </c>
      <c r="J81" s="19">
        <f t="shared" si="30"/>
        <v>845.84027777777669</v>
      </c>
    </row>
    <row r="82" spans="5:10" x14ac:dyDescent="0.2">
      <c r="E82" s="19">
        <f t="shared" si="30"/>
        <v>2296.0069444444462</v>
      </c>
      <c r="F82" s="19">
        <f t="shared" si="30"/>
        <v>2409.173611111109</v>
      </c>
      <c r="G82" s="19">
        <f t="shared" si="30"/>
        <v>8085.006944444448</v>
      </c>
      <c r="H82" s="19">
        <f t="shared" si="30"/>
        <v>98.340277777778155</v>
      </c>
      <c r="I82" s="19">
        <f t="shared" si="30"/>
        <v>101.67361111111073</v>
      </c>
      <c r="J82" s="19">
        <f t="shared" si="30"/>
        <v>193.67361111111163</v>
      </c>
    </row>
    <row r="83" spans="5:10" x14ac:dyDescent="0.2">
      <c r="E83" s="19">
        <f t="shared" si="30"/>
        <v>12081.673611111115</v>
      </c>
      <c r="F83" s="19">
        <f t="shared" si="30"/>
        <v>2609.5069444444425</v>
      </c>
      <c r="G83" s="19">
        <f t="shared" si="30"/>
        <v>525.173611111112</v>
      </c>
      <c r="H83" s="19">
        <f t="shared" si="30"/>
        <v>3258.5069444444421</v>
      </c>
      <c r="I83" s="19">
        <f t="shared" si="30"/>
        <v>1362.8402777777792</v>
      </c>
      <c r="J83" s="19">
        <f t="shared" si="30"/>
        <v>3258.5069444444421</v>
      </c>
    </row>
    <row r="84" spans="5:10" x14ac:dyDescent="0.2">
      <c r="E84" s="19">
        <f t="shared" si="30"/>
        <v>6386.673611111114</v>
      </c>
      <c r="F84" s="19">
        <f t="shared" si="30"/>
        <v>122.84027777777736</v>
      </c>
      <c r="G84" s="19">
        <f t="shared" si="30"/>
        <v>2907.0069444444466</v>
      </c>
      <c r="H84" s="19">
        <f t="shared" si="30"/>
        <v>680.34027777777681</v>
      </c>
      <c r="I84" s="19">
        <f t="shared" si="30"/>
        <v>1018.6736111111123</v>
      </c>
      <c r="J84" s="19">
        <f t="shared" si="30"/>
        <v>905.00694444444332</v>
      </c>
    </row>
    <row r="85" spans="5:10" x14ac:dyDescent="0.2">
      <c r="E85" s="19">
        <f t="shared" si="30"/>
        <v>3833.6736111111136</v>
      </c>
      <c r="F85" s="19">
        <f t="shared" si="30"/>
        <v>2216.840277777776</v>
      </c>
      <c r="G85" s="19">
        <f t="shared" si="30"/>
        <v>222.506944444445</v>
      </c>
      <c r="H85" s="19">
        <f t="shared" si="30"/>
        <v>4106.6736111111086</v>
      </c>
      <c r="I85" s="19">
        <f t="shared" si="30"/>
        <v>1593.3402777777792</v>
      </c>
      <c r="J85" s="19">
        <f t="shared" si="30"/>
        <v>4106.6736111111086</v>
      </c>
    </row>
    <row r="86" spans="5:10" x14ac:dyDescent="0.2">
      <c r="E86" s="19">
        <f t="shared" si="30"/>
        <v>671.67361111111211</v>
      </c>
      <c r="F86" s="19">
        <f t="shared" si="30"/>
        <v>444.50694444444366</v>
      </c>
      <c r="G86" s="19">
        <f t="shared" si="30"/>
        <v>1219.1736111111125</v>
      </c>
      <c r="H86" s="19">
        <f t="shared" si="30"/>
        <v>2032.5069444444428</v>
      </c>
      <c r="I86" s="19">
        <f t="shared" si="30"/>
        <v>227.50694444444386</v>
      </c>
      <c r="J86" s="19">
        <f t="shared" si="30"/>
        <v>227.50694444444386</v>
      </c>
    </row>
    <row r="87" spans="5:10" x14ac:dyDescent="0.2">
      <c r="E87" s="19">
        <f>SUM(E77:J86)</f>
        <v>119646.58333333327</v>
      </c>
    </row>
  </sheetData>
  <mergeCells count="26">
    <mergeCell ref="A35:O35"/>
    <mergeCell ref="A25:A34"/>
    <mergeCell ref="E12:H12"/>
    <mergeCell ref="A12:D12"/>
    <mergeCell ref="Q1:R1"/>
    <mergeCell ref="A15:A24"/>
    <mergeCell ref="A13:P13"/>
    <mergeCell ref="N1:P12"/>
    <mergeCell ref="A42:B42"/>
    <mergeCell ref="A43:B43"/>
    <mergeCell ref="A44:B44"/>
    <mergeCell ref="A45:B45"/>
    <mergeCell ref="A46:B46"/>
    <mergeCell ref="G45:H45"/>
    <mergeCell ref="G46:H46"/>
    <mergeCell ref="A52:C52"/>
    <mergeCell ref="A47:B47"/>
    <mergeCell ref="A48:B48"/>
    <mergeCell ref="A49:B49"/>
    <mergeCell ref="A50:C50"/>
    <mergeCell ref="A51:C51"/>
    <mergeCell ref="K42:L42"/>
    <mergeCell ref="K43:L43"/>
    <mergeCell ref="G42:H42"/>
    <mergeCell ref="G43:H43"/>
    <mergeCell ref="G44:H4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36D6-D321-4E0B-83A4-91BF4BAA9770}">
  <dimension ref="A1:V52"/>
  <sheetViews>
    <sheetView workbookViewId="0">
      <selection activeCell="D2" sqref="D2:D3"/>
    </sheetView>
  </sheetViews>
  <sheetFormatPr defaultRowHeight="15" x14ac:dyDescent="0.2"/>
  <cols>
    <col min="1" max="1" width="11.02734375" customWidth="1"/>
    <col min="2" max="2" width="11.8359375" bestFit="1" customWidth="1"/>
    <col min="3" max="3" width="12.5078125" bestFit="1" customWidth="1"/>
    <col min="4" max="4" width="11.43359375" customWidth="1"/>
    <col min="5" max="5" width="10.22265625" customWidth="1"/>
    <col min="6" max="6" width="11.43359375" customWidth="1"/>
    <col min="7" max="7" width="8.7421875" customWidth="1"/>
    <col min="8" max="8" width="12.23828125" customWidth="1"/>
    <col min="9" max="10" width="8.609375" customWidth="1"/>
    <col min="11" max="13" width="14.9296875" customWidth="1"/>
    <col min="14" max="14" width="15.19921875" customWidth="1"/>
    <col min="15" max="16" width="14.9296875" customWidth="1"/>
    <col min="17" max="17" width="14.390625" customWidth="1"/>
    <col min="21" max="21" width="12.64453125" customWidth="1"/>
  </cols>
  <sheetData>
    <row r="1" spans="1:22" ht="29.1" customHeight="1" x14ac:dyDescent="0.2">
      <c r="A1" s="1" t="s">
        <v>88</v>
      </c>
      <c r="B1" s="1" t="s">
        <v>1</v>
      </c>
      <c r="C1" s="1" t="s">
        <v>2</v>
      </c>
      <c r="D1" s="1" t="s">
        <v>86</v>
      </c>
      <c r="E1" s="3" t="s">
        <v>41</v>
      </c>
      <c r="F1" s="1" t="s">
        <v>88</v>
      </c>
      <c r="G1" s="1" t="s">
        <v>1</v>
      </c>
      <c r="H1" s="1" t="s">
        <v>2</v>
      </c>
      <c r="I1" s="1" t="s">
        <v>86</v>
      </c>
      <c r="J1" s="3" t="s">
        <v>41</v>
      </c>
      <c r="K1" s="1" t="s">
        <v>42</v>
      </c>
      <c r="L1" s="1" t="s">
        <v>43</v>
      </c>
      <c r="M1" s="1" t="s">
        <v>87</v>
      </c>
      <c r="N1" s="1" t="s">
        <v>42</v>
      </c>
      <c r="O1" s="1" t="s">
        <v>43</v>
      </c>
      <c r="P1" s="1" t="s">
        <v>87</v>
      </c>
      <c r="Q1" s="1" t="s">
        <v>44</v>
      </c>
      <c r="R1" s="75" t="s">
        <v>47</v>
      </c>
      <c r="S1" s="75"/>
      <c r="T1" s="75"/>
      <c r="U1" s="50" t="s">
        <v>37</v>
      </c>
      <c r="V1" s="51"/>
    </row>
    <row r="2" spans="1:22" x14ac:dyDescent="0.2">
      <c r="A2" s="3">
        <v>100</v>
      </c>
      <c r="B2" s="35">
        <v>16799</v>
      </c>
      <c r="C2" s="35">
        <v>16064</v>
      </c>
      <c r="D2" s="35">
        <v>15732</v>
      </c>
      <c r="E2" s="2">
        <f>AVERAGE(B2:D2)</f>
        <v>16198.333333333334</v>
      </c>
      <c r="F2" s="3">
        <v>100</v>
      </c>
      <c r="G2" s="35">
        <v>15543</v>
      </c>
      <c r="H2" s="35">
        <v>15181</v>
      </c>
      <c r="I2" s="35">
        <v>15125</v>
      </c>
      <c r="J2" s="2">
        <f>AVERAGE(G2:I2)</f>
        <v>15283</v>
      </c>
      <c r="K2" s="2">
        <f>(B2-$E2)^2</f>
        <v>360800.44444444374</v>
      </c>
      <c r="L2" s="2">
        <f t="shared" ref="L2" si="0">(C2-$E2)^2</f>
        <v>18045.444444444609</v>
      </c>
      <c r="M2" s="2">
        <f>(D2-$E2)^2</f>
        <v>217466.77777777833</v>
      </c>
      <c r="N2" s="2">
        <f>(G2-$J2)^2</f>
        <v>67600</v>
      </c>
      <c r="O2" s="2">
        <f t="shared" ref="O2:P11" si="1">(H2-$J2)^2</f>
        <v>10404</v>
      </c>
      <c r="P2" s="2">
        <f t="shared" si="1"/>
        <v>24964</v>
      </c>
      <c r="Q2" s="36">
        <f>SUM(K2:P10)</f>
        <v>6933956.666666667</v>
      </c>
      <c r="R2" s="75"/>
      <c r="S2" s="75"/>
      <c r="T2" s="75"/>
      <c r="U2" s="2" t="s">
        <v>38</v>
      </c>
      <c r="V2" s="3">
        <v>17354</v>
      </c>
    </row>
    <row r="3" spans="1:22" x14ac:dyDescent="0.2">
      <c r="A3" s="3">
        <v>25</v>
      </c>
      <c r="B3" s="35">
        <v>17129</v>
      </c>
      <c r="C3" s="35">
        <v>16409</v>
      </c>
      <c r="D3" s="35">
        <v>16330</v>
      </c>
      <c r="E3" s="2">
        <f t="shared" ref="E3:E11" si="2">AVERAGE(B3:D3)</f>
        <v>16622.666666666668</v>
      </c>
      <c r="F3" s="3">
        <v>25</v>
      </c>
      <c r="G3" s="35">
        <v>16116</v>
      </c>
      <c r="H3" s="35">
        <v>16081</v>
      </c>
      <c r="I3" s="35">
        <v>15880</v>
      </c>
      <c r="J3" s="2">
        <f t="shared" ref="J3:J11" si="3">AVERAGE(G3:I3)</f>
        <v>16025.666666666666</v>
      </c>
      <c r="K3" s="2">
        <f t="shared" ref="K3:K11" si="4">(B3-$E3)^2</f>
        <v>256373.44444444322</v>
      </c>
      <c r="L3" s="2">
        <f t="shared" ref="L3:L11" si="5">(C3-$E3)^2</f>
        <v>45653.444444444962</v>
      </c>
      <c r="M3" s="2">
        <f t="shared" ref="M3:M10" si="6">(D3-$E3)^2</f>
        <v>85653.777777778494</v>
      </c>
      <c r="N3" s="2">
        <f t="shared" ref="N3:N11" si="7">(G3-$J3)^2</f>
        <v>8160.1111111112205</v>
      </c>
      <c r="O3" s="2">
        <f t="shared" si="1"/>
        <v>3061.7777777778447</v>
      </c>
      <c r="P3" s="2">
        <f t="shared" si="1"/>
        <v>21218.777777777603</v>
      </c>
      <c r="Q3" s="32" t="s">
        <v>45</v>
      </c>
      <c r="R3" s="75"/>
      <c r="S3" s="75"/>
      <c r="T3" s="75"/>
      <c r="U3" s="2" t="s">
        <v>39</v>
      </c>
      <c r="V3" s="3">
        <v>30642</v>
      </c>
    </row>
    <row r="4" spans="1:22" x14ac:dyDescent="0.2">
      <c r="A4" s="3">
        <v>10</v>
      </c>
      <c r="B4" s="35">
        <v>17445</v>
      </c>
      <c r="C4" s="35">
        <v>16712</v>
      </c>
      <c r="D4" s="35">
        <v>16936</v>
      </c>
      <c r="E4" s="2">
        <f t="shared" si="2"/>
        <v>17031</v>
      </c>
      <c r="F4" s="3">
        <v>10</v>
      </c>
      <c r="G4" s="35">
        <v>16556</v>
      </c>
      <c r="H4" s="35">
        <v>16056</v>
      </c>
      <c r="I4" s="35">
        <v>16356</v>
      </c>
      <c r="J4" s="2">
        <f t="shared" si="3"/>
        <v>16322.666666666666</v>
      </c>
      <c r="K4" s="2">
        <f t="shared" si="4"/>
        <v>171396</v>
      </c>
      <c r="L4" s="2">
        <f t="shared" si="5"/>
        <v>101761</v>
      </c>
      <c r="M4" s="2">
        <f t="shared" si="6"/>
        <v>9025</v>
      </c>
      <c r="N4" s="2">
        <f t="shared" si="7"/>
        <v>54444.444444444729</v>
      </c>
      <c r="O4" s="2">
        <f t="shared" si="1"/>
        <v>71111.111111110789</v>
      </c>
      <c r="P4" s="2">
        <f t="shared" si="1"/>
        <v>1111.1111111111516</v>
      </c>
      <c r="Q4" s="32">
        <f>COUNT(K2:P10)-COUNT(A2:A10,F2:F10)</f>
        <v>36</v>
      </c>
      <c r="R4" s="75"/>
      <c r="S4" s="75"/>
      <c r="T4" s="75"/>
      <c r="U4" s="2" t="s">
        <v>40</v>
      </c>
      <c r="V4" s="3">
        <v>-0.87890000000000001</v>
      </c>
    </row>
    <row r="5" spans="1:22" ht="16.5" x14ac:dyDescent="0.25">
      <c r="A5" s="3">
        <v>5</v>
      </c>
      <c r="B5" s="35">
        <v>19085</v>
      </c>
      <c r="C5" s="35">
        <v>18538</v>
      </c>
      <c r="D5" s="35">
        <v>18975</v>
      </c>
      <c r="E5" s="2">
        <f t="shared" si="2"/>
        <v>18866</v>
      </c>
      <c r="F5" s="3">
        <v>5</v>
      </c>
      <c r="G5" s="35">
        <v>18212</v>
      </c>
      <c r="H5" s="35">
        <v>18148</v>
      </c>
      <c r="I5" s="35">
        <v>17939</v>
      </c>
      <c r="J5" s="2">
        <f t="shared" si="3"/>
        <v>18099.666666666668</v>
      </c>
      <c r="K5" s="2">
        <f t="shared" si="4"/>
        <v>47961</v>
      </c>
      <c r="L5" s="2">
        <f t="shared" si="5"/>
        <v>107584</v>
      </c>
      <c r="M5" s="2">
        <f t="shared" si="6"/>
        <v>11881</v>
      </c>
      <c r="N5" s="2">
        <f t="shared" si="7"/>
        <v>12618.777777777505</v>
      </c>
      <c r="O5" s="2">
        <f t="shared" si="1"/>
        <v>2336.111111110994</v>
      </c>
      <c r="P5" s="2">
        <f t="shared" si="1"/>
        <v>25813.777777778167</v>
      </c>
      <c r="Q5" s="32" t="s">
        <v>46</v>
      </c>
      <c r="R5" s="75"/>
      <c r="S5" s="75"/>
      <c r="T5" s="75"/>
      <c r="U5" s="2" t="s">
        <v>48</v>
      </c>
      <c r="V5" s="3">
        <f>LN(10^(V9))</f>
        <v>27.619492144885061</v>
      </c>
    </row>
    <row r="6" spans="1:22" ht="17.25" x14ac:dyDescent="0.25">
      <c r="A6" s="3">
        <v>3</v>
      </c>
      <c r="B6" s="35">
        <v>23429</v>
      </c>
      <c r="C6" s="35">
        <v>22431</v>
      </c>
      <c r="D6" s="35">
        <v>22229</v>
      </c>
      <c r="E6" s="2">
        <f t="shared" si="2"/>
        <v>22696.333333333332</v>
      </c>
      <c r="F6" s="3">
        <v>3</v>
      </c>
      <c r="G6" s="35">
        <v>21830</v>
      </c>
      <c r="H6" s="35">
        <v>21756</v>
      </c>
      <c r="I6" s="35">
        <v>21231</v>
      </c>
      <c r="J6" s="2">
        <f t="shared" si="3"/>
        <v>21605.666666666668</v>
      </c>
      <c r="K6" s="2">
        <f t="shared" si="4"/>
        <v>536800.44444444624</v>
      </c>
      <c r="L6" s="2">
        <f t="shared" si="5"/>
        <v>70401.777777777141</v>
      </c>
      <c r="M6" s="2">
        <f t="shared" si="6"/>
        <v>218400.4444444433</v>
      </c>
      <c r="N6" s="2">
        <f t="shared" si="7"/>
        <v>50325.4444444439</v>
      </c>
      <c r="O6" s="2">
        <f t="shared" si="1"/>
        <v>22600.111111110746</v>
      </c>
      <c r="P6" s="2">
        <f t="shared" si="1"/>
        <v>140375.11111111203</v>
      </c>
      <c r="Q6" s="37">
        <f>Q2/Q4</f>
        <v>192609.90740740742</v>
      </c>
      <c r="R6" s="75"/>
      <c r="S6" s="75"/>
      <c r="T6" s="75"/>
      <c r="U6" s="2" t="s">
        <v>49</v>
      </c>
      <c r="V6" s="3">
        <f>-LN(10^(V10))</f>
        <v>-16.773190856581223</v>
      </c>
    </row>
    <row r="7" spans="1:22" x14ac:dyDescent="0.2">
      <c r="A7" s="3">
        <v>2</v>
      </c>
      <c r="B7" s="35">
        <v>24998</v>
      </c>
      <c r="C7" s="35">
        <v>24475</v>
      </c>
      <c r="D7" s="35">
        <v>24873</v>
      </c>
      <c r="E7" s="2">
        <f t="shared" si="2"/>
        <v>24782</v>
      </c>
      <c r="F7" s="3">
        <v>2</v>
      </c>
      <c r="G7" s="35">
        <v>23769</v>
      </c>
      <c r="H7" s="35">
        <v>23394</v>
      </c>
      <c r="I7" s="35">
        <v>22735</v>
      </c>
      <c r="J7" s="2">
        <f t="shared" si="3"/>
        <v>23299.333333333332</v>
      </c>
      <c r="K7" s="2">
        <f t="shared" si="4"/>
        <v>46656</v>
      </c>
      <c r="L7" s="2">
        <f t="shared" si="5"/>
        <v>94249</v>
      </c>
      <c r="M7" s="2">
        <f t="shared" si="6"/>
        <v>8281</v>
      </c>
      <c r="N7" s="2">
        <f t="shared" si="7"/>
        <v>220586.77777777892</v>
      </c>
      <c r="O7" s="2">
        <f t="shared" si="1"/>
        <v>8961.7777777780066</v>
      </c>
      <c r="P7" s="2">
        <f t="shared" si="1"/>
        <v>318472.11111110973</v>
      </c>
      <c r="R7" s="75"/>
      <c r="S7" s="75"/>
      <c r="T7" s="75"/>
      <c r="U7" s="2" t="s">
        <v>69</v>
      </c>
      <c r="V7" s="3">
        <v>1.079</v>
      </c>
    </row>
    <row r="8" spans="1:22" x14ac:dyDescent="0.2">
      <c r="A8" s="3">
        <v>1</v>
      </c>
      <c r="B8" s="35">
        <v>28209</v>
      </c>
      <c r="C8" s="35">
        <v>28168</v>
      </c>
      <c r="D8" s="35">
        <v>28002</v>
      </c>
      <c r="E8" s="2">
        <f t="shared" si="2"/>
        <v>28126.333333333332</v>
      </c>
      <c r="F8" s="3">
        <v>1</v>
      </c>
      <c r="G8" s="35">
        <v>28241</v>
      </c>
      <c r="H8" s="35">
        <v>26772</v>
      </c>
      <c r="I8" s="35">
        <v>26639</v>
      </c>
      <c r="J8" s="2">
        <f t="shared" si="3"/>
        <v>27217.333333333332</v>
      </c>
      <c r="K8" s="2">
        <f t="shared" si="4"/>
        <v>6833.7777777779784</v>
      </c>
      <c r="L8" s="2">
        <f t="shared" si="5"/>
        <v>1736.1111111112123</v>
      </c>
      <c r="M8" s="2">
        <f t="shared" si="6"/>
        <v>15458.777777777475</v>
      </c>
      <c r="N8" s="2">
        <f t="shared" si="7"/>
        <v>1047893.4444444469</v>
      </c>
      <c r="O8" s="2">
        <f t="shared" si="1"/>
        <v>198321.7777777767</v>
      </c>
      <c r="P8" s="2">
        <f t="shared" si="1"/>
        <v>334469.44444444304</v>
      </c>
      <c r="R8" s="75"/>
      <c r="S8" s="75"/>
      <c r="T8" s="75"/>
      <c r="U8" s="2" t="s">
        <v>70</v>
      </c>
      <c r="V8" s="3">
        <v>0.86240000000000006</v>
      </c>
    </row>
    <row r="9" spans="1:22" x14ac:dyDescent="0.2">
      <c r="A9" s="3">
        <v>0.5</v>
      </c>
      <c r="B9" s="35">
        <v>29415</v>
      </c>
      <c r="C9" s="35">
        <v>29278</v>
      </c>
      <c r="D9" s="35">
        <v>29014</v>
      </c>
      <c r="E9" s="2">
        <f t="shared" si="2"/>
        <v>29235.666666666668</v>
      </c>
      <c r="F9" s="3">
        <v>0.5</v>
      </c>
      <c r="G9" s="35">
        <v>28584</v>
      </c>
      <c r="H9" s="35">
        <v>27911</v>
      </c>
      <c r="I9" s="35">
        <v>27723</v>
      </c>
      <c r="J9" s="2">
        <f t="shared" si="3"/>
        <v>28072.666666666668</v>
      </c>
      <c r="K9" s="2">
        <f t="shared" si="4"/>
        <v>32160.444444444009</v>
      </c>
      <c r="L9" s="2">
        <f t="shared" si="5"/>
        <v>1792.1111111110085</v>
      </c>
      <c r="M9" s="2">
        <f t="shared" si="6"/>
        <v>49136.111111111648</v>
      </c>
      <c r="N9" s="2">
        <f t="shared" si="7"/>
        <v>261461.77777777653</v>
      </c>
      <c r="O9" s="2">
        <f t="shared" si="1"/>
        <v>26136.111111111502</v>
      </c>
      <c r="P9" s="2">
        <f t="shared" si="1"/>
        <v>122266.77777777863</v>
      </c>
      <c r="R9" s="75"/>
      <c r="S9" s="75"/>
      <c r="T9" s="75"/>
      <c r="U9" s="2" t="s">
        <v>89</v>
      </c>
      <c r="V9" s="2">
        <f>10^(V7)</f>
        <v>11.99499303149379</v>
      </c>
    </row>
    <row r="10" spans="1:22" x14ac:dyDescent="0.2">
      <c r="A10" s="3">
        <v>0.1</v>
      </c>
      <c r="B10" s="35">
        <v>29363</v>
      </c>
      <c r="C10" s="35">
        <v>29348</v>
      </c>
      <c r="D10" s="35">
        <v>28847</v>
      </c>
      <c r="E10" s="2">
        <f t="shared" si="2"/>
        <v>29186</v>
      </c>
      <c r="F10" s="3">
        <v>0.1</v>
      </c>
      <c r="G10" s="35">
        <v>29938</v>
      </c>
      <c r="H10" s="35">
        <v>28413</v>
      </c>
      <c r="I10" s="35">
        <v>28969</v>
      </c>
      <c r="J10" s="2">
        <f t="shared" si="3"/>
        <v>29106.666666666668</v>
      </c>
      <c r="K10" s="2">
        <f t="shared" si="4"/>
        <v>31329</v>
      </c>
      <c r="L10" s="2">
        <f t="shared" si="5"/>
        <v>26244</v>
      </c>
      <c r="M10" s="2">
        <f t="shared" si="6"/>
        <v>114921</v>
      </c>
      <c r="N10" s="2">
        <f t="shared" si="7"/>
        <v>691115.11111110914</v>
      </c>
      <c r="O10" s="2">
        <f t="shared" si="1"/>
        <v>481173.44444444613</v>
      </c>
      <c r="P10" s="2">
        <f t="shared" si="1"/>
        <v>18952.111111111444</v>
      </c>
      <c r="R10" s="75"/>
      <c r="S10" s="75"/>
      <c r="T10" s="75"/>
      <c r="U10" s="2" t="s">
        <v>90</v>
      </c>
      <c r="V10" s="2">
        <f>10^(V8)</f>
        <v>7.284504232923303</v>
      </c>
    </row>
    <row r="11" spans="1:22" x14ac:dyDescent="0.2">
      <c r="A11" s="3">
        <v>0</v>
      </c>
      <c r="B11" s="35">
        <v>28562</v>
      </c>
      <c r="C11" s="35">
        <v>28428</v>
      </c>
      <c r="D11" s="35">
        <v>28333</v>
      </c>
      <c r="E11" s="2">
        <f t="shared" si="2"/>
        <v>28441</v>
      </c>
      <c r="F11" s="3">
        <v>0</v>
      </c>
      <c r="G11" s="35">
        <v>28365</v>
      </c>
      <c r="H11" s="35">
        <v>27666</v>
      </c>
      <c r="I11" s="35">
        <v>26848</v>
      </c>
      <c r="J11" s="2">
        <f t="shared" si="3"/>
        <v>27626.333333333332</v>
      </c>
      <c r="K11" s="2">
        <f t="shared" si="4"/>
        <v>14641</v>
      </c>
      <c r="L11" s="2">
        <f t="shared" si="5"/>
        <v>169</v>
      </c>
      <c r="M11" s="2">
        <f>(D11-$E11)^2</f>
        <v>11664</v>
      </c>
      <c r="N11" s="2">
        <f t="shared" si="7"/>
        <v>545628.44444444624</v>
      </c>
      <c r="O11" s="2">
        <f t="shared" si="1"/>
        <v>1573.4444444445407</v>
      </c>
      <c r="P11" s="2">
        <f>(I11-$J11)^2</f>
        <v>605802.77777777589</v>
      </c>
      <c r="R11" s="75"/>
      <c r="S11" s="75"/>
      <c r="T11" s="75"/>
    </row>
    <row r="12" spans="1:22" x14ac:dyDescent="0.2">
      <c r="A12" s="77" t="s">
        <v>3</v>
      </c>
      <c r="B12" s="78"/>
      <c r="C12" s="78"/>
      <c r="D12" s="78"/>
      <c r="E12" s="79"/>
      <c r="F12" s="71" t="s">
        <v>4</v>
      </c>
      <c r="G12" s="71"/>
      <c r="H12" s="71"/>
      <c r="I12" s="71"/>
      <c r="J12" s="71"/>
      <c r="R12" s="75"/>
      <c r="S12" s="75"/>
      <c r="T12" s="75"/>
      <c r="V12">
        <f>EXP(V7-V8)</f>
        <v>1.2418472638711866</v>
      </c>
    </row>
    <row r="13" spans="1:22" x14ac:dyDescent="0.2">
      <c r="A13" s="73" t="s">
        <v>21</v>
      </c>
      <c r="B13" s="73"/>
      <c r="C13" s="73"/>
      <c r="D13" s="73"/>
      <c r="E13" s="73"/>
      <c r="F13" s="73"/>
      <c r="G13" s="73"/>
      <c r="H13" s="73"/>
      <c r="I13" s="73"/>
      <c r="J13" s="73"/>
      <c r="K13" s="73"/>
      <c r="L13" s="73"/>
      <c r="M13" s="73"/>
      <c r="N13" s="73"/>
      <c r="O13" s="73"/>
      <c r="P13" s="73"/>
    </row>
    <row r="14" spans="1:22" ht="17.25" x14ac:dyDescent="0.2">
      <c r="A14" s="3"/>
      <c r="B14" s="3" t="s">
        <v>6</v>
      </c>
      <c r="C14" s="3" t="s">
        <v>7</v>
      </c>
      <c r="D14" s="3" t="s">
        <v>8</v>
      </c>
      <c r="E14" s="3" t="s">
        <v>9</v>
      </c>
      <c r="F14" s="3" t="s">
        <v>10</v>
      </c>
      <c r="G14" s="3" t="s">
        <v>11</v>
      </c>
      <c r="H14" s="3" t="s">
        <v>12</v>
      </c>
      <c r="I14" s="3" t="s">
        <v>13</v>
      </c>
      <c r="J14" s="3" t="s">
        <v>14</v>
      </c>
      <c r="K14" s="3" t="s">
        <v>15</v>
      </c>
      <c r="L14" s="3" t="s">
        <v>16</v>
      </c>
      <c r="M14" s="3" t="s">
        <v>17</v>
      </c>
      <c r="N14" s="3" t="s">
        <v>18</v>
      </c>
      <c r="O14" s="3" t="s">
        <v>19</v>
      </c>
      <c r="P14" s="3" t="s">
        <v>20</v>
      </c>
    </row>
    <row r="15" spans="1:22" x14ac:dyDescent="0.2">
      <c r="A15" s="49" t="s">
        <v>5</v>
      </c>
      <c r="B15" s="3">
        <v>100</v>
      </c>
      <c r="C15" s="9">
        <v>2</v>
      </c>
      <c r="D15" s="9">
        <v>2</v>
      </c>
      <c r="E15" s="3">
        <f>LOG(B15)</f>
        <v>2</v>
      </c>
      <c r="F15" s="9">
        <f>D15/C15</f>
        <v>1</v>
      </c>
      <c r="G15" s="3">
        <f>$V$4*($E15-$V$7)</f>
        <v>-0.8094669000000001</v>
      </c>
      <c r="H15" s="3">
        <f>1/(1+10^(-G15))</f>
        <v>0.13425302572764958</v>
      </c>
      <c r="I15" s="3">
        <f>(10^(-G15))/((1+(10^(-G15)))^2)</f>
        <v>0.11622915081062064</v>
      </c>
      <c r="J15" s="3">
        <f t="shared" ref="J15:J24" si="8">$G15+(((($E2-$V$2)/($V$3-$V$2))-$H15)/$I15)</f>
        <v>-2.7128080546592086</v>
      </c>
      <c r="K15" s="3">
        <f t="shared" ref="K15:K34" si="9">((($I15^2)*(($V$3-$V$2)^2))/$Q$6)</f>
        <v>12.384279528070904</v>
      </c>
      <c r="L15" s="3">
        <f>K15*E15</f>
        <v>24.768559056141807</v>
      </c>
      <c r="M15" s="3">
        <f>K15*J15</f>
        <v>-33.596173254901892</v>
      </c>
      <c r="N15" s="3">
        <f>K15*((E15)^2)</f>
        <v>49.537118112283615</v>
      </c>
      <c r="O15" s="3">
        <f>K15*((J15)^2)</f>
        <v>91.139969411624122</v>
      </c>
      <c r="P15" s="3">
        <f>K15*E15*J15</f>
        <v>-67.192346509803784</v>
      </c>
    </row>
    <row r="16" spans="1:22" x14ac:dyDescent="0.2">
      <c r="A16" s="49"/>
      <c r="B16" s="3">
        <v>25</v>
      </c>
      <c r="C16" s="9">
        <v>2</v>
      </c>
      <c r="D16" s="9">
        <v>2</v>
      </c>
      <c r="E16" s="3">
        <f t="shared" ref="E16:E34" si="10">LOG(B16)</f>
        <v>1.3979400086720377</v>
      </c>
      <c r="F16" s="9">
        <f t="shared" ref="F16:F34" si="11">D16/C16</f>
        <v>1</v>
      </c>
      <c r="G16" s="3">
        <f t="shared" ref="G16:G24" si="12">$V$4*($E16-$V$7)</f>
        <v>-0.28031637362185396</v>
      </c>
      <c r="H16" s="3">
        <f t="shared" ref="H16:H34" si="13">1/(1+10^(-G16))</f>
        <v>0.34401508090928212</v>
      </c>
      <c r="I16" s="3">
        <f t="shared" ref="I16:I34" si="14">(10^(-G16))/((1+(10^(-G16)))^2)</f>
        <v>0.22566870501626218</v>
      </c>
      <c r="J16" s="3">
        <f t="shared" si="8"/>
        <v>-2.0486262822097756</v>
      </c>
      <c r="K16" s="3">
        <f t="shared" si="9"/>
        <v>46.685637108809821</v>
      </c>
      <c r="L16" s="3">
        <f>K16*E16</f>
        <v>65.263719944749212</v>
      </c>
      <c r="M16" s="3">
        <f t="shared" ref="M16:M30" si="15">K16*J16</f>
        <v>-95.641423182815799</v>
      </c>
      <c r="N16" s="3">
        <f t="shared" ref="N16:N34" si="16">K16*((E16)^2)</f>
        <v>91.234765225532144</v>
      </c>
      <c r="O16" s="3">
        <f t="shared" ref="O16:O33" si="17">K16*((J16)^2)</f>
        <v>195.93353320026378</v>
      </c>
      <c r="P16" s="3">
        <f t="shared" ref="P16:P33" si="18">K16*E16*J16</f>
        <v>-133.70097195359156</v>
      </c>
    </row>
    <row r="17" spans="1:16" x14ac:dyDescent="0.2">
      <c r="A17" s="49"/>
      <c r="B17" s="3">
        <v>10</v>
      </c>
      <c r="C17" s="9">
        <v>2</v>
      </c>
      <c r="D17" s="9">
        <v>2</v>
      </c>
      <c r="E17" s="3">
        <f t="shared" si="10"/>
        <v>1</v>
      </c>
      <c r="F17" s="9">
        <f t="shared" si="11"/>
        <v>1</v>
      </c>
      <c r="G17" s="3">
        <f t="shared" si="12"/>
        <v>6.943309999999997E-2</v>
      </c>
      <c r="H17" s="3">
        <f t="shared" si="13"/>
        <v>0.53988398781765035</v>
      </c>
      <c r="I17" s="3">
        <f t="shared" si="14"/>
        <v>0.24840926751576151</v>
      </c>
      <c r="J17" s="3">
        <f t="shared" si="8"/>
        <v>-2.2017850371342766</v>
      </c>
      <c r="K17" s="3">
        <f t="shared" si="9"/>
        <v>56.568700846430012</v>
      </c>
      <c r="L17" s="3">
        <f>K17*E17</f>
        <v>56.568700846430012</v>
      </c>
      <c r="M17" s="3">
        <f t="shared" si="15"/>
        <v>-124.55211909379469</v>
      </c>
      <c r="N17" s="3">
        <f t="shared" si="16"/>
        <v>56.568700846430012</v>
      </c>
      <c r="O17" s="3">
        <f t="shared" si="17"/>
        <v>274.23699216408357</v>
      </c>
      <c r="P17" s="3">
        <f t="shared" si="18"/>
        <v>-124.55211909379469</v>
      </c>
    </row>
    <row r="18" spans="1:16" x14ac:dyDescent="0.2">
      <c r="A18" s="49"/>
      <c r="B18" s="3">
        <v>5</v>
      </c>
      <c r="C18" s="9">
        <v>2</v>
      </c>
      <c r="D18" s="9">
        <v>2</v>
      </c>
      <c r="E18" s="3">
        <f t="shared" si="10"/>
        <v>0.69897000433601886</v>
      </c>
      <c r="F18" s="9">
        <f t="shared" si="11"/>
        <v>1</v>
      </c>
      <c r="G18" s="3">
        <f t="shared" si="12"/>
        <v>0.33400836318907301</v>
      </c>
      <c r="H18" s="3">
        <f t="shared" si="13"/>
        <v>0.68332242517177444</v>
      </c>
      <c r="I18" s="3">
        <f t="shared" si="14"/>
        <v>0.21639288842913915</v>
      </c>
      <c r="J18" s="3">
        <f t="shared" si="8"/>
        <v>-2.2979429635385489</v>
      </c>
      <c r="K18" s="3">
        <f t="shared" si="9"/>
        <v>42.926609167684802</v>
      </c>
      <c r="L18" s="3">
        <f t="shared" ref="L18:L34" si="19">K18*E18</f>
        <v>30.004412196067232</v>
      </c>
      <c r="M18" s="3">
        <f t="shared" si="15"/>
        <v>-98.642899485450656</v>
      </c>
      <c r="N18" s="3">
        <f t="shared" si="16"/>
        <v>20.97218412278481</v>
      </c>
      <c r="O18" s="3">
        <f t="shared" si="17"/>
        <v>226.67575677563167</v>
      </c>
      <c r="P18" s="3">
        <f t="shared" si="18"/>
        <v>-68.948427881062912</v>
      </c>
    </row>
    <row r="19" spans="1:16" x14ac:dyDescent="0.2">
      <c r="A19" s="49"/>
      <c r="B19" s="3">
        <v>3</v>
      </c>
      <c r="C19" s="9">
        <v>2</v>
      </c>
      <c r="D19" s="9">
        <v>2</v>
      </c>
      <c r="E19" s="3">
        <f t="shared" si="10"/>
        <v>0.47712125471966244</v>
      </c>
      <c r="F19" s="9">
        <f t="shared" si="11"/>
        <v>1</v>
      </c>
      <c r="G19" s="3">
        <f t="shared" si="12"/>
        <v>0.52899122922688868</v>
      </c>
      <c r="H19" s="3">
        <f t="shared" si="13"/>
        <v>0.7717197312510371</v>
      </c>
      <c r="I19" s="3">
        <f t="shared" si="14"/>
        <v>0.17616838764886414</v>
      </c>
      <c r="J19" s="3">
        <f t="shared" si="8"/>
        <v>-1.5694430788796043</v>
      </c>
      <c r="K19" s="3">
        <f t="shared" si="9"/>
        <v>28.450937101535477</v>
      </c>
      <c r="L19" s="3">
        <f>K19*E19</f>
        <v>13.574546807834803</v>
      </c>
      <c r="M19" s="3">
        <f t="shared" si="15"/>
        <v>-44.652126321643806</v>
      </c>
      <c r="N19" s="3">
        <f t="shared" si="16"/>
        <v>6.4767048052049292</v>
      </c>
      <c r="O19" s="3">
        <f t="shared" si="17"/>
        <v>70.07897061276168</v>
      </c>
      <c r="P19" s="3">
        <f t="shared" si="18"/>
        <v>-21.304478536483558</v>
      </c>
    </row>
    <row r="20" spans="1:16" x14ac:dyDescent="0.2">
      <c r="A20" s="49"/>
      <c r="B20" s="3">
        <v>2</v>
      </c>
      <c r="C20" s="9">
        <v>2</v>
      </c>
      <c r="D20" s="9">
        <v>2</v>
      </c>
      <c r="E20" s="3">
        <f t="shared" si="10"/>
        <v>0.3010299956639812</v>
      </c>
      <c r="F20" s="9">
        <f t="shared" si="11"/>
        <v>1</v>
      </c>
      <c r="G20" s="3">
        <f t="shared" si="12"/>
        <v>0.68375783681092683</v>
      </c>
      <c r="H20" s="3">
        <f t="shared" si="13"/>
        <v>0.82841146576305957</v>
      </c>
      <c r="I20" s="3">
        <f t="shared" si="14"/>
        <v>0.1421459091553588</v>
      </c>
      <c r="J20" s="3">
        <f t="shared" si="8"/>
        <v>-1.2115542781627546</v>
      </c>
      <c r="K20" s="3">
        <f t="shared" si="9"/>
        <v>18.52291558651071</v>
      </c>
      <c r="L20" s="3">
        <f>K20*E20</f>
        <v>5.5759531986916082</v>
      </c>
      <c r="M20" s="3">
        <f t="shared" si="15"/>
        <v>-22.441517622884618</v>
      </c>
      <c r="N20" s="3">
        <f t="shared" si="16"/>
        <v>1.6785291672246971</v>
      </c>
      <c r="O20" s="3">
        <f t="shared" si="17"/>
        <v>27.189116684470712</v>
      </c>
      <c r="P20" s="3">
        <f t="shared" si="18"/>
        <v>-6.7555699527101138</v>
      </c>
    </row>
    <row r="21" spans="1:16" x14ac:dyDescent="0.2">
      <c r="A21" s="49"/>
      <c r="B21" s="3">
        <v>1</v>
      </c>
      <c r="C21" s="9">
        <v>2</v>
      </c>
      <c r="D21" s="9">
        <v>2</v>
      </c>
      <c r="E21" s="3">
        <f t="shared" si="10"/>
        <v>0</v>
      </c>
      <c r="F21" s="9">
        <f t="shared" si="11"/>
        <v>1</v>
      </c>
      <c r="G21" s="3">
        <f t="shared" si="12"/>
        <v>0.94833309999999993</v>
      </c>
      <c r="H21" s="3">
        <f t="shared" si="13"/>
        <v>0.89876869466192066</v>
      </c>
      <c r="I21" s="3">
        <f t="shared" si="14"/>
        <v>9.0983528157627808E-2</v>
      </c>
      <c r="J21" s="3">
        <f t="shared" si="8"/>
        <v>-1.9835314323217168E-2</v>
      </c>
      <c r="K21" s="3">
        <f t="shared" si="9"/>
        <v>7.5886786779147224</v>
      </c>
      <c r="L21" s="3">
        <f t="shared" si="19"/>
        <v>0</v>
      </c>
      <c r="M21" s="3">
        <f t="shared" si="15"/>
        <v>-0.1505238268743346</v>
      </c>
      <c r="N21" s="3">
        <f t="shared" si="16"/>
        <v>0</v>
      </c>
      <c r="O21" s="3">
        <f t="shared" si="17"/>
        <v>2.9856874191859506E-3</v>
      </c>
      <c r="P21" s="3">
        <f t="shared" si="18"/>
        <v>0</v>
      </c>
    </row>
    <row r="22" spans="1:16" x14ac:dyDescent="0.2">
      <c r="A22" s="49"/>
      <c r="B22" s="3">
        <v>0.5</v>
      </c>
      <c r="C22" s="9">
        <v>2</v>
      </c>
      <c r="D22" s="9">
        <v>2</v>
      </c>
      <c r="E22" s="3">
        <f t="shared" si="10"/>
        <v>-0.3010299956639812</v>
      </c>
      <c r="F22" s="9">
        <f t="shared" si="11"/>
        <v>1</v>
      </c>
      <c r="G22" s="3">
        <f t="shared" si="12"/>
        <v>1.2129083631890731</v>
      </c>
      <c r="H22" s="3">
        <f t="shared" si="13"/>
        <v>0.94228685145973023</v>
      </c>
      <c r="I22" s="3">
        <f t="shared" si="14"/>
        <v>5.4382341025838513E-2</v>
      </c>
      <c r="J22" s="3">
        <f t="shared" si="8"/>
        <v>0.32803123207037588</v>
      </c>
      <c r="K22" s="3">
        <f t="shared" si="9"/>
        <v>2.7111679030922997</v>
      </c>
      <c r="L22" s="3">
        <f>K22*E22</f>
        <v>-0.8161428621122</v>
      </c>
      <c r="M22" s="3">
        <f t="shared" si="15"/>
        <v>0.88934774760102453</v>
      </c>
      <c r="N22" s="3">
        <f t="shared" si="16"/>
        <v>0.24568348224282477</v>
      </c>
      <c r="O22" s="3">
        <f t="shared" si="17"/>
        <v>0.29173383738457775</v>
      </c>
      <c r="P22" s="3">
        <f t="shared" si="18"/>
        <v>-0.26772034860410787</v>
      </c>
    </row>
    <row r="23" spans="1:16" x14ac:dyDescent="0.2">
      <c r="A23" s="49"/>
      <c r="B23" s="3">
        <v>0.1</v>
      </c>
      <c r="C23" s="9">
        <v>2</v>
      </c>
      <c r="D23" s="9">
        <v>2</v>
      </c>
      <c r="E23" s="3">
        <f t="shared" si="10"/>
        <v>-1</v>
      </c>
      <c r="F23" s="9">
        <f t="shared" si="11"/>
        <v>1</v>
      </c>
      <c r="G23" s="3">
        <f t="shared" si="12"/>
        <v>1.8272330999999997</v>
      </c>
      <c r="H23" s="3">
        <f t="shared" si="13"/>
        <v>0.9853327126164797</v>
      </c>
      <c r="I23" s="3">
        <f t="shared" si="14"/>
        <v>1.4452158064329527E-2</v>
      </c>
      <c r="J23" s="3">
        <f t="shared" si="8"/>
        <v>-4.7396241716044365</v>
      </c>
      <c r="K23" s="3">
        <f t="shared" si="9"/>
        <v>0.19147232995632552</v>
      </c>
      <c r="L23" s="3">
        <f>K23*E23</f>
        <v>-0.19147232995632552</v>
      </c>
      <c r="M23" s="3">
        <f>K23*J23</f>
        <v>-0.90750688325442064</v>
      </c>
      <c r="N23" s="3">
        <f>K23*((E23)^2)</f>
        <v>0.19147232995632552</v>
      </c>
      <c r="O23" s="3">
        <f>K23*((J23)^2)</f>
        <v>4.301241559770058</v>
      </c>
      <c r="P23" s="3">
        <f>K23*E23*J23</f>
        <v>0.90750688325442064</v>
      </c>
    </row>
    <row r="24" spans="1:16" ht="15.75" thickBot="1" x14ac:dyDescent="0.25">
      <c r="A24" s="72"/>
      <c r="B24" s="5">
        <v>0</v>
      </c>
      <c r="C24" s="12">
        <v>2</v>
      </c>
      <c r="D24" s="12">
        <v>2</v>
      </c>
      <c r="E24" s="5" t="e">
        <f t="shared" si="10"/>
        <v>#NUM!</v>
      </c>
      <c r="F24" s="12">
        <f t="shared" si="11"/>
        <v>1</v>
      </c>
      <c r="G24" s="5" t="e">
        <f t="shared" si="12"/>
        <v>#NUM!</v>
      </c>
      <c r="H24" s="5" t="e">
        <f t="shared" si="13"/>
        <v>#NUM!</v>
      </c>
      <c r="I24" s="5" t="e">
        <f t="shared" si="14"/>
        <v>#NUM!</v>
      </c>
      <c r="J24" s="5" t="e">
        <f t="shared" si="8"/>
        <v>#NUM!</v>
      </c>
      <c r="K24" s="5" t="e">
        <f t="shared" si="9"/>
        <v>#NUM!</v>
      </c>
      <c r="L24" s="5" t="e">
        <f t="shared" si="19"/>
        <v>#NUM!</v>
      </c>
      <c r="M24" s="5" t="e">
        <f t="shared" si="15"/>
        <v>#NUM!</v>
      </c>
      <c r="N24" s="5" t="e">
        <f t="shared" si="16"/>
        <v>#NUM!</v>
      </c>
      <c r="O24" s="5" t="e">
        <f t="shared" si="17"/>
        <v>#NUM!</v>
      </c>
      <c r="P24" s="5" t="e">
        <f t="shared" si="18"/>
        <v>#NUM!</v>
      </c>
    </row>
    <row r="25" spans="1:16" x14ac:dyDescent="0.2">
      <c r="A25" s="70" t="s">
        <v>22</v>
      </c>
      <c r="B25" s="4">
        <v>100</v>
      </c>
      <c r="C25" s="11">
        <v>2</v>
      </c>
      <c r="D25" s="11">
        <v>2</v>
      </c>
      <c r="E25" s="4">
        <f t="shared" si="10"/>
        <v>2</v>
      </c>
      <c r="F25" s="11">
        <f t="shared" si="11"/>
        <v>1</v>
      </c>
      <c r="G25" s="4">
        <f>$V$4*($E25-$V$8)</f>
        <v>-0.99983663999999994</v>
      </c>
      <c r="H25" s="4">
        <f>1/(1+10^(-G25))</f>
        <v>9.094018249480551E-2</v>
      </c>
      <c r="I25" s="4">
        <f t="shared" si="14"/>
        <v>8.2670065702616979E-2</v>
      </c>
      <c r="J25" s="4">
        <f t="shared" ref="J25:J34" si="20">$G25+(((($J2-$V$2)/($V$3-$V$2))-$H25)/$I25)</f>
        <v>-3.9851383581007789</v>
      </c>
      <c r="K25" s="4">
        <f t="shared" si="9"/>
        <v>6.265232354147301</v>
      </c>
      <c r="L25" s="4">
        <f t="shared" si="19"/>
        <v>12.530464708294602</v>
      </c>
      <c r="M25" s="4">
        <f>K25*J25</f>
        <v>-24.967817776926452</v>
      </c>
      <c r="N25" s="4">
        <f t="shared" si="16"/>
        <v>25.060929416589204</v>
      </c>
      <c r="O25" s="4">
        <f t="shared" si="17"/>
        <v>99.50020834090013</v>
      </c>
      <c r="P25" s="4">
        <f t="shared" si="18"/>
        <v>-49.935635553852904</v>
      </c>
    </row>
    <row r="26" spans="1:16" x14ac:dyDescent="0.2">
      <c r="A26" s="49"/>
      <c r="B26" s="3">
        <v>25</v>
      </c>
      <c r="C26" s="9">
        <v>2</v>
      </c>
      <c r="D26" s="9">
        <v>2</v>
      </c>
      <c r="E26" s="3">
        <f t="shared" si="10"/>
        <v>1.3979400086720377</v>
      </c>
      <c r="F26" s="9">
        <f t="shared" si="11"/>
        <v>1</v>
      </c>
      <c r="G26" s="4">
        <f t="shared" ref="G26:G34" si="21">$V$4*($E26-$V$8)</f>
        <v>-0.47068611362185392</v>
      </c>
      <c r="H26" s="3">
        <f t="shared" si="13"/>
        <v>0.25278855253912696</v>
      </c>
      <c r="I26" s="3">
        <f t="shared" si="14"/>
        <v>0.18888650024429998</v>
      </c>
      <c r="J26" s="4">
        <f t="shared" si="20"/>
        <v>-2.3382279055281376</v>
      </c>
      <c r="K26" s="3">
        <f t="shared" si="9"/>
        <v>32.707131440623172</v>
      </c>
      <c r="L26" s="3">
        <f t="shared" si="19"/>
        <v>45.722607609742234</v>
      </c>
      <c r="M26" s="3">
        <f>K26*J26</f>
        <v>-76.476727444241817</v>
      </c>
      <c r="N26" s="3">
        <f t="shared" si="16"/>
        <v>63.917462478471236</v>
      </c>
      <c r="O26" s="3">
        <f t="shared" si="17"/>
        <v>178.82001823359579</v>
      </c>
      <c r="P26" s="3">
        <f t="shared" si="18"/>
        <v>-106.90987702661248</v>
      </c>
    </row>
    <row r="27" spans="1:16" x14ac:dyDescent="0.2">
      <c r="A27" s="49"/>
      <c r="B27" s="3">
        <v>10</v>
      </c>
      <c r="C27" s="9">
        <v>2</v>
      </c>
      <c r="D27" s="9">
        <v>2</v>
      </c>
      <c r="E27" s="3">
        <f t="shared" si="10"/>
        <v>1</v>
      </c>
      <c r="F27" s="9">
        <f t="shared" si="11"/>
        <v>1</v>
      </c>
      <c r="G27" s="4">
        <f t="shared" si="21"/>
        <v>-0.12093663999999996</v>
      </c>
      <c r="H27" s="3">
        <f t="shared" si="13"/>
        <v>0.43082967486231855</v>
      </c>
      <c r="I27" s="3">
        <f t="shared" si="14"/>
        <v>0.24521546612034742</v>
      </c>
      <c r="J27" s="4">
        <f t="shared" si="20"/>
        <v>-2.1943929766786971</v>
      </c>
      <c r="K27" s="3">
        <f t="shared" si="9"/>
        <v>55.123442669722891</v>
      </c>
      <c r="L27" s="3">
        <f t="shared" si="19"/>
        <v>55.123442669722891</v>
      </c>
      <c r="M27" s="3">
        <f t="shared" si="15"/>
        <v>-120.96249544479072</v>
      </c>
      <c r="N27" s="3">
        <f t="shared" si="16"/>
        <v>55.123442669722891</v>
      </c>
      <c r="O27" s="3">
        <f t="shared" si="17"/>
        <v>265.43925044557767</v>
      </c>
      <c r="P27" s="3">
        <f t="shared" si="18"/>
        <v>-120.96249544479072</v>
      </c>
    </row>
    <row r="28" spans="1:16" x14ac:dyDescent="0.2">
      <c r="A28" s="49"/>
      <c r="B28" s="3">
        <v>5</v>
      </c>
      <c r="C28" s="9">
        <v>2</v>
      </c>
      <c r="D28" s="9">
        <v>2</v>
      </c>
      <c r="E28" s="3">
        <f t="shared" si="10"/>
        <v>0.69897000433601886</v>
      </c>
      <c r="F28" s="9">
        <f t="shared" si="11"/>
        <v>1</v>
      </c>
      <c r="G28" s="4">
        <f t="shared" si="21"/>
        <v>0.14363862318907308</v>
      </c>
      <c r="H28" s="3">
        <f t="shared" si="13"/>
        <v>0.58193945644909828</v>
      </c>
      <c r="I28" s="3">
        <f t="shared" si="14"/>
        <v>0.24328592547682634</v>
      </c>
      <c r="J28" s="4">
        <f t="shared" si="20"/>
        <v>-2.0177016258201497</v>
      </c>
      <c r="K28" s="3">
        <f t="shared" si="9"/>
        <v>54.259349937077545</v>
      </c>
      <c r="L28" s="3">
        <f t="shared" si="19"/>
        <v>37.925658060788656</v>
      </c>
      <c r="M28" s="3">
        <f t="shared" si="15"/>
        <v>-109.4791785839858</v>
      </c>
      <c r="N28" s="3">
        <f t="shared" si="16"/>
        <v>26.508897379195815</v>
      </c>
      <c r="O28" s="3">
        <f t="shared" si="17"/>
        <v>220.89631662236269</v>
      </c>
      <c r="P28" s="3">
        <f t="shared" si="18"/>
        <v>-76.522661929552342</v>
      </c>
    </row>
    <row r="29" spans="1:16" x14ac:dyDescent="0.2">
      <c r="A29" s="49"/>
      <c r="B29" s="3">
        <v>3</v>
      </c>
      <c r="C29" s="9">
        <v>2</v>
      </c>
      <c r="D29" s="9">
        <v>2</v>
      </c>
      <c r="E29" s="3">
        <f t="shared" si="10"/>
        <v>0.47712125471966244</v>
      </c>
      <c r="F29" s="9">
        <f t="shared" si="11"/>
        <v>1</v>
      </c>
      <c r="G29" s="4">
        <f t="shared" si="21"/>
        <v>0.33862148922688873</v>
      </c>
      <c r="H29" s="3">
        <f t="shared" si="13"/>
        <v>0.68561648664000996</v>
      </c>
      <c r="I29" s="3">
        <f t="shared" si="14"/>
        <v>0.21554651988741896</v>
      </c>
      <c r="J29" s="4">
        <f t="shared" si="20"/>
        <v>-1.3577808143694385</v>
      </c>
      <c r="K29" s="3">
        <f t="shared" si="9"/>
        <v>42.591471719620046</v>
      </c>
      <c r="L29" s="3">
        <f t="shared" si="19"/>
        <v>20.321296427222133</v>
      </c>
      <c r="M29" s="3">
        <f>K29*J29</f>
        <v>-57.829883156658617</v>
      </c>
      <c r="N29" s="3">
        <f t="shared" si="16"/>
        <v>9.6957224488864178</v>
      </c>
      <c r="O29" s="3">
        <f t="shared" si="17"/>
        <v>78.520305847337411</v>
      </c>
      <c r="P29" s="3">
        <f t="shared" si="18"/>
        <v>-27.591866411996431</v>
      </c>
    </row>
    <row r="30" spans="1:16" x14ac:dyDescent="0.2">
      <c r="A30" s="49"/>
      <c r="B30" s="3">
        <v>2</v>
      </c>
      <c r="C30" s="9">
        <v>2</v>
      </c>
      <c r="D30" s="9">
        <v>2</v>
      </c>
      <c r="E30" s="3">
        <f t="shared" si="10"/>
        <v>0.3010299956639812</v>
      </c>
      <c r="F30" s="9">
        <f t="shared" si="11"/>
        <v>1</v>
      </c>
      <c r="G30" s="4">
        <f t="shared" si="21"/>
        <v>0.49338809681092693</v>
      </c>
      <c r="H30" s="3">
        <f t="shared" si="13"/>
        <v>0.75695700193949633</v>
      </c>
      <c r="I30" s="3">
        <f t="shared" si="14"/>
        <v>0.18397309915426566</v>
      </c>
      <c r="J30" s="4">
        <f t="shared" si="20"/>
        <v>-1.1891175041329343</v>
      </c>
      <c r="K30" s="3">
        <f t="shared" si="9"/>
        <v>31.027677247965066</v>
      </c>
      <c r="L30" s="3">
        <f t="shared" si="19"/>
        <v>9.340261547418331</v>
      </c>
      <c r="M30" s="3">
        <f t="shared" si="15"/>
        <v>-36.89555412814245</v>
      </c>
      <c r="N30" s="3">
        <f t="shared" si="16"/>
        <v>2.8116988931197908</v>
      </c>
      <c r="O30" s="3">
        <f t="shared" si="17"/>
        <v>43.873149238458325</v>
      </c>
      <c r="P30" s="3">
        <f t="shared" si="18"/>
        <v>-11.106668499214905</v>
      </c>
    </row>
    <row r="31" spans="1:16" x14ac:dyDescent="0.2">
      <c r="A31" s="49"/>
      <c r="B31" s="3">
        <v>1</v>
      </c>
      <c r="C31" s="9">
        <v>2</v>
      </c>
      <c r="D31" s="9">
        <v>2</v>
      </c>
      <c r="E31" s="3">
        <f t="shared" si="10"/>
        <v>0</v>
      </c>
      <c r="F31" s="9">
        <f t="shared" si="11"/>
        <v>1</v>
      </c>
      <c r="G31" s="4">
        <f t="shared" si="21"/>
        <v>0.75796336000000009</v>
      </c>
      <c r="H31" s="3">
        <f t="shared" si="13"/>
        <v>0.85135586670082863</v>
      </c>
      <c r="I31" s="3">
        <f t="shared" si="14"/>
        <v>0.12654905493490962</v>
      </c>
      <c r="J31" s="4">
        <f t="shared" si="20"/>
        <v>-0.10401175370281068</v>
      </c>
      <c r="K31" s="3">
        <f t="shared" si="9"/>
        <v>14.681094319880861</v>
      </c>
      <c r="L31" s="3">
        <f t="shared" si="19"/>
        <v>0</v>
      </c>
      <c r="M31" s="3">
        <f>K31*J31</f>
        <v>-1.5270063664871811</v>
      </c>
      <c r="N31" s="3">
        <f t="shared" si="16"/>
        <v>0</v>
      </c>
      <c r="O31" s="3">
        <f t="shared" si="17"/>
        <v>0.15882661009368856</v>
      </c>
      <c r="P31" s="3">
        <f t="shared" si="18"/>
        <v>0</v>
      </c>
    </row>
    <row r="32" spans="1:16" x14ac:dyDescent="0.2">
      <c r="A32" s="49"/>
      <c r="B32" s="3">
        <v>0.5</v>
      </c>
      <c r="C32" s="9">
        <v>2</v>
      </c>
      <c r="D32" s="9">
        <v>2</v>
      </c>
      <c r="E32" s="3">
        <f t="shared" si="10"/>
        <v>-0.3010299956639812</v>
      </c>
      <c r="F32" s="9">
        <f t="shared" si="11"/>
        <v>1</v>
      </c>
      <c r="G32" s="4">
        <f t="shared" si="21"/>
        <v>1.0225386231890732</v>
      </c>
      <c r="H32" s="3">
        <f t="shared" si="13"/>
        <v>0.91328983716829004</v>
      </c>
      <c r="I32" s="3">
        <f t="shared" si="14"/>
        <v>7.9191510493408404E-2</v>
      </c>
      <c r="J32" s="4">
        <f t="shared" si="20"/>
        <v>-0.32416194756070094</v>
      </c>
      <c r="K32" s="3">
        <f t="shared" si="9"/>
        <v>5.7490736181350739</v>
      </c>
      <c r="L32" s="3">
        <f t="shared" si="19"/>
        <v>-1.73064360633911</v>
      </c>
      <c r="M32" s="3">
        <f>K32*J32</f>
        <v>-1.8636309007245111</v>
      </c>
      <c r="N32" s="3">
        <f t="shared" si="16"/>
        <v>0.52097563731215912</v>
      </c>
      <c r="O32" s="3">
        <f t="shared" si="17"/>
        <v>0.60411822231316081</v>
      </c>
      <c r="P32" s="3">
        <f t="shared" si="18"/>
        <v>0.56100880196436087</v>
      </c>
    </row>
    <row r="33" spans="1:16" x14ac:dyDescent="0.2">
      <c r="A33" s="49"/>
      <c r="B33" s="3">
        <v>0.1</v>
      </c>
      <c r="C33" s="9">
        <v>2</v>
      </c>
      <c r="D33" s="9">
        <v>2</v>
      </c>
      <c r="E33" s="3">
        <f t="shared" si="10"/>
        <v>-1</v>
      </c>
      <c r="F33" s="9">
        <f t="shared" si="11"/>
        <v>1</v>
      </c>
      <c r="G33" s="4">
        <f t="shared" si="21"/>
        <v>1.63686336</v>
      </c>
      <c r="H33" s="3">
        <f t="shared" si="13"/>
        <v>0.97744570367480965</v>
      </c>
      <c r="I33" s="3">
        <f t="shared" si="14"/>
        <v>2.2045600042465877E-2</v>
      </c>
      <c r="J33" s="4">
        <f t="shared" si="20"/>
        <v>-2.5811460918173297</v>
      </c>
      <c r="K33" s="3">
        <f t="shared" si="9"/>
        <v>0.44553770612479837</v>
      </c>
      <c r="L33" s="3">
        <f t="shared" si="19"/>
        <v>-0.44553770612479837</v>
      </c>
      <c r="M33" s="3">
        <f>K33*J33</f>
        <v>-1.1499979089212813</v>
      </c>
      <c r="N33" s="3">
        <f t="shared" si="16"/>
        <v>0.44553770612479837</v>
      </c>
      <c r="O33" s="3">
        <f t="shared" si="17"/>
        <v>2.9683126082102667</v>
      </c>
      <c r="P33" s="3">
        <f t="shared" si="18"/>
        <v>1.1499979089212813</v>
      </c>
    </row>
    <row r="34" spans="1:16" x14ac:dyDescent="0.2">
      <c r="A34" s="49"/>
      <c r="B34" s="3">
        <v>0</v>
      </c>
      <c r="C34" s="9">
        <v>2</v>
      </c>
      <c r="D34" s="9">
        <v>2</v>
      </c>
      <c r="E34" s="3" t="e">
        <f t="shared" si="10"/>
        <v>#NUM!</v>
      </c>
      <c r="F34" s="9">
        <f t="shared" si="11"/>
        <v>1</v>
      </c>
      <c r="G34" s="4" t="e">
        <f t="shared" si="21"/>
        <v>#NUM!</v>
      </c>
      <c r="H34" s="3" t="e">
        <f t="shared" si="13"/>
        <v>#NUM!</v>
      </c>
      <c r="I34" s="3" t="e">
        <f t="shared" si="14"/>
        <v>#NUM!</v>
      </c>
      <c r="J34" s="4" t="e">
        <f t="shared" si="20"/>
        <v>#NUM!</v>
      </c>
      <c r="K34" s="3" t="e">
        <f t="shared" si="9"/>
        <v>#NUM!</v>
      </c>
      <c r="L34" s="3" t="e">
        <f t="shared" si="19"/>
        <v>#NUM!</v>
      </c>
      <c r="M34" s="3" t="e">
        <f>K34*J34</f>
        <v>#NUM!</v>
      </c>
      <c r="N34" s="3" t="e">
        <f t="shared" si="16"/>
        <v>#NUM!</v>
      </c>
      <c r="O34" s="3" t="e">
        <f>K34*((J34)^2)</f>
        <v>#NUM!</v>
      </c>
      <c r="P34" s="3" t="e">
        <f>K34*E34*J34</f>
        <v>#NUM!</v>
      </c>
    </row>
    <row r="35" spans="1:16" x14ac:dyDescent="0.2">
      <c r="A35" s="69" t="s">
        <v>35</v>
      </c>
      <c r="B35" s="69"/>
      <c r="C35" s="69"/>
      <c r="D35" s="69"/>
      <c r="E35" s="69"/>
      <c r="F35" s="69"/>
      <c r="G35" s="69"/>
      <c r="H35" s="69"/>
      <c r="I35" s="69"/>
      <c r="J35" s="69"/>
      <c r="K35" s="69"/>
      <c r="L35" s="69"/>
      <c r="M35" s="69"/>
      <c r="N35" s="69"/>
      <c r="O35" s="69"/>
    </row>
    <row r="36" spans="1:16" ht="18" x14ac:dyDescent="0.2">
      <c r="A36" s="3"/>
      <c r="B36" s="6" t="s">
        <v>23</v>
      </c>
      <c r="C36" s="6" t="s">
        <v>24</v>
      </c>
      <c r="D36" s="6" t="s">
        <v>25</v>
      </c>
      <c r="E36" s="6" t="s">
        <v>26</v>
      </c>
      <c r="F36" s="6" t="s">
        <v>27</v>
      </c>
      <c r="G36" s="6" t="s">
        <v>28</v>
      </c>
      <c r="H36" s="7" t="s">
        <v>29</v>
      </c>
      <c r="I36" s="7" t="s">
        <v>30</v>
      </c>
      <c r="J36" s="7" t="s">
        <v>31</v>
      </c>
      <c r="K36" s="7" t="s">
        <v>32</v>
      </c>
      <c r="L36" s="7" t="s">
        <v>33</v>
      </c>
      <c r="M36" s="7" t="s">
        <v>34</v>
      </c>
      <c r="N36" s="7" t="s">
        <v>67</v>
      </c>
      <c r="O36" s="7" t="s">
        <v>68</v>
      </c>
    </row>
    <row r="37" spans="1:16" x14ac:dyDescent="0.2">
      <c r="A37" s="3" t="s">
        <v>5</v>
      </c>
      <c r="B37" s="3">
        <f t="shared" ref="B37:G37" si="22">SUM(K15:K23)</f>
        <v>216.03039825000511</v>
      </c>
      <c r="C37" s="3">
        <f t="shared" si="22"/>
        <v>194.74827685784615</v>
      </c>
      <c r="D37" s="3">
        <f t="shared" si="22"/>
        <v>-419.69494192401913</v>
      </c>
      <c r="E37" s="3">
        <f t="shared" si="22"/>
        <v>226.90515809165933</v>
      </c>
      <c r="F37" s="3">
        <f t="shared" si="22"/>
        <v>889.85029993340913</v>
      </c>
      <c r="G37" s="3">
        <f t="shared" si="22"/>
        <v>-421.81412739279631</v>
      </c>
      <c r="H37" s="3">
        <f>E37-((C37^2)/B37)</f>
        <v>51.342405597870425</v>
      </c>
      <c r="I37" s="3">
        <f>G37-((C37*D37)/B37)</f>
        <v>-43.465212574487339</v>
      </c>
      <c r="J37" s="3">
        <f>F37-((D37^2)/B37)</f>
        <v>74.484288004105906</v>
      </c>
      <c r="K37" s="3">
        <f>C37/B37</f>
        <v>0.9014855244236053</v>
      </c>
      <c r="L37" s="3">
        <f>D37/B37</f>
        <v>-1.9427587289744266</v>
      </c>
      <c r="M37" s="3">
        <f>L37-($H$40*K37)</f>
        <v>-0.92347526232545163</v>
      </c>
      <c r="N37" s="3">
        <f>J37-((I37^2)/H37)</f>
        <v>37.687712499982403</v>
      </c>
      <c r="O37" s="2">
        <f>(I37^2)/H37</f>
        <v>36.796575504123503</v>
      </c>
    </row>
    <row r="38" spans="1:16" x14ac:dyDescent="0.2">
      <c r="A38" s="3" t="s">
        <v>22</v>
      </c>
      <c r="B38" s="3">
        <f t="shared" ref="B38:G38" si="23">SUM(K25:K33)</f>
        <v>242.85001101329678</v>
      </c>
      <c r="C38" s="3">
        <f t="shared" si="23"/>
        <v>178.78754971072493</v>
      </c>
      <c r="D38" s="3">
        <f t="shared" si="23"/>
        <v>-431.1522917108789</v>
      </c>
      <c r="E38" s="3">
        <f t="shared" si="23"/>
        <v>184.08466662942232</v>
      </c>
      <c r="F38" s="3">
        <f t="shared" si="23"/>
        <v>890.780506168849</v>
      </c>
      <c r="G38" s="3">
        <f t="shared" si="23"/>
        <v>-391.31819815513404</v>
      </c>
      <c r="H38" s="3">
        <f>E38-((C38^2)/B38)</f>
        <v>52.460262750705766</v>
      </c>
      <c r="I38" s="3">
        <f>G38-((C38*D38)/B38)</f>
        <v>-73.90144587452113</v>
      </c>
      <c r="J38" s="3">
        <f>F38-((D38^2)/B38)</f>
        <v>125.31915052837246</v>
      </c>
      <c r="K38" s="3">
        <f>C38/B38</f>
        <v>0.73620564794183097</v>
      </c>
      <c r="L38" s="3">
        <f>D38/B38</f>
        <v>-1.7753851025655172</v>
      </c>
      <c r="M38" s="3">
        <f>L38-($H$40*K38)</f>
        <v>-0.94297878580241801</v>
      </c>
      <c r="N38" s="3">
        <f>J38-((I38^2)/H38)</f>
        <v>21.213234622122044</v>
      </c>
      <c r="O38" s="2">
        <f>(I38^2)/H38</f>
        <v>104.10591590625042</v>
      </c>
    </row>
    <row r="39" spans="1:16" x14ac:dyDescent="0.2">
      <c r="G39" s="8" t="s">
        <v>36</v>
      </c>
      <c r="H39" s="3">
        <f>SUM(H37:H38)</f>
        <v>103.80266834857619</v>
      </c>
      <c r="I39" s="3">
        <f>SUM(I37:I38)</f>
        <v>-117.36665844900847</v>
      </c>
      <c r="L39" s="19"/>
      <c r="M39" s="8" t="s">
        <v>36</v>
      </c>
      <c r="N39" s="3">
        <f>SUM(N37:N38)</f>
        <v>58.900947122104448</v>
      </c>
      <c r="O39" s="2">
        <f>SUM(O37:O38)</f>
        <v>140.90249141037393</v>
      </c>
    </row>
    <row r="40" spans="1:16" x14ac:dyDescent="0.2">
      <c r="G40" s="3" t="s">
        <v>50</v>
      </c>
      <c r="H40" s="3">
        <f>I39/H39</f>
        <v>-1.1306709193147473</v>
      </c>
    </row>
    <row r="41" spans="1:16" ht="15.75" thickBot="1" x14ac:dyDescent="0.25"/>
    <row r="42" spans="1:16" ht="41.45" customHeight="1" thickBot="1" x14ac:dyDescent="0.25">
      <c r="A42" s="61" t="s">
        <v>51</v>
      </c>
      <c r="B42" s="62"/>
      <c r="C42" s="26" t="s">
        <v>52</v>
      </c>
      <c r="D42" s="27" t="s">
        <v>53</v>
      </c>
      <c r="E42" s="16" t="s">
        <v>54</v>
      </c>
      <c r="M42" s="19"/>
    </row>
    <row r="43" spans="1:16" x14ac:dyDescent="0.2">
      <c r="A43" s="63" t="s">
        <v>55</v>
      </c>
      <c r="B43" s="64"/>
      <c r="C43" s="22">
        <f>E50-1</f>
        <v>1</v>
      </c>
      <c r="D43" s="24"/>
      <c r="E43" s="33">
        <f>_xlfn.CHISQ.DIST.RT(D43,C43)</f>
        <v>1</v>
      </c>
      <c r="M43" s="19"/>
    </row>
    <row r="44" spans="1:16" x14ac:dyDescent="0.2">
      <c r="A44" s="65" t="s">
        <v>56</v>
      </c>
      <c r="B44" s="66"/>
      <c r="C44" s="14">
        <v>1</v>
      </c>
      <c r="D44" s="20"/>
      <c r="E44" s="34">
        <f>_xlfn.CHISQ.DIST.RT(D44,C44)</f>
        <v>1</v>
      </c>
      <c r="M44" s="19"/>
    </row>
    <row r="45" spans="1:16" x14ac:dyDescent="0.2">
      <c r="A45" s="67" t="s">
        <v>57</v>
      </c>
      <c r="B45" s="68"/>
      <c r="C45" s="14">
        <f>E50-1</f>
        <v>1</v>
      </c>
      <c r="D45" s="20">
        <f>O39-((I39^2)/H39)</f>
        <v>8.1994238049335593</v>
      </c>
      <c r="E45" s="14">
        <f>_xlfn.CHISQ.DIST.RT(D45,C45)</f>
        <v>4.190369536505199E-3</v>
      </c>
      <c r="F45" s="38">
        <f>E45</f>
        <v>4.190369536505199E-3</v>
      </c>
      <c r="M45" s="19"/>
    </row>
    <row r="46" spans="1:16" ht="15.75" thickBot="1" x14ac:dyDescent="0.25">
      <c r="A46" s="55" t="s">
        <v>58</v>
      </c>
      <c r="B46" s="56"/>
      <c r="C46" s="15">
        <f>E50*(E51-2)</f>
        <v>14</v>
      </c>
      <c r="D46" s="21">
        <f>N39</f>
        <v>58.900947122104448</v>
      </c>
      <c r="E46" s="15">
        <f>_xlfn.CHISQ.DIST.RT(D46,C46)</f>
        <v>1.8268361579546077E-7</v>
      </c>
      <c r="F46" s="38">
        <f>E46</f>
        <v>1.8268361579546077E-7</v>
      </c>
      <c r="M46" s="19"/>
    </row>
    <row r="47" spans="1:16" x14ac:dyDescent="0.2">
      <c r="A47" s="53" t="s">
        <v>59</v>
      </c>
      <c r="B47" s="54"/>
      <c r="C47" s="13">
        <f>(E50*E51)-1</f>
        <v>17</v>
      </c>
      <c r="D47" s="13"/>
      <c r="E47" s="22"/>
      <c r="M47" s="19"/>
    </row>
    <row r="48" spans="1:16" ht="15.75" thickBot="1" x14ac:dyDescent="0.25">
      <c r="A48" s="55" t="s">
        <v>60</v>
      </c>
      <c r="B48" s="56"/>
      <c r="C48" s="15">
        <f>E50*E51*(E52-1)</f>
        <v>36</v>
      </c>
      <c r="D48" s="15"/>
      <c r="E48" s="15"/>
      <c r="M48" s="19"/>
    </row>
    <row r="49" spans="1:13" ht="15.75" thickBot="1" x14ac:dyDescent="0.25">
      <c r="A49" s="57" t="s">
        <v>61</v>
      </c>
      <c r="B49" s="58"/>
      <c r="C49" s="16">
        <f>(E50*E51*E52)-1</f>
        <v>53</v>
      </c>
      <c r="D49" s="16"/>
      <c r="E49" s="16"/>
      <c r="M49" s="19"/>
    </row>
    <row r="50" spans="1:13" ht="44.1" customHeight="1" x14ac:dyDescent="0.2">
      <c r="A50" s="80" t="s">
        <v>62</v>
      </c>
      <c r="B50" s="80"/>
      <c r="C50" s="80"/>
      <c r="D50" s="18" t="s">
        <v>64</v>
      </c>
      <c r="E50" s="4">
        <v>2</v>
      </c>
      <c r="M50" s="19"/>
    </row>
    <row r="51" spans="1:13" x14ac:dyDescent="0.2">
      <c r="A51" s="81" t="s">
        <v>63</v>
      </c>
      <c r="B51" s="81"/>
      <c r="C51" s="81"/>
      <c r="D51" s="17" t="s">
        <v>65</v>
      </c>
      <c r="E51" s="3">
        <v>9</v>
      </c>
      <c r="M51" s="19"/>
    </row>
    <row r="52" spans="1:13" ht="29.1" customHeight="1" x14ac:dyDescent="0.2">
      <c r="A52" s="76" t="s">
        <v>66</v>
      </c>
      <c r="B52" s="76"/>
      <c r="C52" s="76"/>
      <c r="D52" s="17" t="s">
        <v>7</v>
      </c>
      <c r="E52" s="3">
        <v>3</v>
      </c>
    </row>
  </sheetData>
  <mergeCells count="19">
    <mergeCell ref="A44:B44"/>
    <mergeCell ref="A45:B45"/>
    <mergeCell ref="A13:P13"/>
    <mergeCell ref="A15:A24"/>
    <mergeCell ref="R1:T12"/>
    <mergeCell ref="U1:V1"/>
    <mergeCell ref="A52:C52"/>
    <mergeCell ref="F12:J12"/>
    <mergeCell ref="A12:E12"/>
    <mergeCell ref="A46:B46"/>
    <mergeCell ref="A47:B47"/>
    <mergeCell ref="A48:B48"/>
    <mergeCell ref="A49:B49"/>
    <mergeCell ref="A50:C50"/>
    <mergeCell ref="A51:C51"/>
    <mergeCell ref="A25:A34"/>
    <mergeCell ref="A35:O35"/>
    <mergeCell ref="A42:B42"/>
    <mergeCell ref="A43:B43"/>
  </mergeCells>
  <phoneticPr fontId="10"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162A4-A87D-496D-9061-F2F60A3F5D02}">
  <dimension ref="A1:R9"/>
  <sheetViews>
    <sheetView workbookViewId="0">
      <selection activeCell="O1" sqref="O1:R2"/>
    </sheetView>
  </sheetViews>
  <sheetFormatPr defaultRowHeight="15" x14ac:dyDescent="0.2"/>
  <cols>
    <col min="5" max="5" width="12.375" customWidth="1"/>
    <col min="8" max="8" width="9.81640625" bestFit="1" customWidth="1"/>
    <col min="9" max="9" width="9.55078125" customWidth="1"/>
    <col min="10" max="10" width="11.97265625" customWidth="1"/>
    <col min="11" max="11" width="10.4921875" customWidth="1"/>
    <col min="12" max="12" width="10.35546875" customWidth="1"/>
    <col min="13" max="13" width="10.22265625" customWidth="1"/>
  </cols>
  <sheetData>
    <row r="1" spans="1:18" ht="58.5" x14ac:dyDescent="0.2">
      <c r="A1" s="1" t="s">
        <v>74</v>
      </c>
      <c r="B1" s="1" t="s">
        <v>71</v>
      </c>
      <c r="C1" s="1" t="s">
        <v>75</v>
      </c>
      <c r="D1" s="1" t="s">
        <v>52</v>
      </c>
      <c r="E1" s="1" t="s">
        <v>72</v>
      </c>
      <c r="F1" s="1" t="s">
        <v>73</v>
      </c>
      <c r="G1" s="3" t="s">
        <v>78</v>
      </c>
      <c r="H1" s="3" t="s">
        <v>76</v>
      </c>
      <c r="I1" s="28" t="s">
        <v>79</v>
      </c>
      <c r="J1" s="1" t="s">
        <v>80</v>
      </c>
      <c r="K1" s="1" t="s">
        <v>82</v>
      </c>
      <c r="L1" s="1" t="s">
        <v>83</v>
      </c>
      <c r="M1" s="1" t="s">
        <v>81</v>
      </c>
      <c r="N1" s="1" t="s">
        <v>45</v>
      </c>
      <c r="O1" s="76" t="s">
        <v>84</v>
      </c>
      <c r="P1" s="76"/>
      <c r="Q1" s="76"/>
      <c r="R1" s="76"/>
    </row>
    <row r="2" spans="1:18" x14ac:dyDescent="0.2">
      <c r="A2" s="3">
        <v>18367</v>
      </c>
      <c r="B2" s="3">
        <v>17755</v>
      </c>
      <c r="C2" s="3">
        <v>19002</v>
      </c>
      <c r="D2" s="3">
        <v>20</v>
      </c>
      <c r="E2" s="3">
        <f>LN(A2)</f>
        <v>9.8183108551285354</v>
      </c>
      <c r="F2" s="3">
        <v>3777.7</v>
      </c>
      <c r="G2" s="3">
        <f>E2*F2</f>
        <v>37090.632917419069</v>
      </c>
      <c r="H2" s="2">
        <f>F2*((E2-$A$8)^2)</f>
        <v>0.36701430050153472</v>
      </c>
      <c r="I2" s="29">
        <f>A8</f>
        <v>9.8084542408794118</v>
      </c>
      <c r="J2" s="3">
        <f>SQRT(1/SUM(F2:F7))</f>
        <v>6.7313287459370482E-3</v>
      </c>
      <c r="K2" s="2">
        <f>I2-(M2*J2)</f>
        <v>9.7951266784287263</v>
      </c>
      <c r="L2" s="2">
        <f>I2+(M2*J2)</f>
        <v>9.8217818033300972</v>
      </c>
      <c r="M2" s="2">
        <f>_xlfn.T.INV.2T(0.05,N2)</f>
        <v>1.9799304050824413</v>
      </c>
      <c r="N2" s="3">
        <v>120</v>
      </c>
      <c r="O2" s="76"/>
      <c r="P2" s="76"/>
      <c r="Q2" s="76"/>
      <c r="R2" s="76"/>
    </row>
    <row r="3" spans="1:18" x14ac:dyDescent="0.2">
      <c r="A3" s="3">
        <v>18003</v>
      </c>
      <c r="B3" s="3">
        <v>17415</v>
      </c>
      <c r="C3" s="3">
        <v>18610</v>
      </c>
      <c r="D3" s="3">
        <v>20</v>
      </c>
      <c r="E3" s="3">
        <f t="shared" ref="E3:E7" si="0">LN(A3)</f>
        <v>9.7982936896576227</v>
      </c>
      <c r="F3" s="3">
        <v>3951.5</v>
      </c>
      <c r="G3" s="3">
        <f t="shared" ref="G3:G7" si="1">E3*F3</f>
        <v>38717.957514682093</v>
      </c>
      <c r="H3" s="2">
        <f t="shared" ref="H3:H7" si="2">F3*((E3-$A$8)^2)</f>
        <v>0.40794021966756172</v>
      </c>
      <c r="I3" s="30">
        <f>EXP(I2)</f>
        <v>18186.852845075122</v>
      </c>
      <c r="J3" s="30" t="s">
        <v>85</v>
      </c>
      <c r="K3" s="30">
        <f>EXP(K2)</f>
        <v>17946.07448629678</v>
      </c>
      <c r="L3" s="30">
        <f>EXP(L2)</f>
        <v>18430.861671781156</v>
      </c>
    </row>
    <row r="4" spans="1:18" x14ac:dyDescent="0.2">
      <c r="A4" s="3">
        <v>18064</v>
      </c>
      <c r="B4" s="3">
        <v>17319</v>
      </c>
      <c r="C4" s="3">
        <v>18838</v>
      </c>
      <c r="D4" s="3">
        <v>20</v>
      </c>
      <c r="E4" s="3">
        <f t="shared" si="0"/>
        <v>9.8016762863894424</v>
      </c>
      <c r="F4" s="3">
        <v>2462.5</v>
      </c>
      <c r="G4" s="3">
        <f t="shared" si="1"/>
        <v>24136.627855234001</v>
      </c>
      <c r="H4" s="2">
        <f t="shared" si="2"/>
        <v>0.11312889265518453</v>
      </c>
    </row>
    <row r="5" spans="1:18" x14ac:dyDescent="0.2">
      <c r="A5" s="3">
        <v>17832</v>
      </c>
      <c r="B5" s="3">
        <v>17253</v>
      </c>
      <c r="C5" s="3">
        <v>18429</v>
      </c>
      <c r="D5" s="3">
        <v>20</v>
      </c>
      <c r="E5" s="3">
        <f t="shared" si="0"/>
        <v>9.7887498750657045</v>
      </c>
      <c r="F5" s="3">
        <v>4003</v>
      </c>
      <c r="G5" s="3">
        <f t="shared" si="1"/>
        <v>39184.365749888013</v>
      </c>
      <c r="H5" s="2">
        <f t="shared" si="2"/>
        <v>1.5542129145779442</v>
      </c>
    </row>
    <row r="6" spans="1:18" x14ac:dyDescent="0.2">
      <c r="A6" s="3">
        <v>18635</v>
      </c>
      <c r="B6" s="3">
        <v>17959</v>
      </c>
      <c r="C6" s="3">
        <v>19339</v>
      </c>
      <c r="D6" s="3">
        <v>20</v>
      </c>
      <c r="E6" s="3">
        <f t="shared" si="0"/>
        <v>9.832796811913358</v>
      </c>
      <c r="F6" s="3">
        <v>3175.6</v>
      </c>
      <c r="G6" s="3">
        <f t="shared" si="1"/>
        <v>31225.02955591206</v>
      </c>
      <c r="H6" s="2">
        <f t="shared" si="2"/>
        <v>1.8817359638818527</v>
      </c>
    </row>
    <row r="7" spans="1:18" x14ac:dyDescent="0.2">
      <c r="A7" s="3">
        <v>18269</v>
      </c>
      <c r="B7" s="3">
        <v>17722</v>
      </c>
      <c r="C7" s="3">
        <v>18834</v>
      </c>
      <c r="D7" s="3">
        <v>20</v>
      </c>
      <c r="E7" s="3">
        <f t="shared" si="0"/>
        <v>9.8129609133365694</v>
      </c>
      <c r="F7" s="3">
        <v>4699.5</v>
      </c>
      <c r="G7" s="3">
        <f t="shared" si="1"/>
        <v>46116.009812225209</v>
      </c>
      <c r="H7" s="2">
        <f t="shared" si="2"/>
        <v>9.5447299141367126E-2</v>
      </c>
    </row>
    <row r="8" spans="1:18" ht="17.25" x14ac:dyDescent="0.2">
      <c r="A8" s="3">
        <f>(SUM(G2:G7)/SUM(F2:F7))</f>
        <v>9.8084542408794118</v>
      </c>
      <c r="B8" s="3" t="s">
        <v>77</v>
      </c>
      <c r="G8" s="6" t="s">
        <v>53</v>
      </c>
      <c r="H8" s="3">
        <f>SUM(H2:H7)</f>
        <v>4.4194795904254445</v>
      </c>
      <c r="J8" s="19"/>
    </row>
    <row r="9" spans="1:18" x14ac:dyDescent="0.2">
      <c r="G9" s="3" t="s">
        <v>10</v>
      </c>
      <c r="H9" s="2">
        <f>_xlfn.CHISQ.DIST.RT(H8,COUNT(A2:A7)-1)</f>
        <v>0.49072852832318603</v>
      </c>
    </row>
  </sheetData>
  <mergeCells count="1">
    <mergeCell ref="O1:R2"/>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4pl</vt:lpstr>
      <vt:lpstr>Averkieva</vt:lpstr>
      <vt:lpstr>weighted mean potency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Sergey Smirnov</dc:creator>
  <cp:lastModifiedBy>Sergey Smirnov</cp:lastModifiedBy>
  <dcterms:created xsi:type="dcterms:W3CDTF">2024-05-17T11:47:08Z</dcterms:created>
  <dcterms:modified xsi:type="dcterms:W3CDTF">2025-01-20T11:03:41Z</dcterms:modified>
</cp:coreProperties>
</file>