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nterface" sheetId="6" r:id="rId1"/>
    <sheet name="Calculations" sheetId="3" r:id="rId2"/>
    <sheet name="Data" sheetId="2" r:id="rId3"/>
  </sheets>
  <definedNames>
    <definedName name="Escalator">#REF!</definedName>
    <definedName name="Lifetim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 l="1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E24" i="3"/>
  <c r="C24" i="3"/>
  <c r="D24" i="3" s="1"/>
  <c r="H38" i="3" l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52" i="3"/>
  <c r="K7" i="6" s="1"/>
  <c r="F10" i="2" l="1"/>
  <c r="E10" i="2"/>
  <c r="D10" i="2"/>
  <c r="C10" i="2"/>
  <c r="C10" i="3"/>
  <c r="D22" i="6"/>
  <c r="C4" i="3"/>
  <c r="I10" i="2" l="1"/>
  <c r="G10" i="2"/>
  <c r="H10" i="2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58" i="3"/>
  <c r="I59" i="3"/>
  <c r="I60" i="3"/>
  <c r="I61" i="3"/>
  <c r="I62" i="3"/>
  <c r="I63" i="3"/>
  <c r="I64" i="3"/>
  <c r="I65" i="3"/>
  <c r="I66" i="3"/>
  <c r="I53" i="3"/>
  <c r="I54" i="3"/>
  <c r="I55" i="3"/>
  <c r="I56" i="3"/>
  <c r="I57" i="3"/>
  <c r="I52" i="3"/>
  <c r="E47" i="3"/>
  <c r="F47" i="3"/>
  <c r="G47" i="3"/>
  <c r="H47" i="3"/>
  <c r="D47" i="3"/>
  <c r="J10" i="2" l="1"/>
  <c r="C47" i="3"/>
  <c r="B34" i="3"/>
  <c r="B38" i="3"/>
  <c r="B31" i="3" l="1"/>
  <c r="D16" i="3"/>
  <c r="C16" i="3"/>
  <c r="B16" i="3"/>
  <c r="C31" i="3" l="1"/>
  <c r="E31" i="3" s="1"/>
  <c r="J31" i="3" s="1"/>
  <c r="D21" i="3"/>
  <c r="D20" i="3"/>
  <c r="C11" i="3"/>
  <c r="C6" i="3"/>
  <c r="C8" i="3"/>
  <c r="C5" i="3"/>
  <c r="C9" i="3"/>
  <c r="C7" i="3"/>
  <c r="C12" i="3" l="1"/>
  <c r="H23" i="2" l="1"/>
  <c r="D34" i="3" l="1"/>
  <c r="E21" i="3"/>
  <c r="D22" i="3"/>
  <c r="E22" i="3" s="1"/>
  <c r="D25" i="3"/>
  <c r="E25" i="3" s="1"/>
  <c r="E34" i="3" s="1"/>
  <c r="D26" i="3"/>
  <c r="E26" i="3" s="1"/>
  <c r="F34" i="3" s="1"/>
  <c r="D27" i="3"/>
  <c r="E27" i="3" s="1"/>
  <c r="G34" i="3" s="1"/>
  <c r="E20" i="3"/>
  <c r="E23" i="3" l="1"/>
  <c r="C34" i="3" s="1"/>
  <c r="M31" i="3" l="1"/>
  <c r="F4" i="3"/>
  <c r="J26" i="2"/>
  <c r="H6" i="3" s="1"/>
  <c r="I26" i="2"/>
  <c r="H8" i="3" s="1"/>
  <c r="H26" i="2"/>
  <c r="I4" i="3" s="1"/>
  <c r="J25" i="2"/>
  <c r="I25" i="2"/>
  <c r="H25" i="2"/>
  <c r="J24" i="2"/>
  <c r="G6" i="3" s="1"/>
  <c r="I24" i="2"/>
  <c r="G8" i="3" s="1"/>
  <c r="H24" i="2"/>
  <c r="G4" i="3" s="1"/>
  <c r="J23" i="2"/>
  <c r="F6" i="3" s="1"/>
  <c r="I23" i="2"/>
  <c r="F8" i="3" s="1"/>
  <c r="G23" i="2"/>
  <c r="F5" i="3" s="1"/>
  <c r="J22" i="2"/>
  <c r="E6" i="3" s="1"/>
  <c r="I22" i="2"/>
  <c r="E8" i="3" s="1"/>
  <c r="H22" i="2"/>
  <c r="E4" i="3" s="1"/>
  <c r="D18" i="2"/>
  <c r="F18" i="2" s="1"/>
  <c r="E17" i="2"/>
  <c r="D17" i="2"/>
  <c r="C17" i="2"/>
  <c r="D16" i="2"/>
  <c r="E15" i="2"/>
  <c r="D15" i="2"/>
  <c r="C15" i="2"/>
  <c r="E14" i="2"/>
  <c r="D14" i="2"/>
  <c r="C14" i="2"/>
  <c r="J9" i="2"/>
  <c r="D6" i="3" s="1"/>
  <c r="F8" i="2"/>
  <c r="E8" i="2"/>
  <c r="D8" i="2"/>
  <c r="C8" i="2"/>
  <c r="G7" i="2"/>
  <c r="J7" i="2" s="1"/>
  <c r="D8" i="3" s="1"/>
  <c r="F6" i="2"/>
  <c r="G26" i="2" s="1"/>
  <c r="I5" i="3" s="1"/>
  <c r="F5" i="2"/>
  <c r="E24" i="2" s="1"/>
  <c r="F4" i="2"/>
  <c r="C26" i="2" s="1"/>
  <c r="I7" i="3" s="1"/>
  <c r="D4" i="2"/>
  <c r="C4" i="2"/>
  <c r="C22" i="2" l="1"/>
  <c r="E7" i="3" s="1"/>
  <c r="H4" i="3"/>
  <c r="G4" i="2"/>
  <c r="H8" i="2"/>
  <c r="I4" i="2"/>
  <c r="H4" i="2"/>
  <c r="I8" i="2"/>
  <c r="E23" i="2"/>
  <c r="G5" i="2"/>
  <c r="D24" i="2"/>
  <c r="F24" i="2" s="1"/>
  <c r="K24" i="2" s="1"/>
  <c r="G6" i="2"/>
  <c r="C25" i="2"/>
  <c r="E25" i="2"/>
  <c r="D25" i="2"/>
  <c r="D22" i="2"/>
  <c r="F14" i="2"/>
  <c r="G8" i="2"/>
  <c r="C23" i="2"/>
  <c r="F7" i="3" s="1"/>
  <c r="I8" i="3"/>
  <c r="H7" i="3"/>
  <c r="I6" i="3"/>
  <c r="H5" i="3"/>
  <c r="L31" i="3"/>
  <c r="F31" i="3"/>
  <c r="K31" i="3"/>
  <c r="H31" i="3"/>
  <c r="G31" i="3"/>
  <c r="I5" i="2"/>
  <c r="F16" i="2"/>
  <c r="F17" i="2"/>
  <c r="D26" i="2"/>
  <c r="H6" i="2"/>
  <c r="E22" i="2"/>
  <c r="D23" i="2"/>
  <c r="C24" i="2"/>
  <c r="G7" i="3" s="1"/>
  <c r="G24" i="2"/>
  <c r="G5" i="3" s="1"/>
  <c r="E26" i="2"/>
  <c r="I6" i="2"/>
  <c r="F15" i="2"/>
  <c r="G25" i="2"/>
  <c r="H5" i="2"/>
  <c r="G22" i="2"/>
  <c r="E5" i="3" s="1"/>
  <c r="J4" i="2" l="1"/>
  <c r="D7" i="3" s="1"/>
  <c r="F22" i="2"/>
  <c r="J5" i="2"/>
  <c r="D9" i="3" s="1"/>
  <c r="F25" i="2"/>
  <c r="K25" i="2" s="1"/>
  <c r="J8" i="2"/>
  <c r="D4" i="3" s="1"/>
  <c r="K16" i="3" s="1"/>
  <c r="B41" i="3" s="1"/>
  <c r="C41" i="3" s="1"/>
  <c r="K12" i="6" s="1"/>
  <c r="J6" i="2"/>
  <c r="D5" i="3" s="1"/>
  <c r="F23" i="2"/>
  <c r="G9" i="3"/>
  <c r="G11" i="3"/>
  <c r="E11" i="3"/>
  <c r="I31" i="3"/>
  <c r="F26" i="2"/>
  <c r="K26" i="2" s="1"/>
  <c r="F9" i="3" l="1"/>
  <c r="K23" i="2"/>
  <c r="E9" i="3"/>
  <c r="E12" i="3" s="1"/>
  <c r="F16" i="3" s="1"/>
  <c r="K22" i="2"/>
  <c r="D11" i="3"/>
  <c r="D12" i="3" s="1"/>
  <c r="E16" i="3" s="1"/>
  <c r="L16" i="3" s="1"/>
  <c r="C38" i="3" s="1"/>
  <c r="F11" i="3"/>
  <c r="G12" i="3"/>
  <c r="H16" i="3" s="1"/>
  <c r="F38" i="3" s="1"/>
  <c r="L38" i="3" s="1"/>
  <c r="I11" i="3"/>
  <c r="I9" i="3"/>
  <c r="H9" i="3"/>
  <c r="H11" i="3"/>
  <c r="P77" i="3"/>
  <c r="P73" i="3"/>
  <c r="P58" i="3"/>
  <c r="P66" i="3"/>
  <c r="P72" i="3"/>
  <c r="P60" i="3"/>
  <c r="P74" i="3"/>
  <c r="P80" i="3"/>
  <c r="P71" i="3"/>
  <c r="P67" i="3"/>
  <c r="P64" i="3"/>
  <c r="P55" i="3"/>
  <c r="P52" i="3"/>
  <c r="P75" i="3"/>
  <c r="P78" i="3"/>
  <c r="P59" i="3"/>
  <c r="P56" i="3"/>
  <c r="P68" i="3"/>
  <c r="P79" i="3"/>
  <c r="P76" i="3"/>
  <c r="P70" i="3"/>
  <c r="P61" i="3"/>
  <c r="P57" i="3"/>
  <c r="P81" i="3"/>
  <c r="P63" i="3"/>
  <c r="P54" i="3"/>
  <c r="P69" i="3"/>
  <c r="P65" i="3"/>
  <c r="P62" i="3"/>
  <c r="P53" i="3"/>
  <c r="D38" i="3" l="1"/>
  <c r="J38" i="3" s="1"/>
  <c r="I38" i="3"/>
  <c r="K11" i="6" s="1"/>
  <c r="F12" i="3"/>
  <c r="G16" i="3" s="1"/>
  <c r="P82" i="3"/>
  <c r="K8" i="6" s="1"/>
  <c r="I12" i="3"/>
  <c r="J16" i="3" s="1"/>
  <c r="H12" i="3"/>
  <c r="I16" i="3" s="1"/>
  <c r="F46" i="3"/>
  <c r="F48" i="3" s="1"/>
  <c r="F52" i="3" s="1"/>
  <c r="G46" i="3"/>
  <c r="G48" i="3" s="1"/>
  <c r="G79" i="3" s="1"/>
  <c r="E38" i="3" l="1"/>
  <c r="K38" i="3" s="1"/>
  <c r="G38" i="3"/>
  <c r="C46" i="3"/>
  <c r="C48" i="3" s="1"/>
  <c r="D46" i="3"/>
  <c r="D48" i="3" s="1"/>
  <c r="G57" i="3"/>
  <c r="F53" i="3"/>
  <c r="F66" i="3"/>
  <c r="F78" i="3"/>
  <c r="F73" i="3"/>
  <c r="G77" i="3"/>
  <c r="G63" i="3"/>
  <c r="G52" i="3"/>
  <c r="F62" i="3"/>
  <c r="F71" i="3"/>
  <c r="G73" i="3"/>
  <c r="G65" i="3"/>
  <c r="F54" i="3"/>
  <c r="F68" i="3"/>
  <c r="G80" i="3"/>
  <c r="G59" i="3"/>
  <c r="F59" i="3"/>
  <c r="F69" i="3"/>
  <c r="G75" i="3"/>
  <c r="G55" i="3"/>
  <c r="F55" i="3"/>
  <c r="F75" i="3"/>
  <c r="G74" i="3"/>
  <c r="G78" i="3"/>
  <c r="F61" i="3"/>
  <c r="F60" i="3"/>
  <c r="F70" i="3"/>
  <c r="G81" i="3"/>
  <c r="G61" i="3"/>
  <c r="F57" i="3"/>
  <c r="F81" i="3"/>
  <c r="F77" i="3"/>
  <c r="G71" i="3"/>
  <c r="G53" i="3"/>
  <c r="G64" i="3"/>
  <c r="G70" i="3"/>
  <c r="G66" i="3"/>
  <c r="F56" i="3"/>
  <c r="F64" i="3"/>
  <c r="F79" i="3"/>
  <c r="F67" i="3"/>
  <c r="G68" i="3"/>
  <c r="G62" i="3"/>
  <c r="F65" i="3"/>
  <c r="F63" i="3"/>
  <c r="F74" i="3"/>
  <c r="F76" i="3"/>
  <c r="G76" i="3"/>
  <c r="G58" i="3"/>
  <c r="G60" i="3"/>
  <c r="G72" i="3"/>
  <c r="G69" i="3"/>
  <c r="G54" i="3"/>
  <c r="G56" i="3"/>
  <c r="F58" i="3"/>
  <c r="F72" i="3"/>
  <c r="F80" i="3"/>
  <c r="G67" i="3"/>
  <c r="D79" i="3" l="1"/>
  <c r="D67" i="3"/>
  <c r="D63" i="3"/>
  <c r="D74" i="3"/>
  <c r="D76" i="3"/>
  <c r="D73" i="3"/>
  <c r="D53" i="3"/>
  <c r="D75" i="3"/>
  <c r="D65" i="3"/>
  <c r="D77" i="3"/>
  <c r="D68" i="3"/>
  <c r="D60" i="3"/>
  <c r="D54" i="3"/>
  <c r="D61" i="3"/>
  <c r="D56" i="3"/>
  <c r="D55" i="3"/>
  <c r="D80" i="3"/>
  <c r="D59" i="3"/>
  <c r="D62" i="3"/>
  <c r="D57" i="3"/>
  <c r="D52" i="3"/>
  <c r="D64" i="3"/>
  <c r="D69" i="3"/>
  <c r="D70" i="3"/>
  <c r="D78" i="3"/>
  <c r="D81" i="3"/>
  <c r="D72" i="3"/>
  <c r="D66" i="3"/>
  <c r="D58" i="3"/>
  <c r="D71" i="3"/>
  <c r="M38" i="3"/>
  <c r="H46" i="3"/>
  <c r="H48" i="3" s="1"/>
  <c r="C71" i="3"/>
  <c r="J71" i="3" s="1"/>
  <c r="C56" i="3"/>
  <c r="J56" i="3" s="1"/>
  <c r="C58" i="3"/>
  <c r="J58" i="3" s="1"/>
  <c r="C81" i="3"/>
  <c r="J81" i="3" s="1"/>
  <c r="C53" i="3"/>
  <c r="J53" i="3" s="1"/>
  <c r="C67" i="3"/>
  <c r="J67" i="3" s="1"/>
  <c r="C72" i="3"/>
  <c r="J72" i="3" s="1"/>
  <c r="C52" i="3"/>
  <c r="J52" i="3" s="1"/>
  <c r="J82" i="3" s="1"/>
  <c r="K13" i="6" s="1"/>
  <c r="C55" i="3"/>
  <c r="J55" i="3" s="1"/>
  <c r="C79" i="3"/>
  <c r="J79" i="3" s="1"/>
  <c r="C80" i="3"/>
  <c r="J80" i="3" s="1"/>
  <c r="C62" i="3"/>
  <c r="J62" i="3" s="1"/>
  <c r="C59" i="3"/>
  <c r="J59" i="3" s="1"/>
  <c r="C74" i="3"/>
  <c r="J74" i="3" s="1"/>
  <c r="C64" i="3"/>
  <c r="J64" i="3" s="1"/>
  <c r="C69" i="3"/>
  <c r="J69" i="3" s="1"/>
  <c r="C65" i="3"/>
  <c r="J65" i="3" s="1"/>
  <c r="C66" i="3"/>
  <c r="J66" i="3" s="1"/>
  <c r="C61" i="3"/>
  <c r="J61" i="3" s="1"/>
  <c r="C57" i="3"/>
  <c r="J57" i="3" s="1"/>
  <c r="C68" i="3"/>
  <c r="J68" i="3" s="1"/>
  <c r="C76" i="3"/>
  <c r="J76" i="3" s="1"/>
  <c r="C54" i="3"/>
  <c r="J54" i="3" s="1"/>
  <c r="C78" i="3"/>
  <c r="J78" i="3" s="1"/>
  <c r="C70" i="3"/>
  <c r="J70" i="3" s="1"/>
  <c r="C73" i="3"/>
  <c r="J73" i="3" s="1"/>
  <c r="C63" i="3"/>
  <c r="J63" i="3" s="1"/>
  <c r="C75" i="3"/>
  <c r="J75" i="3" s="1"/>
  <c r="C77" i="3"/>
  <c r="J77" i="3" s="1"/>
  <c r="C60" i="3"/>
  <c r="J60" i="3" s="1"/>
  <c r="E46" i="3"/>
  <c r="E48" i="3" s="1"/>
  <c r="E68" i="3" l="1"/>
  <c r="E62" i="3"/>
  <c r="E76" i="3"/>
  <c r="E78" i="3"/>
  <c r="E72" i="3"/>
  <c r="E56" i="3"/>
  <c r="E61" i="3"/>
  <c r="E54" i="3"/>
  <c r="E53" i="3"/>
  <c r="E73" i="3"/>
  <c r="E52" i="3"/>
  <c r="E81" i="3"/>
  <c r="E66" i="3"/>
  <c r="E65" i="3"/>
  <c r="E79" i="3"/>
  <c r="E63" i="3"/>
  <c r="E59" i="3"/>
  <c r="E75" i="3"/>
  <c r="E70" i="3"/>
  <c r="E55" i="3"/>
  <c r="E74" i="3"/>
  <c r="E80" i="3"/>
  <c r="E77" i="3"/>
  <c r="E60" i="3"/>
  <c r="E71" i="3"/>
  <c r="E57" i="3"/>
  <c r="E58" i="3"/>
  <c r="E67" i="3"/>
  <c r="E69" i="3"/>
  <c r="E64" i="3"/>
  <c r="H66" i="3"/>
  <c r="H78" i="3"/>
  <c r="H58" i="3"/>
  <c r="H75" i="3"/>
  <c r="H60" i="3"/>
  <c r="H63" i="3"/>
  <c r="H65" i="3"/>
  <c r="H79" i="3"/>
  <c r="H64" i="3"/>
  <c r="H55" i="3"/>
  <c r="H71" i="3"/>
  <c r="H57" i="3"/>
  <c r="H67" i="3"/>
  <c r="H74" i="3"/>
  <c r="H68" i="3"/>
  <c r="H52" i="3"/>
  <c r="H62" i="3"/>
  <c r="H81" i="3"/>
  <c r="H54" i="3"/>
  <c r="H73" i="3"/>
  <c r="H72" i="3"/>
  <c r="H77" i="3"/>
  <c r="H59" i="3"/>
  <c r="H69" i="3"/>
  <c r="H61" i="3"/>
  <c r="H80" i="3"/>
  <c r="H76" i="3"/>
  <c r="H53" i="3"/>
  <c r="H70" i="3"/>
  <c r="H56" i="3"/>
  <c r="K67" i="3" l="1"/>
  <c r="K58" i="3"/>
  <c r="K76" i="3"/>
  <c r="K55" i="3"/>
  <c r="K81" i="3"/>
  <c r="K78" i="3"/>
  <c r="K60" i="3"/>
  <c r="K73" i="3"/>
  <c r="K62" i="3"/>
  <c r="K53" i="3"/>
  <c r="K70" i="3"/>
  <c r="K75" i="3"/>
  <c r="K68" i="3"/>
  <c r="K54" i="3"/>
  <c r="K61" i="3"/>
  <c r="K74" i="3"/>
  <c r="K59" i="3"/>
  <c r="K64" i="3"/>
  <c r="K80" i="3"/>
  <c r="K65" i="3"/>
  <c r="K56" i="3"/>
  <c r="K52" i="3"/>
  <c r="K57" i="3"/>
  <c r="K71" i="3"/>
  <c r="K63" i="3"/>
  <c r="K77" i="3"/>
  <c r="K79" i="3"/>
  <c r="K69" i="3"/>
  <c r="K66" i="3"/>
  <c r="K72" i="3"/>
  <c r="K82" i="3" l="1"/>
  <c r="K14" i="6" s="1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solar, small hydro, wind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https://www.eia.gov/totalenergy/data/annual/pdf/sec17.pdf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be an underestimate http://geo-energy.org/reports/GeothermalGreenhouseEmissionsNov2012GEA_web.pdf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http://www.c2es.org/technology/factsheet/hydropower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CO2e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Taylor:
https://www.epa.gov/sites/production/files/2016-03/documents/stationaryemissions_3_2016.pdf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Taylor:
https://www.eia.gov/totalenergy/data/annual/pdf/sec17.pdf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natural gas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 of all coal types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https://www3.epa.gov/ttn/chief/ap42/ch01/final/c01s04.pdf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https://www3.epa.gov/ttn/chief/ap42/ch01/final/c01s04.pdf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 of boiler and turbine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https://energy.gov/eere/geothermal/geothermal-power-plants-meeting-clean-air-standards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FGR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average, uncontrolled, 1% sulfur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ignore hand fed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 of all coal types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https://www3.epa.gov/ttn/chief/ap42/ch01/final/c01s04.pdf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https://www3.epa.gov/ttn/chief/ap42/ch01/final/c01s04.pdf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 of boiler and turbine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https://energy.gov/eere/geothermal/geothermal-power-plants-meeting-clean-air-standards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FGR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average, uncontrolled, 1% sulfur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ignore hand fed</t>
        </r>
      </text>
    </comment>
  </commentList>
</comments>
</file>

<file path=xl/sharedStrings.xml><?xml version="1.0" encoding="utf-8"?>
<sst xmlns="http://schemas.openxmlformats.org/spreadsheetml/2006/main" count="235" uniqueCount="166">
  <si>
    <t>Annual space heating requirement (BTU/yr)</t>
  </si>
  <si>
    <t>Heat content of natural gas (BTU/cf)</t>
  </si>
  <si>
    <t>Annual NG usage (million scf/yr)</t>
  </si>
  <si>
    <t>USEPA average heating value</t>
  </si>
  <si>
    <t>NOx (lb/10^6 scf)</t>
  </si>
  <si>
    <t>SOx (lb/10^6 scf)</t>
  </si>
  <si>
    <t>PM (lb/10^6 scf)</t>
  </si>
  <si>
    <t>VOC (lb/10^6 scf)</t>
  </si>
  <si>
    <t>lb CO2/10^6 scf</t>
  </si>
  <si>
    <t>lb CH4/10^6 scf</t>
  </si>
  <si>
    <t>lb CO2/yr</t>
  </si>
  <si>
    <t>lb CH4/yr</t>
  </si>
  <si>
    <t>lb N2O/yr</t>
  </si>
  <si>
    <t>GHG Emission Factors</t>
  </si>
  <si>
    <t>Coal</t>
  </si>
  <si>
    <t>kg CO2/MMBTU</t>
  </si>
  <si>
    <t>kg CH4/MMBTU</t>
  </si>
  <si>
    <t>kg N2O/MMBTU</t>
  </si>
  <si>
    <t>Heat Rate (MMBTU/kWh)</t>
  </si>
  <si>
    <t>kg CO2/kWh</t>
  </si>
  <si>
    <t>kg CH4/kWH</t>
  </si>
  <si>
    <t>kg N2O/kWh</t>
  </si>
  <si>
    <t>kg CO2e/kWh</t>
  </si>
  <si>
    <t xml:space="preserve">100 yr Global Warming Potentials </t>
  </si>
  <si>
    <t>CO2</t>
  </si>
  <si>
    <t>Natural Gas</t>
  </si>
  <si>
    <t>Methane</t>
  </si>
  <si>
    <t>Geothermal</t>
  </si>
  <si>
    <t>Nitrous Oxide</t>
  </si>
  <si>
    <t>Large Hydro</t>
  </si>
  <si>
    <t>NA</t>
  </si>
  <si>
    <t>Fuel</t>
  </si>
  <si>
    <t>Heat Rate (BTU/kWh)</t>
  </si>
  <si>
    <t>Biomass</t>
  </si>
  <si>
    <t>Other Renewable</t>
  </si>
  <si>
    <t>Unspecified Sources</t>
  </si>
  <si>
    <t>Petroleum</t>
  </si>
  <si>
    <t>kg/lb</t>
  </si>
  <si>
    <t>Criteria Pollutant Emission Factors (lb/MMBTU)</t>
  </si>
  <si>
    <t>Criteria Pollutants</t>
  </si>
  <si>
    <t>Natural Gas (boiler)</t>
  </si>
  <si>
    <t>Natural Gas (turbine)</t>
  </si>
  <si>
    <t>CO (lb/MMBTU)</t>
  </si>
  <si>
    <t>VOC (lb/MMBTU)</t>
  </si>
  <si>
    <t>Criteria Pollutant Emission Factors (kg/kWh)</t>
  </si>
  <si>
    <t>SOx (kg/kWh)</t>
  </si>
  <si>
    <t>PM (kg/kWh)</t>
  </si>
  <si>
    <t>CO (kg/kWh)</t>
  </si>
  <si>
    <t>VOC (kg/kWh)</t>
  </si>
  <si>
    <t xml:space="preserve">Note green highlighted cells are the values that ultimately get used in the model. </t>
  </si>
  <si>
    <t>Fuel Type</t>
  </si>
  <si>
    <t>Percentage</t>
  </si>
  <si>
    <t>GHG Emission Factor (kg CO2e/kWh)</t>
  </si>
  <si>
    <t>NOx Emission Factor (kg NOx/kWh)</t>
  </si>
  <si>
    <t>SOx Emission Factor (kg SOx/kWh)</t>
  </si>
  <si>
    <t>PM Emission Factor (kg PM/kWh)</t>
  </si>
  <si>
    <t>CO Emission Factor (kg CO2e/kWh)</t>
  </si>
  <si>
    <t>VOC Emission Factor (kg VOC/kWh)</t>
  </si>
  <si>
    <t>kg/ton</t>
  </si>
  <si>
    <t>Total</t>
  </si>
  <si>
    <t>GHG Emissions (tons CO2e/yr)</t>
  </si>
  <si>
    <t>SOx Emissions (tons Sox/yr)</t>
  </si>
  <si>
    <t>PM Emissions (tons PM/yr)</t>
  </si>
  <si>
    <t>CO Emissions (tons CO/yr)</t>
  </si>
  <si>
    <t>VOC Emissions (tons VOC/yr)</t>
  </si>
  <si>
    <t>Annual kWh/HP</t>
  </si>
  <si>
    <t>NG Furnace emission factors</t>
  </si>
  <si>
    <t>Net Emission Reduction</t>
  </si>
  <si>
    <t>lb/10^6 scf</t>
  </si>
  <si>
    <t>lb/MMBTU</t>
  </si>
  <si>
    <t>lb/BTU</t>
  </si>
  <si>
    <t>gram/lb</t>
  </si>
  <si>
    <t>lb/ton</t>
  </si>
  <si>
    <t>ng/g</t>
  </si>
  <si>
    <t>Heat Pump Lifetime (years)</t>
  </si>
  <si>
    <t>GHG Emissions (tons CO2e)</t>
  </si>
  <si>
    <t>NOx Emissions (tons NOx)</t>
  </si>
  <si>
    <t>SOx Emissions (tons SOx)</t>
  </si>
  <si>
    <t>PM Emissions (tons PM)</t>
  </si>
  <si>
    <t>VOC Emissions (tons VOC)</t>
  </si>
  <si>
    <t>NOx (2016 USD/ton)</t>
  </si>
  <si>
    <t>SOx (2016 USD/ton)</t>
  </si>
  <si>
    <t>PM2.5 (2016 USD/ton)</t>
  </si>
  <si>
    <t>PM10 (2016 USD/ton)</t>
  </si>
  <si>
    <t>VOC (2016 USD/ton)</t>
  </si>
  <si>
    <t>N/A</t>
  </si>
  <si>
    <t>Low</t>
  </si>
  <si>
    <t>Average</t>
  </si>
  <si>
    <t>High</t>
  </si>
  <si>
    <t>lb CO2e/10^6 scf</t>
  </si>
  <si>
    <t>CCE Agency Baseline Inputs</t>
  </si>
  <si>
    <t>Transmission losses (%)</t>
  </si>
  <si>
    <t>Rebound effect (%)</t>
  </si>
  <si>
    <t>Agency's discount rate (%)</t>
  </si>
  <si>
    <t>Carbon value ($/ton CO2e)</t>
  </si>
  <si>
    <t>Health impact level</t>
  </si>
  <si>
    <t>Mid</t>
  </si>
  <si>
    <t>Energy Mix</t>
  </si>
  <si>
    <t>Large Hydropower</t>
  </si>
  <si>
    <t>Natural gas</t>
  </si>
  <si>
    <t>Nuclear</t>
  </si>
  <si>
    <t>Unspecified</t>
  </si>
  <si>
    <t xml:space="preserve">Sum </t>
  </si>
  <si>
    <t>Predicted Program Results</t>
  </si>
  <si>
    <t>GHG and Health Effects</t>
  </si>
  <si>
    <t>Other Eligible renewable</t>
  </si>
  <si>
    <t>Average Energy Usage of heat pumps (kWh/yr)</t>
  </si>
  <si>
    <t>Heat Pumps</t>
  </si>
  <si>
    <t>Expected Heat Pumps Installed</t>
  </si>
  <si>
    <t>Emission limit of gas furnaces replaced (ng/J)</t>
  </si>
  <si>
    <t>Average heat content of natural gas (BTU/cf)</t>
  </si>
  <si>
    <t>Conversions</t>
  </si>
  <si>
    <t>Annual Heat Pump Emissions</t>
  </si>
  <si>
    <t>Percent net revenue from electricity sales (%)</t>
  </si>
  <si>
    <t>SOx Emissions (tons SOx/yr)</t>
  </si>
  <si>
    <t>Transmission loss</t>
  </si>
  <si>
    <t>Rebound Effect</t>
  </si>
  <si>
    <t>Annual Benefit of Avoided Emissions</t>
  </si>
  <si>
    <t>$/ton</t>
  </si>
  <si>
    <t>Unit</t>
  </si>
  <si>
    <t>CO2e</t>
  </si>
  <si>
    <t>NOx</t>
  </si>
  <si>
    <t>SOx</t>
  </si>
  <si>
    <t>PM10</t>
  </si>
  <si>
    <t>PM2.5</t>
  </si>
  <si>
    <t>tons/yr</t>
  </si>
  <si>
    <t>$/year</t>
  </si>
  <si>
    <t>Quantity of Heat Pumps Installed</t>
  </si>
  <si>
    <t>Emissions from Central Warm Air Natural Gas Furnace</t>
  </si>
  <si>
    <t>VOC</t>
  </si>
  <si>
    <t>Present Benefit of Avoided Emissions</t>
  </si>
  <si>
    <t>Year</t>
  </si>
  <si>
    <t>CO2e ($/yr)</t>
  </si>
  <si>
    <t>NOx ($/yr)</t>
  </si>
  <si>
    <t>SOx ($/yr)</t>
  </si>
  <si>
    <t>Discount Rate (%)</t>
  </si>
  <si>
    <t>Present CO2e ($/yr)</t>
  </si>
  <si>
    <t>Criteria Pollutants ($/yr)</t>
  </si>
  <si>
    <t>Total Present Value ($)</t>
  </si>
  <si>
    <t>Societal discount rate (%)</t>
  </si>
  <si>
    <t>Expected Heat Pump Lifetime</t>
  </si>
  <si>
    <t>NOx standard (ng/J)</t>
  </si>
  <si>
    <t>Present Benefit of Net Revenue from Electricity Sales</t>
  </si>
  <si>
    <t>Retail electricity generation rate ($/kWh)</t>
  </si>
  <si>
    <t>Biogenic GHG Emissions (tons CO2e/yr)</t>
  </si>
  <si>
    <t>Anthropogenic GHG Emissions (tons CO2e/yr)</t>
  </si>
  <si>
    <t>Annual Biogenic Emissions (tons CO2e/yr)</t>
  </si>
  <si>
    <t>Total Biogenic CO2e emissions (tons/CO2e)</t>
  </si>
  <si>
    <t>Basic Agency and Program Information</t>
  </si>
  <si>
    <t>Additional Agency, Energy, and Program Information</t>
  </si>
  <si>
    <t>Total Lifetime Biogenic GHG emissions</t>
  </si>
  <si>
    <t>Total Lifetime Anthropogenic GHG emissions avoided (tons)</t>
  </si>
  <si>
    <t>Monetized Values</t>
  </si>
  <si>
    <t>Average Space Heating requirement (BTU/yr)</t>
  </si>
  <si>
    <t>Electricity Generation Emission Factors</t>
  </si>
  <si>
    <t>NOx Emissions (tons NOx/yr)</t>
  </si>
  <si>
    <t>lb N2O/10^6 scf</t>
  </si>
  <si>
    <t>NOx (lb/MMBTU)</t>
  </si>
  <si>
    <t>SOx (lb/MMBtu)</t>
  </si>
  <si>
    <t>PM (lb/MMBtu)</t>
  </si>
  <si>
    <t>NOx (kg/kWh)</t>
  </si>
  <si>
    <t>Present Value of Health improvements ($)</t>
  </si>
  <si>
    <t>Present Value of GHG emission reductions ($)</t>
  </si>
  <si>
    <t>Annual Net Revenue from Electricity Sales ($)</t>
  </si>
  <si>
    <t>Net Present Value of Revenue from Additional Electricity Sales ($)</t>
  </si>
  <si>
    <t xml:space="preserve">Summary of health costs of criteria pollutants from various studies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</si>
</sst>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0.0%"/>
    <numFmt numFmtId="166" formatCode="0.00000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5"/>
      <name val="Aharoni"/>
      <charset val="177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136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/>
    <xf numFmtId="0" fontId="1" fillId="0" borderId="0" xfId="1" applyFont="1"/>
    <xf numFmtId="0" fontId="1" fillId="2" borderId="1" xfId="1" applyFont="1" applyFill="1" applyBorder="1" applyAlignment="1">
      <alignment wrapText="1"/>
    </xf>
    <xf numFmtId="0" fontId="1" fillId="2" borderId="2" xfId="1" applyFont="1" applyFill="1" applyBorder="1" applyAlignment="1">
      <alignment wrapText="1"/>
    </xf>
    <xf numFmtId="0" fontId="1" fillId="2" borderId="3" xfId="1" applyFont="1" applyFill="1" applyBorder="1" applyAlignment="1">
      <alignment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/>
    <xf numFmtId="0" fontId="2" fillId="0" borderId="2" xfId="1" applyFont="1" applyBorder="1" applyAlignment="1">
      <alignment wrapText="1"/>
    </xf>
    <xf numFmtId="164" fontId="2" fillId="3" borderId="4" xfId="1" applyNumberFormat="1" applyFont="1" applyFill="1" applyBorder="1" applyAlignment="1">
      <alignment wrapText="1"/>
    </xf>
    <xf numFmtId="0" fontId="2" fillId="0" borderId="1" xfId="1" applyFont="1" applyBorder="1" applyAlignment="1">
      <alignment horizontal="right" wrapText="1"/>
    </xf>
    <xf numFmtId="164" fontId="2" fillId="3" borderId="5" xfId="1" applyNumberFormat="1" applyFont="1" applyFill="1" applyBorder="1" applyAlignment="1">
      <alignment wrapText="1"/>
    </xf>
    <xf numFmtId="0" fontId="1" fillId="0" borderId="0" xfId="1" applyFont="1" applyAlignment="1"/>
    <xf numFmtId="0" fontId="1" fillId="2" borderId="6" xfId="1" applyFont="1" applyFill="1" applyBorder="1" applyAlignment="1">
      <alignment wrapText="1"/>
    </xf>
    <xf numFmtId="0" fontId="1" fillId="2" borderId="7" xfId="1" applyFont="1" applyFill="1" applyBorder="1" applyAlignment="1">
      <alignment wrapText="1"/>
    </xf>
    <xf numFmtId="0" fontId="1" fillId="2" borderId="8" xfId="1" applyFont="1" applyFill="1" applyBorder="1" applyAlignment="1">
      <alignment wrapText="1"/>
    </xf>
    <xf numFmtId="0" fontId="2" fillId="0" borderId="9" xfId="1" applyFont="1" applyBorder="1" applyAlignment="1">
      <alignment wrapText="1"/>
    </xf>
    <xf numFmtId="11" fontId="2" fillId="3" borderId="1" xfId="1" applyNumberFormat="1" applyFont="1" applyFill="1" applyBorder="1" applyAlignment="1">
      <alignment wrapText="1"/>
    </xf>
    <xf numFmtId="11" fontId="2" fillId="0" borderId="1" xfId="1" applyNumberFormat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11" fontId="2" fillId="3" borderId="10" xfId="1" applyNumberFormat="1" applyFont="1" applyFill="1" applyBorder="1" applyAlignment="1">
      <alignment wrapText="1"/>
    </xf>
    <xf numFmtId="0" fontId="2" fillId="0" borderId="11" xfId="1" applyFont="1" applyBorder="1" applyAlignment="1">
      <alignment wrapText="1"/>
    </xf>
    <xf numFmtId="11" fontId="2" fillId="3" borderId="12" xfId="1" applyNumberFormat="1" applyFont="1" applyFill="1" applyBorder="1" applyAlignment="1">
      <alignment wrapText="1"/>
    </xf>
    <xf numFmtId="11" fontId="2" fillId="0" borderId="12" xfId="1" applyNumberFormat="1" applyFont="1" applyFill="1" applyBorder="1" applyAlignment="1">
      <alignment wrapText="1"/>
    </xf>
    <xf numFmtId="0" fontId="2" fillId="3" borderId="12" xfId="1" applyFont="1" applyFill="1" applyBorder="1" applyAlignment="1">
      <alignment wrapText="1"/>
    </xf>
    <xf numFmtId="11" fontId="2" fillId="3" borderId="13" xfId="1" applyNumberFormat="1" applyFont="1" applyFill="1" applyBorder="1" applyAlignment="1">
      <alignment wrapText="1"/>
    </xf>
    <xf numFmtId="0" fontId="2" fillId="0" borderId="0" xfId="1" applyFont="1" applyFill="1" applyBorder="1" applyAlignment="1"/>
    <xf numFmtId="0" fontId="6" fillId="2" borderId="1" xfId="1" applyFont="1" applyFill="1" applyBorder="1" applyAlignment="1">
      <alignment wrapText="1"/>
    </xf>
    <xf numFmtId="11" fontId="7" fillId="0" borderId="1" xfId="1" applyNumberFormat="1" applyFont="1" applyBorder="1"/>
    <xf numFmtId="9" fontId="2" fillId="0" borderId="1" xfId="1" applyNumberFormat="1" applyFont="1" applyBorder="1"/>
    <xf numFmtId="0" fontId="2" fillId="0" borderId="0" xfId="1" applyFont="1" applyBorder="1" applyAlignment="1">
      <alignment wrapText="1"/>
    </xf>
    <xf numFmtId="9" fontId="2" fillId="0" borderId="0" xfId="1" applyNumberFormat="1" applyFont="1" applyBorder="1"/>
    <xf numFmtId="0" fontId="2" fillId="0" borderId="0" xfId="1" applyFont="1" applyBorder="1" applyAlignment="1"/>
    <xf numFmtId="11" fontId="7" fillId="0" borderId="0" xfId="1" applyNumberFormat="1" applyFont="1" applyBorder="1"/>
    <xf numFmtId="0" fontId="1" fillId="0" borderId="0" xfId="1" applyFont="1" applyFill="1" applyBorder="1" applyAlignment="1"/>
    <xf numFmtId="11" fontId="7" fillId="0" borderId="0" xfId="1" applyNumberFormat="1" applyFont="1"/>
    <xf numFmtId="11" fontId="2" fillId="0" borderId="1" xfId="1" applyNumberFormat="1" applyFont="1" applyBorder="1" applyAlignment="1"/>
    <xf numFmtId="0" fontId="7" fillId="0" borderId="0" xfId="1" applyFont="1" applyAlignment="1"/>
    <xf numFmtId="9" fontId="2" fillId="0" borderId="1" xfId="1" applyNumberFormat="1" applyFont="1" applyFill="1" applyBorder="1"/>
    <xf numFmtId="0" fontId="0" fillId="0" borderId="0" xfId="0" applyBorder="1" applyAlignment="1">
      <alignment wrapText="1"/>
    </xf>
    <xf numFmtId="44" fontId="2" fillId="0" borderId="1" xfId="3" applyFont="1" applyBorder="1" applyAlignment="1">
      <alignment wrapText="1"/>
    </xf>
    <xf numFmtId="44" fontId="1" fillId="0" borderId="1" xfId="0" applyNumberFormat="1" applyFont="1" applyBorder="1" applyAlignment="1">
      <alignment wrapText="1"/>
    </xf>
    <xf numFmtId="44" fontId="1" fillId="0" borderId="1" xfId="3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1" applyFont="1" applyFill="1" applyBorder="1" applyAlignment="1"/>
    <xf numFmtId="11" fontId="2" fillId="0" borderId="1" xfId="1" applyNumberFormat="1" applyFont="1" applyFill="1" applyBorder="1" applyAlignment="1"/>
    <xf numFmtId="0" fontId="0" fillId="5" borderId="0" xfId="0" applyFill="1"/>
    <xf numFmtId="0" fontId="10" fillId="5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0" fontId="9" fillId="7" borderId="0" xfId="0" applyFont="1" applyFill="1"/>
    <xf numFmtId="0" fontId="0" fillId="3" borderId="0" xfId="0" applyFill="1"/>
    <xf numFmtId="0" fontId="0" fillId="3" borderId="0" xfId="0" applyFill="1" applyBorder="1"/>
    <xf numFmtId="0" fontId="9" fillId="6" borderId="0" xfId="0" applyFont="1" applyFill="1"/>
    <xf numFmtId="0" fontId="9" fillId="3" borderId="0" xfId="0" applyFont="1" applyFill="1"/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/>
    <xf numFmtId="9" fontId="0" fillId="6" borderId="1" xfId="2" applyFont="1" applyFill="1" applyBorder="1" applyAlignment="1">
      <alignment horizontal="center"/>
    </xf>
    <xf numFmtId="0" fontId="0" fillId="3" borderId="0" xfId="4" applyFont="1" applyFill="1" applyBorder="1" applyAlignment="1"/>
    <xf numFmtId="165" fontId="11" fillId="6" borderId="1" xfId="0" applyNumberFormat="1" applyFont="1" applyFill="1" applyBorder="1" applyAlignment="1">
      <alignment horizontal="center"/>
    </xf>
    <xf numFmtId="0" fontId="9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9" fillId="3" borderId="0" xfId="4" applyFont="1" applyFill="1"/>
    <xf numFmtId="10" fontId="11" fillId="6" borderId="1" xfId="0" applyNumberFormat="1" applyFont="1" applyFill="1" applyBorder="1" applyAlignment="1">
      <alignment horizontal="center"/>
    </xf>
    <xf numFmtId="0" fontId="0" fillId="3" borderId="0" xfId="4" applyFont="1" applyFill="1" applyBorder="1"/>
    <xf numFmtId="0" fontId="12" fillId="6" borderId="0" xfId="0" applyFont="1" applyFill="1"/>
    <xf numFmtId="0" fontId="13" fillId="3" borderId="0" xfId="4" applyFont="1" applyFill="1" applyBorder="1" applyAlignment="1"/>
    <xf numFmtId="10" fontId="13" fillId="3" borderId="0" xfId="0" applyNumberFormat="1" applyFont="1" applyFill="1" applyAlignment="1">
      <alignment horizontal="center"/>
    </xf>
    <xf numFmtId="0" fontId="9" fillId="5" borderId="0" xfId="0" applyFont="1" applyFill="1"/>
    <xf numFmtId="0" fontId="0" fillId="8" borderId="0" xfId="0" applyFill="1"/>
    <xf numFmtId="0" fontId="13" fillId="8" borderId="0" xfId="0" applyFont="1" applyFill="1" applyBorder="1"/>
    <xf numFmtId="10" fontId="9" fillId="8" borderId="0" xfId="0" applyNumberFormat="1" applyFont="1" applyFill="1" applyBorder="1" applyAlignment="1">
      <alignment horizontal="center"/>
    </xf>
    <xf numFmtId="10" fontId="9" fillId="8" borderId="0" xfId="0" applyNumberFormat="1" applyFont="1" applyFill="1" applyBorder="1" applyAlignment="1">
      <alignment horizontal="left"/>
    </xf>
    <xf numFmtId="0" fontId="11" fillId="8" borderId="0" xfId="0" applyFont="1" applyFill="1" applyBorder="1"/>
    <xf numFmtId="10" fontId="0" fillId="8" borderId="0" xfId="0" applyNumberFormat="1" applyFill="1" applyBorder="1" applyAlignment="1">
      <alignment horizontal="center"/>
    </xf>
    <xf numFmtId="3" fontId="9" fillId="8" borderId="0" xfId="0" applyNumberFormat="1" applyFont="1" applyFill="1" applyAlignment="1">
      <alignment horizontal="center"/>
    </xf>
    <xf numFmtId="0" fontId="14" fillId="8" borderId="0" xfId="0" applyFont="1" applyFill="1" applyBorder="1"/>
    <xf numFmtId="2" fontId="9" fillId="8" borderId="0" xfId="0" applyNumberFormat="1" applyFont="1" applyFill="1" applyAlignment="1">
      <alignment horizontal="center"/>
    </xf>
    <xf numFmtId="0" fontId="15" fillId="6" borderId="0" xfId="0" applyFont="1" applyFill="1"/>
    <xf numFmtId="0" fontId="15" fillId="6" borderId="0" xfId="0" applyFont="1" applyFill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/>
    </xf>
    <xf numFmtId="9" fontId="0" fillId="6" borderId="1" xfId="2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" fontId="2" fillId="0" borderId="1" xfId="1" applyNumberFormat="1" applyFont="1" applyFill="1" applyBorder="1"/>
    <xf numFmtId="166" fontId="2" fillId="0" borderId="0" xfId="1" applyNumberFormat="1" applyFont="1" applyAlignment="1"/>
    <xf numFmtId="9" fontId="2" fillId="0" borderId="1" xfId="2" applyFont="1" applyFill="1" applyBorder="1"/>
    <xf numFmtId="164" fontId="2" fillId="0" borderId="1" xfId="1" applyNumberFormat="1" applyFont="1" applyBorder="1" applyAlignment="1"/>
    <xf numFmtId="0" fontId="1" fillId="0" borderId="0" xfId="0" applyFont="1" applyAlignment="1"/>
    <xf numFmtId="1" fontId="6" fillId="2" borderId="1" xfId="0" applyNumberFormat="1" applyFont="1" applyFill="1" applyBorder="1" applyAlignment="1">
      <alignment wrapText="1"/>
    </xf>
    <xf numFmtId="2" fontId="7" fillId="0" borderId="14" xfId="0" applyNumberFormat="1" applyFont="1" applyBorder="1" applyAlignment="1">
      <alignment wrapText="1"/>
    </xf>
    <xf numFmtId="1" fontId="7" fillId="0" borderId="14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" fontId="7" fillId="0" borderId="0" xfId="0" applyNumberFormat="1" applyFont="1" applyAlignment="1">
      <alignment wrapText="1"/>
    </xf>
    <xf numFmtId="0" fontId="7" fillId="0" borderId="14" xfId="0" applyFont="1" applyBorder="1" applyAlignment="1">
      <alignment wrapText="1"/>
    </xf>
    <xf numFmtId="1" fontId="2" fillId="0" borderId="1" xfId="1" applyNumberFormat="1" applyFont="1" applyBorder="1" applyAlignment="1"/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1" fontId="6" fillId="3" borderId="1" xfId="0" applyNumberFormat="1" applyFont="1" applyFill="1" applyBorder="1" applyAlignment="1">
      <alignment wrapText="1"/>
    </xf>
    <xf numFmtId="0" fontId="0" fillId="0" borderId="1" xfId="0" applyNumberFormat="1" applyFill="1" applyBorder="1" applyAlignment="1">
      <alignment horizontal="center"/>
    </xf>
    <xf numFmtId="11" fontId="7" fillId="0" borderId="14" xfId="0" applyNumberFormat="1" applyFont="1" applyBorder="1" applyAlignment="1">
      <alignment wrapText="1"/>
    </xf>
    <xf numFmtId="0" fontId="2" fillId="0" borderId="1" xfId="1" applyFont="1" applyFill="1" applyBorder="1" applyAlignment="1">
      <alignment wrapText="1"/>
    </xf>
    <xf numFmtId="9" fontId="0" fillId="0" borderId="1" xfId="2" applyFont="1" applyFill="1" applyBorder="1" applyAlignment="1">
      <alignment horizontal="center"/>
    </xf>
    <xf numFmtId="0" fontId="0" fillId="0" borderId="1" xfId="0" applyBorder="1"/>
    <xf numFmtId="10" fontId="0" fillId="8" borderId="0" xfId="0" applyNumberFormat="1" applyFont="1" applyFill="1" applyBorder="1" applyAlignment="1">
      <alignment horizontal="left"/>
    </xf>
    <xf numFmtId="1" fontId="2" fillId="0" borderId="0" xfId="1" applyNumberFormat="1" applyFont="1" applyBorder="1" applyAlignment="1"/>
    <xf numFmtId="164" fontId="2" fillId="0" borderId="0" xfId="1" applyNumberFormat="1" applyFont="1" applyBorder="1" applyAlignment="1"/>
    <xf numFmtId="11" fontId="2" fillId="0" borderId="0" xfId="1" applyNumberFormat="1" applyFont="1" applyBorder="1" applyAlignment="1"/>
    <xf numFmtId="0" fontId="3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wrapText="1"/>
    </xf>
    <xf numFmtId="0" fontId="3" fillId="0" borderId="11" xfId="1" applyFont="1" applyBorder="1" applyAlignment="1">
      <alignment horizontal="left" vertical="top"/>
    </xf>
    <xf numFmtId="0" fontId="2" fillId="0" borderId="13" xfId="1" applyFont="1" applyBorder="1" applyAlignment="1">
      <alignment wrapText="1"/>
    </xf>
    <xf numFmtId="0" fontId="6" fillId="2" borderId="6" xfId="1" applyFont="1" applyFill="1" applyBorder="1" applyAlignment="1">
      <alignment wrapText="1"/>
    </xf>
    <xf numFmtId="0" fontId="6" fillId="2" borderId="8" xfId="1" applyFont="1" applyFill="1" applyBorder="1" applyAlignment="1">
      <alignment wrapText="1"/>
    </xf>
    <xf numFmtId="0" fontId="2" fillId="0" borderId="9" xfId="1" applyFont="1" applyBorder="1" applyAlignment="1"/>
    <xf numFmtId="0" fontId="2" fillId="0" borderId="10" xfId="1" applyFont="1" applyBorder="1" applyAlignment="1"/>
    <xf numFmtId="0" fontId="2" fillId="0" borderId="9" xfId="1" applyFont="1" applyBorder="1" applyAlignment="1">
      <alignment horizontal="left"/>
    </xf>
    <xf numFmtId="0" fontId="2" fillId="0" borderId="11" xfId="1" applyFont="1" applyBorder="1" applyAlignment="1"/>
    <xf numFmtId="11" fontId="2" fillId="0" borderId="13" xfId="1" applyNumberFormat="1" applyFont="1" applyBorder="1" applyAlignment="1"/>
    <xf numFmtId="0" fontId="1" fillId="3" borderId="2" xfId="0" applyFont="1" applyFill="1" applyBorder="1" applyAlignment="1">
      <alignment horizontal="right" wrapText="1"/>
    </xf>
    <xf numFmtId="0" fontId="1" fillId="3" borderId="15" xfId="0" applyFont="1" applyFill="1" applyBorder="1" applyAlignment="1">
      <alignment horizontal="right" wrapText="1"/>
    </xf>
    <xf numFmtId="0" fontId="1" fillId="3" borderId="16" xfId="0" applyFont="1" applyFill="1" applyBorder="1" applyAlignment="1">
      <alignment horizontal="right" wrapText="1"/>
    </xf>
    <xf numFmtId="0" fontId="6" fillId="2" borderId="17" xfId="1" applyFont="1" applyFill="1" applyBorder="1" applyAlignment="1">
      <alignment horizontal="center" wrapText="1"/>
    </xf>
    <xf numFmtId="0" fontId="6" fillId="2" borderId="18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0" fontId="6" fillId="2" borderId="8" xfId="1" applyFont="1" applyFill="1" applyBorder="1" applyAlignment="1">
      <alignment horizontal="center" wrapText="1"/>
    </xf>
  </cellXfs>
  <cellStyles count="5">
    <cellStyle name="20% - Accent6" xfId="4" builtinId="50"/>
    <cellStyle name="Currency" xfId="3" builtinId="4"/>
    <cellStyle name="Normal" xfId="0" builtinId="0"/>
    <cellStyle name="Normal 2" xfId="1"/>
    <cellStyle name="Percent" xfId="2" builtinId="5"/>
  </cellStyles>
  <dxfs count="88"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1" formatCode="0"/>
    </dxf>
    <dxf>
      <numFmt numFmtId="3" formatCode="#,##0"/>
    </dxf>
    <dxf>
      <numFmt numFmtId="3" formatCode="#,##0"/>
    </dxf>
    <dxf>
      <numFmt numFmtId="15" formatCode="0.00E+00"/>
    </dxf>
    <dxf>
      <numFmt numFmtId="2" formatCode="0.0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15" formatCode="0.00E+00"/>
    </dxf>
    <dxf>
      <numFmt numFmtId="2" formatCode="0.0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1" formatCode="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workbookViewId="0">
      <selection activeCell="F4" sqref="F4"/>
    </sheetView>
  </sheetViews>
  <sheetFormatPr defaultColWidth="8.85546875" defaultRowHeight="15" x14ac:dyDescent="0.25"/>
  <cols>
    <col min="1" max="1" width="8.85546875" style="53"/>
    <col min="2" max="2" width="2.85546875" style="53" customWidth="1"/>
    <col min="3" max="3" width="57.42578125" style="53" customWidth="1"/>
    <col min="4" max="4" width="16.28515625" style="53" customWidth="1"/>
    <col min="5" max="5" width="2.85546875" style="53" customWidth="1"/>
    <col min="6" max="6" width="16.28515625" style="53" customWidth="1"/>
    <col min="7" max="7" width="2.85546875" style="53" customWidth="1"/>
    <col min="8" max="10" width="19.85546875" style="53" customWidth="1"/>
    <col min="11" max="14" width="16.28515625" style="53" customWidth="1"/>
    <col min="15" max="15" width="2.85546875" style="53" customWidth="1"/>
    <col min="16" max="16384" width="8.85546875" style="53"/>
  </cols>
  <sheetData>
    <row r="2" spans="2:11" ht="35.25" customHeight="1" x14ac:dyDescent="0.25">
      <c r="B2" s="51"/>
      <c r="C2" s="52" t="s">
        <v>107</v>
      </c>
    </row>
    <row r="4" spans="2:11" x14ac:dyDescent="0.25">
      <c r="B4" s="54"/>
      <c r="C4" s="55" t="s">
        <v>90</v>
      </c>
      <c r="D4" s="54"/>
      <c r="E4" s="54"/>
      <c r="G4" s="51"/>
      <c r="H4" s="74" t="s">
        <v>103</v>
      </c>
      <c r="I4" s="51"/>
      <c r="J4" s="51"/>
      <c r="K4" s="51"/>
    </row>
    <row r="5" spans="2:11" x14ac:dyDescent="0.25">
      <c r="B5" s="56"/>
      <c r="C5" s="57"/>
      <c r="D5" s="57"/>
      <c r="E5" s="57"/>
      <c r="F5" s="58"/>
      <c r="G5" s="75"/>
      <c r="H5" s="76"/>
      <c r="I5" s="77"/>
      <c r="J5" s="75"/>
      <c r="K5" s="77"/>
    </row>
    <row r="6" spans="2:11" x14ac:dyDescent="0.25">
      <c r="B6" s="56"/>
      <c r="C6" s="59" t="s">
        <v>148</v>
      </c>
      <c r="D6" s="56"/>
      <c r="E6" s="57"/>
      <c r="F6" s="58"/>
      <c r="G6" s="75"/>
      <c r="H6" s="78" t="s">
        <v>152</v>
      </c>
      <c r="I6" s="77"/>
      <c r="J6" s="75"/>
      <c r="K6" s="77"/>
    </row>
    <row r="7" spans="2:11" x14ac:dyDescent="0.25">
      <c r="B7" s="56"/>
      <c r="C7" s="57" t="s">
        <v>143</v>
      </c>
      <c r="D7" s="60"/>
      <c r="E7" s="56"/>
      <c r="F7" s="61"/>
      <c r="G7" s="75"/>
      <c r="H7" s="114" t="s">
        <v>163</v>
      </c>
      <c r="I7" s="77"/>
      <c r="J7" s="75"/>
      <c r="K7" s="77">
        <f>Calculations!$N$52</f>
        <v>0</v>
      </c>
    </row>
    <row r="8" spans="2:11" x14ac:dyDescent="0.25">
      <c r="B8" s="56"/>
      <c r="C8" s="56" t="s">
        <v>113</v>
      </c>
      <c r="D8" s="62"/>
      <c r="E8" s="56"/>
      <c r="F8" s="58"/>
      <c r="G8" s="75"/>
      <c r="H8" s="79" t="s">
        <v>164</v>
      </c>
      <c r="I8" s="80"/>
      <c r="J8" s="75"/>
      <c r="K8" s="81">
        <f>Calculations!P82</f>
        <v>0</v>
      </c>
    </row>
    <row r="9" spans="2:11" x14ac:dyDescent="0.25">
      <c r="B9" s="56"/>
      <c r="C9" s="57" t="s">
        <v>108</v>
      </c>
      <c r="D9" s="90"/>
      <c r="E9" s="57"/>
      <c r="F9" s="58"/>
      <c r="G9" s="75"/>
      <c r="H9" s="75"/>
      <c r="I9" s="75"/>
      <c r="J9" s="75"/>
      <c r="K9" s="75"/>
    </row>
    <row r="10" spans="2:11" x14ac:dyDescent="0.25">
      <c r="B10" s="56"/>
      <c r="C10" s="56" t="s">
        <v>93</v>
      </c>
      <c r="D10" s="88"/>
      <c r="E10" s="57"/>
      <c r="F10" s="58"/>
      <c r="G10" s="75"/>
      <c r="H10" s="82" t="s">
        <v>104</v>
      </c>
      <c r="I10" s="80"/>
      <c r="J10" s="75"/>
      <c r="K10" s="81"/>
    </row>
    <row r="11" spans="2:11" x14ac:dyDescent="0.25">
      <c r="B11" s="56"/>
      <c r="C11" s="56" t="s">
        <v>139</v>
      </c>
      <c r="D11" s="89">
        <v>0.05</v>
      </c>
      <c r="E11" s="57"/>
      <c r="F11" s="58"/>
      <c r="G11" s="75"/>
      <c r="H11" s="75" t="s">
        <v>151</v>
      </c>
      <c r="I11" s="80"/>
      <c r="J11" s="75"/>
      <c r="K11" s="81">
        <f>Calculations!I38</f>
        <v>0</v>
      </c>
    </row>
    <row r="12" spans="2:11" x14ac:dyDescent="0.25">
      <c r="B12" s="56"/>
      <c r="C12" s="56"/>
      <c r="D12" s="56"/>
      <c r="E12" s="57"/>
      <c r="G12" s="75"/>
      <c r="H12" s="75" t="s">
        <v>150</v>
      </c>
      <c r="I12" s="80"/>
      <c r="J12" s="75"/>
      <c r="K12" s="81">
        <f>Calculations!C41</f>
        <v>0</v>
      </c>
    </row>
    <row r="13" spans="2:11" x14ac:dyDescent="0.25">
      <c r="B13" s="56"/>
      <c r="C13" s="68" t="s">
        <v>97</v>
      </c>
      <c r="D13" s="66"/>
      <c r="E13" s="57"/>
      <c r="G13" s="75"/>
      <c r="H13" s="75" t="s">
        <v>162</v>
      </c>
      <c r="I13" s="75"/>
      <c r="J13" s="75"/>
      <c r="K13" s="81">
        <f>Calculations!$J$82</f>
        <v>0</v>
      </c>
    </row>
    <row r="14" spans="2:11" x14ac:dyDescent="0.25">
      <c r="B14" s="56"/>
      <c r="C14" s="70" t="s">
        <v>33</v>
      </c>
      <c r="D14" s="69"/>
      <c r="E14" s="57"/>
      <c r="G14" s="75"/>
      <c r="H14" s="75" t="s">
        <v>161</v>
      </c>
      <c r="I14" s="75"/>
      <c r="J14" s="75"/>
      <c r="K14" s="81">
        <f>Calculations!K82</f>
        <v>0</v>
      </c>
    </row>
    <row r="15" spans="2:11" x14ac:dyDescent="0.25">
      <c r="B15" s="56"/>
      <c r="C15" s="70" t="s">
        <v>27</v>
      </c>
      <c r="D15" s="69"/>
      <c r="E15" s="57"/>
      <c r="G15" s="75"/>
      <c r="H15" s="75"/>
      <c r="I15" s="75"/>
      <c r="J15" s="75"/>
      <c r="K15" s="83"/>
    </row>
    <row r="16" spans="2:11" x14ac:dyDescent="0.25">
      <c r="B16" s="56"/>
      <c r="C16" s="70" t="s">
        <v>105</v>
      </c>
      <c r="D16" s="69"/>
      <c r="E16" s="57"/>
    </row>
    <row r="17" spans="2:8" x14ac:dyDescent="0.25">
      <c r="B17" s="56"/>
      <c r="C17" s="70" t="s">
        <v>14</v>
      </c>
      <c r="D17" s="69"/>
      <c r="E17" s="57"/>
    </row>
    <row r="18" spans="2:8" x14ac:dyDescent="0.25">
      <c r="B18" s="56"/>
      <c r="C18" s="70" t="s">
        <v>98</v>
      </c>
      <c r="D18" s="69"/>
      <c r="E18" s="57"/>
    </row>
    <row r="19" spans="2:8" x14ac:dyDescent="0.25">
      <c r="B19" s="56"/>
      <c r="C19" s="70" t="s">
        <v>99</v>
      </c>
      <c r="D19" s="69"/>
      <c r="E19" s="57"/>
    </row>
    <row r="20" spans="2:8" x14ac:dyDescent="0.25">
      <c r="B20" s="56"/>
      <c r="C20" s="70" t="s">
        <v>100</v>
      </c>
      <c r="D20" s="69"/>
      <c r="E20" s="57"/>
    </row>
    <row r="21" spans="2:8" x14ac:dyDescent="0.25">
      <c r="B21" s="56"/>
      <c r="C21" s="63" t="s">
        <v>101</v>
      </c>
      <c r="D21" s="69"/>
      <c r="E21" s="57"/>
    </row>
    <row r="22" spans="2:8" x14ac:dyDescent="0.25">
      <c r="B22" s="56"/>
      <c r="C22" s="72" t="s">
        <v>102</v>
      </c>
      <c r="D22" s="73">
        <f>SUM(D14:D21)</f>
        <v>0</v>
      </c>
      <c r="E22" s="57"/>
    </row>
    <row r="23" spans="2:8" x14ac:dyDescent="0.25">
      <c r="B23" s="56"/>
      <c r="C23" s="56"/>
      <c r="D23" s="56"/>
      <c r="E23" s="56"/>
    </row>
    <row r="24" spans="2:8" x14ac:dyDescent="0.25">
      <c r="B24" s="56"/>
      <c r="C24" s="65" t="s">
        <v>149</v>
      </c>
      <c r="D24" s="66"/>
      <c r="E24" s="57"/>
    </row>
    <row r="25" spans="2:8" x14ac:dyDescent="0.25">
      <c r="B25" s="56"/>
      <c r="C25" s="63" t="s">
        <v>91</v>
      </c>
      <c r="D25" s="64">
        <v>4.2299999999999997E-2</v>
      </c>
      <c r="E25" s="57"/>
    </row>
    <row r="26" spans="2:8" x14ac:dyDescent="0.25">
      <c r="B26" s="56"/>
      <c r="C26" s="56" t="s">
        <v>94</v>
      </c>
      <c r="D26" s="87">
        <v>13</v>
      </c>
      <c r="E26" s="57"/>
    </row>
    <row r="27" spans="2:8" x14ac:dyDescent="0.25">
      <c r="B27" s="56"/>
      <c r="C27" s="63" t="s">
        <v>92</v>
      </c>
      <c r="D27" s="112">
        <v>0</v>
      </c>
      <c r="E27" s="57"/>
    </row>
    <row r="28" spans="2:8" x14ac:dyDescent="0.25">
      <c r="B28" s="56"/>
      <c r="C28" s="63" t="s">
        <v>153</v>
      </c>
      <c r="D28" s="87">
        <v>23590813.806818198</v>
      </c>
      <c r="E28" s="57"/>
    </row>
    <row r="29" spans="2:8" x14ac:dyDescent="0.25">
      <c r="B29" s="56"/>
      <c r="C29" s="56" t="s">
        <v>106</v>
      </c>
      <c r="D29" s="86">
        <v>1985.9435000000001</v>
      </c>
      <c r="E29" s="57"/>
    </row>
    <row r="30" spans="2:8" x14ac:dyDescent="0.25">
      <c r="B30" s="56"/>
      <c r="C30" s="57" t="s">
        <v>140</v>
      </c>
      <c r="D30" s="109">
        <v>15</v>
      </c>
      <c r="E30" s="57"/>
    </row>
    <row r="31" spans="2:8" x14ac:dyDescent="0.25">
      <c r="B31" s="56"/>
      <c r="C31" s="57" t="s">
        <v>109</v>
      </c>
      <c r="D31" s="87">
        <v>40</v>
      </c>
      <c r="E31" s="57"/>
    </row>
    <row r="32" spans="2:8" ht="15.75" x14ac:dyDescent="0.25">
      <c r="B32" s="56"/>
      <c r="C32" s="57" t="s">
        <v>110</v>
      </c>
      <c r="D32" s="90">
        <v>1035</v>
      </c>
      <c r="E32" s="57"/>
      <c r="H32" s="71"/>
    </row>
    <row r="33" spans="2:7" x14ac:dyDescent="0.25">
      <c r="B33" s="56"/>
      <c r="C33" s="56" t="s">
        <v>95</v>
      </c>
      <c r="D33" s="67" t="s">
        <v>96</v>
      </c>
      <c r="E33" s="56"/>
    </row>
    <row r="34" spans="2:7" x14ac:dyDescent="0.25">
      <c r="B34" s="56"/>
      <c r="C34" s="57"/>
      <c r="D34" s="57"/>
      <c r="E34" s="57"/>
    </row>
    <row r="40" spans="2:7" x14ac:dyDescent="0.25">
      <c r="G40" s="85"/>
    </row>
    <row r="41" spans="2:7" x14ac:dyDescent="0.25">
      <c r="G41" s="85"/>
    </row>
    <row r="42" spans="2:7" x14ac:dyDescent="0.25">
      <c r="G42" s="85"/>
    </row>
    <row r="44" spans="2:7" x14ac:dyDescent="0.25">
      <c r="F44" s="85"/>
      <c r="G44" s="85"/>
    </row>
    <row r="45" spans="2:7" x14ac:dyDescent="0.25">
      <c r="F45" s="85"/>
      <c r="G45" s="85"/>
    </row>
    <row r="46" spans="2:7" x14ac:dyDescent="0.25">
      <c r="F46" s="85"/>
      <c r="G46" s="85"/>
    </row>
    <row r="48" spans="2:7" x14ac:dyDescent="0.25">
      <c r="F48" s="85"/>
    </row>
    <row r="49" spans="3:6" x14ac:dyDescent="0.25">
      <c r="F49" s="85"/>
    </row>
    <row r="50" spans="3:6" x14ac:dyDescent="0.25">
      <c r="F50" s="85"/>
    </row>
    <row r="51" spans="3:6" x14ac:dyDescent="0.25">
      <c r="C51" s="84"/>
      <c r="D51" s="84"/>
      <c r="E51" s="84"/>
    </row>
    <row r="52" spans="3:6" x14ac:dyDescent="0.25">
      <c r="E52" s="84"/>
    </row>
    <row r="53" spans="3:6" x14ac:dyDescent="0.25">
      <c r="E53" s="84"/>
    </row>
    <row r="55" spans="3:6" x14ac:dyDescent="0.25">
      <c r="E55" s="84"/>
    </row>
    <row r="56" spans="3:6" x14ac:dyDescent="0.25">
      <c r="E56" s="84"/>
    </row>
    <row r="57" spans="3:6" x14ac:dyDescent="0.25">
      <c r="E57" s="84"/>
    </row>
    <row r="65" spans="5:5" x14ac:dyDescent="0.25">
      <c r="E65"/>
    </row>
  </sheetData>
  <conditionalFormatting sqref="K5:K15">
    <cfRule type="cellIs" dxfId="87" priority="1" operator="equal">
      <formula>0</formula>
    </cfRule>
    <cfRule type="cellIs" dxfId="86" priority="2" operator="greaterThan">
      <formula>100</formula>
    </cfRule>
    <cfRule type="cellIs" dxfId="85" priority="3" operator="between">
      <formula>0.01</formula>
      <formula>100</formula>
    </cfRule>
    <cfRule type="cellIs" dxfId="84" priority="4" operator="between">
      <formula>0</formula>
      <formula>0.01</formula>
    </cfRule>
    <cfRule type="cellIs" dxfId="83" priority="5" operator="lessThan">
      <formula>-1</formula>
    </cfRule>
  </conditionalFormatting>
  <dataValidations count="1">
    <dataValidation type="list" allowBlank="1" showInputMessage="1" showErrorMessage="1" sqref="D33">
      <formula1>"Low, Mid, High"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Data!$B$31:$B$32</xm:f>
          </x14:formula1>
          <xm:sqref>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82"/>
  <sheetViews>
    <sheetView topLeftCell="A7" workbookViewId="0">
      <selection activeCell="A11" sqref="A11"/>
    </sheetView>
  </sheetViews>
  <sheetFormatPr defaultColWidth="14.42578125" defaultRowHeight="15" x14ac:dyDescent="0.25"/>
  <cols>
    <col min="1" max="1" width="8.7109375" style="5" customWidth="1"/>
    <col min="2" max="2" width="16.28515625" style="5" customWidth="1"/>
    <col min="3" max="4" width="16.85546875" style="5" customWidth="1"/>
    <col min="5" max="11" width="18.42578125" style="5" customWidth="1"/>
    <col min="12" max="12" width="17.7109375" style="5" customWidth="1"/>
    <col min="13" max="13" width="16.42578125" style="5" customWidth="1"/>
    <col min="14" max="26" width="8.7109375" style="5" customWidth="1"/>
    <col min="27" max="16384" width="14.42578125" style="5"/>
  </cols>
  <sheetData>
    <row r="2" spans="2:12" x14ac:dyDescent="0.25">
      <c r="B2" s="16" t="s">
        <v>154</v>
      </c>
    </row>
    <row r="3" spans="2:12" ht="45" x14ac:dyDescent="0.25">
      <c r="B3" s="31" t="s">
        <v>50</v>
      </c>
      <c r="C3" s="31" t="s">
        <v>51</v>
      </c>
      <c r="D3" s="31" t="s">
        <v>52</v>
      </c>
      <c r="E3" s="31" t="s">
        <v>53</v>
      </c>
      <c r="F3" s="31" t="s">
        <v>54</v>
      </c>
      <c r="G3" s="31" t="s">
        <v>55</v>
      </c>
      <c r="H3" s="31" t="s">
        <v>56</v>
      </c>
      <c r="I3" s="31" t="s">
        <v>57</v>
      </c>
      <c r="J3" s="3"/>
    </row>
    <row r="4" spans="2:12" x14ac:dyDescent="0.25">
      <c r="B4" s="10" t="s">
        <v>33</v>
      </c>
      <c r="C4" s="42">
        <f>Interface!D14</f>
        <v>0</v>
      </c>
      <c r="D4" s="11">
        <f>VLOOKUP(B4,Data!$B$4:$J$10,9,FALSE)*C4</f>
        <v>0</v>
      </c>
      <c r="E4" s="32">
        <f>HLOOKUP($B4,Data!$B$21:$K$26,2,FALSE)*$C4</f>
        <v>0</v>
      </c>
      <c r="F4" s="32">
        <f>HLOOKUP($B4,Data!$B$21:$K$26,3,FALSE)*C4</f>
        <v>0</v>
      </c>
      <c r="G4" s="32">
        <f>HLOOKUP($B4,Data!$B$21:$K$26,4,FALSE)*C4</f>
        <v>0</v>
      </c>
      <c r="H4" s="32">
        <f>HLOOKUP($B4,Data!$B$21:$K$26,6,FALSE)*C4</f>
        <v>0</v>
      </c>
      <c r="I4" s="32">
        <f>HLOOKUP($B4,Data!$B$21:$K$26,6,FALSE)*C4</f>
        <v>0</v>
      </c>
    </row>
    <row r="5" spans="2:12" x14ac:dyDescent="0.25">
      <c r="B5" s="10" t="s">
        <v>27</v>
      </c>
      <c r="C5" s="42">
        <f>Interface!D15</f>
        <v>0</v>
      </c>
      <c r="D5" s="11">
        <f>VLOOKUP(B5,Data!$B$4:$J$10,9,FALSE)*C5</f>
        <v>0</v>
      </c>
      <c r="E5" s="32">
        <f>HLOOKUP($B5,Data!$B$21:$K$26,2,FALSE)*$C5</f>
        <v>0</v>
      </c>
      <c r="F5" s="32">
        <f>HLOOKUP($B5,Data!$B$21:$K$26,3,FALSE)*C5</f>
        <v>0</v>
      </c>
      <c r="G5" s="32">
        <f>HLOOKUP($B5,Data!$B$21:$K$26,4,FALSE)*C5</f>
        <v>0</v>
      </c>
      <c r="H5" s="32">
        <f>HLOOKUP($B5,Data!$B$21:$K$26,6,FALSE)*C5</f>
        <v>0</v>
      </c>
      <c r="I5" s="32">
        <f>HLOOKUP($B5,Data!$B$21:$K$26,6,FALSE)*C5</f>
        <v>0</v>
      </c>
    </row>
    <row r="6" spans="2:12" ht="30" x14ac:dyDescent="0.25">
      <c r="B6" s="10" t="s">
        <v>34</v>
      </c>
      <c r="C6" s="42">
        <f>Interface!D16</f>
        <v>0</v>
      </c>
      <c r="D6" s="11">
        <f>VLOOKUP(B6,Data!$B$4:$J$10,9,FALSE)*C6</f>
        <v>0</v>
      </c>
      <c r="E6" s="11">
        <f>HLOOKUP($B6,Data!$B$21:$K$26,2,FALSE)*$C6</f>
        <v>0</v>
      </c>
      <c r="F6" s="11">
        <f>HLOOKUP($B6,Data!$B$21:$K$26,3,FALSE)*C6</f>
        <v>0</v>
      </c>
      <c r="G6" s="11">
        <f>HLOOKUP($B6,Data!$B$21:$K$26,4,FALSE)*C6</f>
        <v>0</v>
      </c>
      <c r="H6" s="11">
        <f>HLOOKUP($B6,Data!$B$21:$K$26,6,FALSE)*C6</f>
        <v>0</v>
      </c>
      <c r="I6" s="11">
        <f>HLOOKUP($B6,Data!$B$21:$K$26,6,FALSE)*C6</f>
        <v>0</v>
      </c>
    </row>
    <row r="7" spans="2:12" x14ac:dyDescent="0.25">
      <c r="B7" s="10" t="s">
        <v>14</v>
      </c>
      <c r="C7" s="42">
        <f>Interface!D17</f>
        <v>0</v>
      </c>
      <c r="D7" s="11">
        <f>VLOOKUP(B7,Data!$B$4:$J$10,9,FALSE)*C7</f>
        <v>0</v>
      </c>
      <c r="E7" s="32">
        <f>HLOOKUP($B7,Data!$B$21:$K$26,2,FALSE)*$C7</f>
        <v>0</v>
      </c>
      <c r="F7" s="32">
        <f>HLOOKUP($B7,Data!$B$21:$K$26,3,FALSE)*C7</f>
        <v>0</v>
      </c>
      <c r="G7" s="32">
        <f>HLOOKUP($B7,Data!$B$21:$K$26,4,FALSE)*C7</f>
        <v>0</v>
      </c>
      <c r="H7" s="32">
        <f>HLOOKUP($B7,Data!$B$21:$K$26,6,FALSE)*C7</f>
        <v>0</v>
      </c>
      <c r="I7" s="32">
        <f>HLOOKUP($B7,Data!$B$21:$K$26,6,FALSE)*C7</f>
        <v>0</v>
      </c>
    </row>
    <row r="8" spans="2:12" x14ac:dyDescent="0.25">
      <c r="B8" s="10" t="s">
        <v>29</v>
      </c>
      <c r="C8" s="42">
        <f>Interface!D18</f>
        <v>0</v>
      </c>
      <c r="D8" s="11">
        <f>VLOOKUP(B8,Data!$B$4:$J$10,9,FALSE)*C8</f>
        <v>0</v>
      </c>
      <c r="E8" s="11">
        <f>HLOOKUP($B8,Data!$B$21:$K$26,2,FALSE)*$C8</f>
        <v>0</v>
      </c>
      <c r="F8" s="11">
        <f>HLOOKUP($B8,Data!$B$21:$K$26,3,FALSE)*C8</f>
        <v>0</v>
      </c>
      <c r="G8" s="11">
        <f>HLOOKUP($B8,Data!$B$21:$K$26,4,FALSE)*C8</f>
        <v>0</v>
      </c>
      <c r="H8" s="11">
        <f>HLOOKUP($B8,Data!$B$21:$K$26,6,FALSE)*C8</f>
        <v>0</v>
      </c>
      <c r="I8" s="11">
        <f>HLOOKUP($B8,Data!$B$21:$K$26,6,FALSE)*C8</f>
        <v>0</v>
      </c>
    </row>
    <row r="9" spans="2:12" x14ac:dyDescent="0.25">
      <c r="B9" s="10" t="s">
        <v>25</v>
      </c>
      <c r="C9" s="42">
        <f>Interface!D19</f>
        <v>0</v>
      </c>
      <c r="D9" s="11">
        <f>VLOOKUP(B9,Data!$B$4:$J$10,9,FALSE)*C9</f>
        <v>0</v>
      </c>
      <c r="E9" s="32">
        <f>HLOOKUP($B9,Data!$B$21:$K$26,2,FALSE)*$C9</f>
        <v>0</v>
      </c>
      <c r="F9" s="32">
        <f>HLOOKUP($B9,Data!$B$21:$K$26,3,FALSE)*C9</f>
        <v>0</v>
      </c>
      <c r="G9" s="32">
        <f>HLOOKUP($B9,Data!$B$21:$K$26,4,FALSE)*C9</f>
        <v>0</v>
      </c>
      <c r="H9" s="32">
        <f>HLOOKUP($B9,Data!$B$21:$K$26,6,FALSE)*C9</f>
        <v>0</v>
      </c>
      <c r="I9" s="32">
        <f>HLOOKUP($B9,Data!$B$21:$K$26,6,FALSE)*C9</f>
        <v>0</v>
      </c>
    </row>
    <row r="10" spans="2:12" x14ac:dyDescent="0.25">
      <c r="B10" s="11" t="s">
        <v>100</v>
      </c>
      <c r="C10" s="42">
        <f>Interface!D20</f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</row>
    <row r="11" spans="2:12" ht="30" x14ac:dyDescent="0.25">
      <c r="B11" s="10" t="s">
        <v>35</v>
      </c>
      <c r="C11" s="42">
        <f>Interface!D21</f>
        <v>0</v>
      </c>
      <c r="D11" s="11">
        <f>VLOOKUP(B9,Data!$B$4:$J$10,9,FALSE)*C11</f>
        <v>0</v>
      </c>
      <c r="E11" s="32">
        <f>HLOOKUP($B9,Data!$B$21:$K$26,2,FALSE)*$C11</f>
        <v>0</v>
      </c>
      <c r="F11" s="32">
        <f>HLOOKUP($B9,Data!$B$21:$K$26,3,FALSE)*C11</f>
        <v>0</v>
      </c>
      <c r="G11" s="32">
        <f>HLOOKUP($B9,Data!$B$21:$K$26,4,FALSE)*C11</f>
        <v>0</v>
      </c>
      <c r="H11" s="32">
        <f>HLOOKUP($B9,Data!$B$21:$K$26,6,FALSE)*C11</f>
        <v>0</v>
      </c>
      <c r="I11" s="32">
        <f>HLOOKUP($B9,Data!$B$21:$K$26,6,FALSE)*C11</f>
        <v>0</v>
      </c>
    </row>
    <row r="12" spans="2:12" x14ac:dyDescent="0.25">
      <c r="B12" s="10" t="s">
        <v>59</v>
      </c>
      <c r="C12" s="33">
        <f t="shared" ref="C12:I12" si="0">SUM(C4:C11)</f>
        <v>0</v>
      </c>
      <c r="D12" s="11">
        <f t="shared" si="0"/>
        <v>0</v>
      </c>
      <c r="E12" s="11">
        <f t="shared" si="0"/>
        <v>0</v>
      </c>
      <c r="F12" s="11">
        <f t="shared" si="0"/>
        <v>0</v>
      </c>
      <c r="G12" s="11">
        <f t="shared" si="0"/>
        <v>0</v>
      </c>
      <c r="H12" s="11">
        <f t="shared" si="0"/>
        <v>0</v>
      </c>
      <c r="I12" s="11">
        <f t="shared" si="0"/>
        <v>0</v>
      </c>
    </row>
    <row r="13" spans="2:12" x14ac:dyDescent="0.25">
      <c r="B13" s="34"/>
      <c r="C13" s="35"/>
      <c r="D13" s="36"/>
      <c r="E13" s="37"/>
      <c r="F13" s="37"/>
      <c r="G13" s="37"/>
      <c r="H13" s="37"/>
      <c r="I13" s="37"/>
    </row>
    <row r="14" spans="2:12" x14ac:dyDescent="0.25">
      <c r="B14" s="38" t="s">
        <v>112</v>
      </c>
      <c r="K14" s="39"/>
      <c r="L14" s="39"/>
    </row>
    <row r="15" spans="2:12" ht="45" x14ac:dyDescent="0.25">
      <c r="B15" s="31" t="s">
        <v>65</v>
      </c>
      <c r="C15" s="31" t="s">
        <v>115</v>
      </c>
      <c r="D15" s="31" t="s">
        <v>116</v>
      </c>
      <c r="E15" s="31" t="s">
        <v>60</v>
      </c>
      <c r="F15" s="31" t="s">
        <v>155</v>
      </c>
      <c r="G15" s="31" t="s">
        <v>114</v>
      </c>
      <c r="H15" s="31" t="s">
        <v>62</v>
      </c>
      <c r="I15" s="31" t="s">
        <v>63</v>
      </c>
      <c r="J15" s="31" t="s">
        <v>64</v>
      </c>
      <c r="K15" s="31" t="s">
        <v>144</v>
      </c>
      <c r="L15" s="31" t="s">
        <v>145</v>
      </c>
    </row>
    <row r="16" spans="2:12" x14ac:dyDescent="0.25">
      <c r="B16" s="93">
        <f>Interface!$D$29</f>
        <v>1985.9435000000001</v>
      </c>
      <c r="C16" s="95">
        <f>Interface!$D$25</f>
        <v>4.2299999999999997E-2</v>
      </c>
      <c r="D16" s="95">
        <f>Interface!$D$27</f>
        <v>0</v>
      </c>
      <c r="E16" s="11">
        <f>D12*(1+$D$16)*Data!$N$14*$B$16/(1-$C$16)</f>
        <v>0</v>
      </c>
      <c r="F16" s="11">
        <f>E12*(1+$D$16)*Data!$N$14*$B$16/(1-$C$16)</f>
        <v>0</v>
      </c>
      <c r="G16" s="11">
        <f>F12*(1+$D$16)*Data!$N$14*$B$16/(1-$C$16)</f>
        <v>0</v>
      </c>
      <c r="H16" s="11">
        <f>G12*(1+$D$16)*Data!$N$14*$B$16/(1-$C$16)</f>
        <v>0</v>
      </c>
      <c r="I16" s="11">
        <f>H12*(1+$D$16)*Data!$N$14*$B$16/(1-$C$16)</f>
        <v>0</v>
      </c>
      <c r="J16" s="11">
        <f>I12*(1+$D$16)*Data!$N$14*$B$16/(1-$C$16)</f>
        <v>0</v>
      </c>
      <c r="K16" s="11">
        <f>D4*(1+$D$16)*Data!$N$14*$B$16/(1-$C$16)</f>
        <v>0</v>
      </c>
      <c r="L16" s="11">
        <f>E16-K16</f>
        <v>0</v>
      </c>
    </row>
    <row r="17" spans="2:19" x14ac:dyDescent="0.25">
      <c r="B17" s="41"/>
      <c r="D17" s="36"/>
    </row>
    <row r="18" spans="2:19" x14ac:dyDescent="0.25">
      <c r="B18" s="16" t="s">
        <v>66</v>
      </c>
      <c r="J18" s="94"/>
    </row>
    <row r="19" spans="2:19" x14ac:dyDescent="0.25">
      <c r="B19" s="16"/>
      <c r="C19" s="31" t="s">
        <v>68</v>
      </c>
      <c r="D19" s="31" t="s">
        <v>69</v>
      </c>
      <c r="E19" s="31" t="s">
        <v>70</v>
      </c>
    </row>
    <row r="20" spans="2:19" x14ac:dyDescent="0.25">
      <c r="B20" s="31" t="s">
        <v>8</v>
      </c>
      <c r="C20" s="2">
        <v>120000</v>
      </c>
      <c r="D20" s="11">
        <f>C20/1020</f>
        <v>117.64705882352941</v>
      </c>
      <c r="E20" s="11">
        <f>D20/1000000</f>
        <v>1.176470588235294E-4</v>
      </c>
    </row>
    <row r="21" spans="2:19" x14ac:dyDescent="0.25">
      <c r="B21" s="31" t="s">
        <v>9</v>
      </c>
      <c r="C21" s="2">
        <v>2.2999999999999998</v>
      </c>
      <c r="D21" s="11">
        <f>C21/1020</f>
        <v>2.2549019607843133E-3</v>
      </c>
      <c r="E21" s="11">
        <f t="shared" ref="E21:E27" si="1">D21/1000000</f>
        <v>2.2549019607843134E-9</v>
      </c>
    </row>
    <row r="22" spans="2:19" x14ac:dyDescent="0.25">
      <c r="B22" s="31" t="s">
        <v>156</v>
      </c>
      <c r="C22" s="2">
        <v>0.64</v>
      </c>
      <c r="D22" s="11">
        <f t="shared" ref="D22:D27" si="2">C22/1020</f>
        <v>6.2745098039215688E-4</v>
      </c>
      <c r="E22" s="11">
        <f t="shared" si="1"/>
        <v>6.2745098039215688E-10</v>
      </c>
    </row>
    <row r="23" spans="2:19" x14ac:dyDescent="0.25">
      <c r="B23" s="31" t="s">
        <v>89</v>
      </c>
      <c r="C23" s="2"/>
      <c r="D23" s="11"/>
      <c r="E23" s="11">
        <f>E20+E21*28+E22*265</f>
        <v>1.1787647058823528E-4</v>
      </c>
    </row>
    <row r="24" spans="2:19" x14ac:dyDescent="0.25">
      <c r="B24" s="31" t="s">
        <v>4</v>
      </c>
      <c r="C24" s="48">
        <f>Interface!$D$31*1055*Interface!$D$32*0.00000001</f>
        <v>0.43676999999999999</v>
      </c>
      <c r="D24" s="49">
        <f>C24/1020</f>
        <v>4.2820588235294117E-4</v>
      </c>
      <c r="E24" s="50">
        <f>Interface!$D$31*1055/(Data!N15*Data!N12)</f>
        <v>9.3035150531755413E-8</v>
      </c>
      <c r="J24"/>
      <c r="K24"/>
      <c r="L24"/>
      <c r="M24"/>
      <c r="N24"/>
      <c r="O24"/>
      <c r="P24"/>
      <c r="Q24"/>
      <c r="R24"/>
      <c r="S24"/>
    </row>
    <row r="25" spans="2:19" x14ac:dyDescent="0.25">
      <c r="B25" s="1" t="s">
        <v>5</v>
      </c>
      <c r="C25" s="2">
        <v>0.6</v>
      </c>
      <c r="D25" s="11">
        <f t="shared" si="2"/>
        <v>5.8823529411764701E-4</v>
      </c>
      <c r="E25" s="11">
        <f t="shared" si="1"/>
        <v>5.8823529411764702E-10</v>
      </c>
    </row>
    <row r="26" spans="2:19" x14ac:dyDescent="0.25">
      <c r="B26" s="1" t="s">
        <v>6</v>
      </c>
      <c r="C26" s="2">
        <v>7.6</v>
      </c>
      <c r="D26" s="11">
        <f t="shared" si="2"/>
        <v>7.4509803921568628E-3</v>
      </c>
      <c r="E26" s="11">
        <f t="shared" si="1"/>
        <v>7.4509803921568624E-9</v>
      </c>
    </row>
    <row r="27" spans="2:19" x14ac:dyDescent="0.25">
      <c r="B27" s="1" t="s">
        <v>7</v>
      </c>
      <c r="C27" s="2">
        <v>5.5</v>
      </c>
      <c r="D27" s="11">
        <f t="shared" si="2"/>
        <v>5.392156862745098E-3</v>
      </c>
      <c r="E27" s="11">
        <f t="shared" si="1"/>
        <v>5.3921568627450979E-9</v>
      </c>
    </row>
    <row r="29" spans="2:19" x14ac:dyDescent="0.25">
      <c r="B29" s="16" t="s">
        <v>128</v>
      </c>
    </row>
    <row r="30" spans="2:19" ht="60" x14ac:dyDescent="0.25">
      <c r="B30" s="31" t="s">
        <v>0</v>
      </c>
      <c r="C30" s="31" t="s">
        <v>1</v>
      </c>
      <c r="D30" s="31" t="s">
        <v>3</v>
      </c>
      <c r="E30" s="31" t="s">
        <v>2</v>
      </c>
      <c r="F30" s="1" t="s">
        <v>10</v>
      </c>
      <c r="G30" s="1" t="s">
        <v>11</v>
      </c>
      <c r="H30" s="1" t="s">
        <v>12</v>
      </c>
      <c r="I30" s="31" t="s">
        <v>60</v>
      </c>
      <c r="J30" s="31" t="s">
        <v>155</v>
      </c>
      <c r="K30" s="31" t="s">
        <v>61</v>
      </c>
      <c r="L30" s="31" t="s">
        <v>62</v>
      </c>
      <c r="M30" s="31" t="s">
        <v>64</v>
      </c>
    </row>
    <row r="31" spans="2:19" x14ac:dyDescent="0.25">
      <c r="B31" s="92">
        <f>Interface!$D$28</f>
        <v>23590813.806818198</v>
      </c>
      <c r="C31" s="92">
        <f>Interface!$D$32</f>
        <v>1035</v>
      </c>
      <c r="D31" s="2">
        <v>1020</v>
      </c>
      <c r="E31" s="2">
        <f>B31/(C31*1000000)</f>
        <v>2.2793056818181834E-2</v>
      </c>
      <c r="F31" s="2">
        <f>$E31*C20</f>
        <v>2735.16681818182</v>
      </c>
      <c r="G31" s="2">
        <f>$E31*C21</f>
        <v>5.2424030681818216E-2</v>
      </c>
      <c r="H31" s="2">
        <f>$E31*C22</f>
        <v>1.4587556363636374E-2</v>
      </c>
      <c r="I31" s="2">
        <f>(F31+G31*28+H31*265)/2000</f>
        <v>1.3702501967386373</v>
      </c>
      <c r="J31" s="91">
        <f>$E31*E24/2000</f>
        <v>1.0602777360792005E-12</v>
      </c>
      <c r="K31" s="2">
        <f>$E31*C25/2000</f>
        <v>6.8379170454545493E-6</v>
      </c>
      <c r="L31" s="2">
        <f>$E31*C26/2000</f>
        <v>8.661361590909096E-5</v>
      </c>
      <c r="M31" s="2">
        <f>$E31*C27/2000</f>
        <v>6.2680906250000041E-5</v>
      </c>
    </row>
    <row r="32" spans="2:19" x14ac:dyDescent="0.25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2:13" ht="60" x14ac:dyDescent="0.25">
      <c r="B33" s="31" t="s">
        <v>0</v>
      </c>
      <c r="C33" s="31" t="s">
        <v>60</v>
      </c>
      <c r="D33" s="31" t="s">
        <v>155</v>
      </c>
      <c r="E33" s="31" t="s">
        <v>61</v>
      </c>
      <c r="F33" s="31" t="s">
        <v>62</v>
      </c>
      <c r="G33" s="31" t="s">
        <v>64</v>
      </c>
      <c r="H33" s="43"/>
      <c r="I33" s="43"/>
      <c r="J33" s="43"/>
      <c r="K33" s="43"/>
      <c r="L33" s="43"/>
      <c r="M33" s="43"/>
    </row>
    <row r="34" spans="2:13" x14ac:dyDescent="0.25">
      <c r="B34" s="92">
        <f>Interface!$D$28</f>
        <v>23590813.806818198</v>
      </c>
      <c r="C34" s="2">
        <f>$B$34*E23/2000</f>
        <v>1.3904009349259703</v>
      </c>
      <c r="D34" s="91">
        <f>B34*E24/2000</f>
        <v>1.0973874568419727E-3</v>
      </c>
      <c r="E34" s="2">
        <f>$B$34*E25/2000</f>
        <v>6.9384746490641759E-6</v>
      </c>
      <c r="F34" s="2">
        <f>$B$34*E26/2000</f>
        <v>8.7887345554812894E-5</v>
      </c>
      <c r="G34" s="2">
        <f>$B$34*E27/2000</f>
        <v>6.3602684283088287E-5</v>
      </c>
      <c r="H34" s="43"/>
      <c r="I34" s="43"/>
      <c r="J34" s="43"/>
      <c r="K34" s="43"/>
      <c r="L34" s="43"/>
      <c r="M34" s="43"/>
    </row>
    <row r="35" spans="2:13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</row>
    <row r="36" spans="2:13" x14ac:dyDescent="0.25">
      <c r="B36" s="16" t="s">
        <v>67</v>
      </c>
    </row>
    <row r="37" spans="2:13" ht="45" x14ac:dyDescent="0.25">
      <c r="B37" s="31" t="s">
        <v>127</v>
      </c>
      <c r="C37" s="31" t="s">
        <v>145</v>
      </c>
      <c r="D37" s="31" t="s">
        <v>155</v>
      </c>
      <c r="E37" s="31" t="s">
        <v>61</v>
      </c>
      <c r="F37" s="31" t="s">
        <v>62</v>
      </c>
      <c r="G37" s="31" t="s">
        <v>64</v>
      </c>
      <c r="H37" s="31" t="s">
        <v>74</v>
      </c>
      <c r="I37" s="31" t="s">
        <v>75</v>
      </c>
      <c r="J37" s="31" t="s">
        <v>76</v>
      </c>
      <c r="K37" s="31" t="s">
        <v>77</v>
      </c>
      <c r="L37" s="31" t="s">
        <v>78</v>
      </c>
      <c r="M37" s="31" t="s">
        <v>79</v>
      </c>
    </row>
    <row r="38" spans="2:13" x14ac:dyDescent="0.25">
      <c r="B38" s="104">
        <f>Interface!$D$9</f>
        <v>0</v>
      </c>
      <c r="C38" s="96">
        <f>($I$31-$L$16)*$B$38</f>
        <v>0</v>
      </c>
      <c r="D38" s="40">
        <f>(J31-F16)*B38</f>
        <v>0</v>
      </c>
      <c r="E38" s="40">
        <f>(K31-G16)*B38</f>
        <v>0</v>
      </c>
      <c r="F38" s="40">
        <f>(L31-H16)*B38</f>
        <v>0</v>
      </c>
      <c r="G38" s="40">
        <f>(M31-J16)*B38</f>
        <v>0</v>
      </c>
      <c r="H38" s="11">
        <f>Interface!$D$30</f>
        <v>15</v>
      </c>
      <c r="I38" s="11">
        <f>C38*$H$38</f>
        <v>0</v>
      </c>
      <c r="J38" s="40">
        <f>D38*$H$38</f>
        <v>0</v>
      </c>
      <c r="K38" s="40">
        <f>E38*$H$38</f>
        <v>0</v>
      </c>
      <c r="L38" s="40">
        <f>F38*$H$38</f>
        <v>0</v>
      </c>
      <c r="M38" s="40">
        <f>G38*$H$38</f>
        <v>0</v>
      </c>
    </row>
    <row r="39" spans="2:13" x14ac:dyDescent="0.25">
      <c r="B39" s="115"/>
      <c r="C39" s="116"/>
      <c r="D39" s="117"/>
      <c r="E39" s="117"/>
      <c r="F39" s="117"/>
      <c r="G39" s="117"/>
      <c r="H39" s="36"/>
      <c r="I39" s="36"/>
      <c r="J39" s="117"/>
      <c r="K39" s="117"/>
      <c r="L39" s="117"/>
      <c r="M39" s="117"/>
    </row>
    <row r="40" spans="2:13" ht="45" x14ac:dyDescent="0.25">
      <c r="B40" s="31" t="s">
        <v>146</v>
      </c>
      <c r="C40" s="31" t="s">
        <v>147</v>
      </c>
      <c r="D40" s="117"/>
      <c r="E40" s="117"/>
      <c r="F40" s="117"/>
      <c r="G40" s="117"/>
      <c r="H40" s="36"/>
      <c r="I40" s="36"/>
      <c r="J40" s="117"/>
      <c r="K40" s="117"/>
      <c r="L40" s="117"/>
      <c r="M40" s="117"/>
    </row>
    <row r="41" spans="2:13" x14ac:dyDescent="0.25">
      <c r="B41" s="104">
        <f>K16*B38</f>
        <v>0</v>
      </c>
      <c r="C41" s="104">
        <f>B41*H38</f>
        <v>0</v>
      </c>
      <c r="D41" s="117"/>
      <c r="E41" s="117"/>
      <c r="F41" s="117"/>
      <c r="G41" s="117"/>
      <c r="H41" s="36"/>
      <c r="I41" s="36"/>
      <c r="J41" s="117"/>
      <c r="K41" s="117"/>
      <c r="L41" s="117"/>
      <c r="M41" s="117"/>
    </row>
    <row r="42" spans="2:13" x14ac:dyDescent="0.25">
      <c r="B42" s="115"/>
      <c r="C42" s="116"/>
      <c r="D42" s="117"/>
      <c r="E42" s="117"/>
      <c r="F42" s="117"/>
      <c r="G42" s="117"/>
      <c r="H42" s="36"/>
      <c r="I42" s="36"/>
      <c r="J42" s="117"/>
      <c r="K42" s="117"/>
      <c r="L42" s="117"/>
      <c r="M42" s="117"/>
    </row>
    <row r="44" spans="2:13" x14ac:dyDescent="0.25">
      <c r="B44" s="97" t="s">
        <v>117</v>
      </c>
      <c r="C44" s="101"/>
      <c r="D44" s="101"/>
      <c r="E44" s="102"/>
      <c r="F44" s="102"/>
      <c r="G44" s="102"/>
      <c r="H44" s="102"/>
      <c r="I44" s="102"/>
    </row>
    <row r="45" spans="2:13" x14ac:dyDescent="0.25">
      <c r="B45" s="98" t="s">
        <v>119</v>
      </c>
      <c r="C45" s="98" t="s">
        <v>120</v>
      </c>
      <c r="D45" s="98" t="s">
        <v>121</v>
      </c>
      <c r="E45" s="98" t="s">
        <v>122</v>
      </c>
      <c r="F45" s="98" t="s">
        <v>124</v>
      </c>
      <c r="G45" s="98" t="s">
        <v>123</v>
      </c>
      <c r="H45" s="98" t="s">
        <v>129</v>
      </c>
    </row>
    <row r="46" spans="2:13" x14ac:dyDescent="0.25">
      <c r="B46" s="98" t="s">
        <v>125</v>
      </c>
      <c r="C46" s="100">
        <f>C38</f>
        <v>0</v>
      </c>
      <c r="D46" s="110">
        <f>D38</f>
        <v>0</v>
      </c>
      <c r="E46" s="110">
        <f>E38</f>
        <v>0</v>
      </c>
      <c r="F46" s="110">
        <f>L38/2</f>
        <v>0</v>
      </c>
      <c r="G46" s="110">
        <f>L38/2</f>
        <v>0</v>
      </c>
      <c r="H46" s="110">
        <f>G38</f>
        <v>0</v>
      </c>
    </row>
    <row r="47" spans="2:13" x14ac:dyDescent="0.25">
      <c r="B47" s="98" t="s">
        <v>118</v>
      </c>
      <c r="C47" s="99">
        <f>Interface!$D$26</f>
        <v>13</v>
      </c>
      <c r="D47" s="100">
        <f>IF(Interface!$D$33="Low",Data!F38,IF(Interface!$D$33="Mid",Data!F39,Data!F40))</f>
        <v>22719.298315663542</v>
      </c>
      <c r="E47" s="100">
        <f>IF(Interface!$D$33="Low",Data!G38,IF(Interface!$D$33="Mid",Data!G39,Data!G40))</f>
        <v>43074.662992038728</v>
      </c>
      <c r="F47" s="100">
        <f>IF(Interface!$D$33="Low",Data!H38,IF(Interface!$D$33="Mid",Data!H39,Data!H40))</f>
        <v>355147.22753330966</v>
      </c>
      <c r="G47" s="100">
        <f>IF(Interface!$D$33="Low",Data!I38,IF(Interface!$D$33="Mid",Data!I39,Data!I40))</f>
        <v>2073.4645585437106</v>
      </c>
      <c r="H47" s="100">
        <f>IF(Interface!$D$33="Low",Data!J38,IF(Interface!$D$33="Mid",Data!J39,Data!J40))</f>
        <v>7082.2759585404556</v>
      </c>
    </row>
    <row r="48" spans="2:13" x14ac:dyDescent="0.25">
      <c r="B48" s="98" t="s">
        <v>126</v>
      </c>
      <c r="C48" s="103">
        <f>C46*C47</f>
        <v>0</v>
      </c>
      <c r="D48" s="103">
        <f t="shared" ref="D48:E48" si="3">D46*D47</f>
        <v>0</v>
      </c>
      <c r="E48" s="103">
        <f t="shared" si="3"/>
        <v>0</v>
      </c>
      <c r="F48" s="103">
        <f>F46*F47</f>
        <v>0</v>
      </c>
      <c r="G48" s="103">
        <f>G46*G47</f>
        <v>0</v>
      </c>
      <c r="H48" s="103">
        <f>H46*H47</f>
        <v>0</v>
      </c>
    </row>
    <row r="50" spans="2:16" x14ac:dyDescent="0.25">
      <c r="B50" s="97" t="s">
        <v>130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6" t="s">
        <v>142</v>
      </c>
    </row>
    <row r="51" spans="2:16" ht="45" x14ac:dyDescent="0.25">
      <c r="B51" s="98" t="s">
        <v>131</v>
      </c>
      <c r="C51" s="98" t="s">
        <v>132</v>
      </c>
      <c r="D51" s="98" t="s">
        <v>133</v>
      </c>
      <c r="E51" s="98" t="s">
        <v>134</v>
      </c>
      <c r="F51" s="98" t="s">
        <v>124</v>
      </c>
      <c r="G51" s="98" t="s">
        <v>123</v>
      </c>
      <c r="H51" s="98" t="s">
        <v>129</v>
      </c>
      <c r="I51" s="98" t="s">
        <v>135</v>
      </c>
      <c r="J51" s="98" t="s">
        <v>136</v>
      </c>
      <c r="K51" s="98" t="s">
        <v>137</v>
      </c>
      <c r="M51" s="98" t="s">
        <v>131</v>
      </c>
      <c r="N51" s="98" t="s">
        <v>126</v>
      </c>
      <c r="O51" s="98" t="s">
        <v>135</v>
      </c>
      <c r="P51" s="98" t="s">
        <v>136</v>
      </c>
    </row>
    <row r="52" spans="2:16" x14ac:dyDescent="0.25">
      <c r="B52" s="105">
        <v>1</v>
      </c>
      <c r="C52" s="106">
        <f>$C$48</f>
        <v>0</v>
      </c>
      <c r="D52" s="106">
        <f>$D$48</f>
        <v>0</v>
      </c>
      <c r="E52" s="106">
        <f>$E$48</f>
        <v>0</v>
      </c>
      <c r="F52" s="106">
        <f>$F$48</f>
        <v>0</v>
      </c>
      <c r="G52" s="106">
        <f>$G$48</f>
        <v>0</v>
      </c>
      <c r="H52" s="106">
        <f>$H$48</f>
        <v>0</v>
      </c>
      <c r="I52" s="107">
        <f>1/(1+0.05)^B52</f>
        <v>0.95238095238095233</v>
      </c>
      <c r="J52" s="106">
        <f>I52*C52</f>
        <v>0</v>
      </c>
      <c r="K52" s="106">
        <f>SUM(D52:H52)*I52</f>
        <v>0</v>
      </c>
      <c r="M52" s="105">
        <v>1</v>
      </c>
      <c r="N52" s="106">
        <f>Interface!$D$29*Interface!$D$7*Interface!$D$8*Interface!$D$9</f>
        <v>0</v>
      </c>
      <c r="O52" s="107">
        <f t="shared" ref="O52:O81" si="4">1/(1+0.05)^M52</f>
        <v>0.95238095238095233</v>
      </c>
      <c r="P52" s="106">
        <f t="shared" ref="P52:P81" si="5">O52*N52</f>
        <v>0</v>
      </c>
    </row>
    <row r="53" spans="2:16" x14ac:dyDescent="0.25">
      <c r="B53" s="105">
        <v>2</v>
      </c>
      <c r="C53" s="106">
        <f t="shared" ref="C53:C81" si="6">$C$48</f>
        <v>0</v>
      </c>
      <c r="D53" s="106">
        <f t="shared" ref="D53:D81" si="7">$D$48</f>
        <v>0</v>
      </c>
      <c r="E53" s="106">
        <f t="shared" ref="E53:E81" si="8">$E$48</f>
        <v>0</v>
      </c>
      <c r="F53" s="106">
        <f t="shared" ref="F53:F81" si="9">$F$48</f>
        <v>0</v>
      </c>
      <c r="G53" s="106">
        <f t="shared" ref="G53:G81" si="10">$G$48</f>
        <v>0</v>
      </c>
      <c r="H53" s="106">
        <f t="shared" ref="H53:H81" si="11">$H$48</f>
        <v>0</v>
      </c>
      <c r="I53" s="107">
        <f t="shared" ref="I53:I66" si="12">1/(1+0.05)^B53</f>
        <v>0.90702947845804982</v>
      </c>
      <c r="J53" s="106">
        <f t="shared" ref="J53:J66" si="13">I53*C53</f>
        <v>0</v>
      </c>
      <c r="K53" s="106">
        <f t="shared" ref="K53:K66" si="14">SUM(D53:H53)*I53</f>
        <v>0</v>
      </c>
      <c r="M53" s="105">
        <v>2</v>
      </c>
      <c r="N53" s="106">
        <f>Interface!$D$29*Interface!$D$7*Interface!$D$8*Interface!$D$9</f>
        <v>0</v>
      </c>
      <c r="O53" s="107">
        <f t="shared" si="4"/>
        <v>0.90702947845804982</v>
      </c>
      <c r="P53" s="106">
        <f t="shared" si="5"/>
        <v>0</v>
      </c>
    </row>
    <row r="54" spans="2:16" x14ac:dyDescent="0.25">
      <c r="B54" s="105">
        <v>3</v>
      </c>
      <c r="C54" s="106">
        <f t="shared" si="6"/>
        <v>0</v>
      </c>
      <c r="D54" s="106">
        <f t="shared" si="7"/>
        <v>0</v>
      </c>
      <c r="E54" s="106">
        <f t="shared" si="8"/>
        <v>0</v>
      </c>
      <c r="F54" s="106">
        <f t="shared" si="9"/>
        <v>0</v>
      </c>
      <c r="G54" s="106">
        <f t="shared" si="10"/>
        <v>0</v>
      </c>
      <c r="H54" s="106">
        <f t="shared" si="11"/>
        <v>0</v>
      </c>
      <c r="I54" s="107">
        <f t="shared" si="12"/>
        <v>0.86383759853147601</v>
      </c>
      <c r="J54" s="106">
        <f t="shared" si="13"/>
        <v>0</v>
      </c>
      <c r="K54" s="106">
        <f t="shared" si="14"/>
        <v>0</v>
      </c>
      <c r="M54" s="105">
        <v>3</v>
      </c>
      <c r="N54" s="106">
        <f>Interface!$D$29*Interface!$D$7*Interface!$D$8*Interface!$D$9</f>
        <v>0</v>
      </c>
      <c r="O54" s="107">
        <f t="shared" si="4"/>
        <v>0.86383759853147601</v>
      </c>
      <c r="P54" s="106">
        <f t="shared" si="5"/>
        <v>0</v>
      </c>
    </row>
    <row r="55" spans="2:16" x14ac:dyDescent="0.25">
      <c r="B55" s="105">
        <v>4</v>
      </c>
      <c r="C55" s="106">
        <f t="shared" si="6"/>
        <v>0</v>
      </c>
      <c r="D55" s="106">
        <f t="shared" si="7"/>
        <v>0</v>
      </c>
      <c r="E55" s="106">
        <f t="shared" si="8"/>
        <v>0</v>
      </c>
      <c r="F55" s="106">
        <f t="shared" si="9"/>
        <v>0</v>
      </c>
      <c r="G55" s="106">
        <f t="shared" si="10"/>
        <v>0</v>
      </c>
      <c r="H55" s="106">
        <f t="shared" si="11"/>
        <v>0</v>
      </c>
      <c r="I55" s="107">
        <f t="shared" si="12"/>
        <v>0.82270247479188197</v>
      </c>
      <c r="J55" s="106">
        <f t="shared" si="13"/>
        <v>0</v>
      </c>
      <c r="K55" s="106">
        <f t="shared" si="14"/>
        <v>0</v>
      </c>
      <c r="M55" s="105">
        <v>4</v>
      </c>
      <c r="N55" s="106">
        <f>Interface!$D$29*Interface!$D$7*Interface!$D$8*Interface!$D$9</f>
        <v>0</v>
      </c>
      <c r="O55" s="107">
        <f t="shared" si="4"/>
        <v>0.82270247479188197</v>
      </c>
      <c r="P55" s="106">
        <f t="shared" si="5"/>
        <v>0</v>
      </c>
    </row>
    <row r="56" spans="2:16" x14ac:dyDescent="0.25">
      <c r="B56" s="105">
        <v>5</v>
      </c>
      <c r="C56" s="106">
        <f t="shared" si="6"/>
        <v>0</v>
      </c>
      <c r="D56" s="106">
        <f t="shared" si="7"/>
        <v>0</v>
      </c>
      <c r="E56" s="106">
        <f t="shared" si="8"/>
        <v>0</v>
      </c>
      <c r="F56" s="106">
        <f t="shared" si="9"/>
        <v>0</v>
      </c>
      <c r="G56" s="106">
        <f t="shared" si="10"/>
        <v>0</v>
      </c>
      <c r="H56" s="106">
        <f t="shared" si="11"/>
        <v>0</v>
      </c>
      <c r="I56" s="107">
        <f t="shared" si="12"/>
        <v>0.78352616646845896</v>
      </c>
      <c r="J56" s="106">
        <f t="shared" si="13"/>
        <v>0</v>
      </c>
      <c r="K56" s="106">
        <f t="shared" si="14"/>
        <v>0</v>
      </c>
      <c r="M56" s="105">
        <v>5</v>
      </c>
      <c r="N56" s="106">
        <f>Interface!$D$29*Interface!$D$7*Interface!$D$8*Interface!$D$9</f>
        <v>0</v>
      </c>
      <c r="O56" s="107">
        <f t="shared" si="4"/>
        <v>0.78352616646845896</v>
      </c>
      <c r="P56" s="106">
        <f t="shared" si="5"/>
        <v>0</v>
      </c>
    </row>
    <row r="57" spans="2:16" x14ac:dyDescent="0.25">
      <c r="B57" s="105">
        <v>6</v>
      </c>
      <c r="C57" s="106">
        <f t="shared" si="6"/>
        <v>0</v>
      </c>
      <c r="D57" s="106">
        <f t="shared" si="7"/>
        <v>0</v>
      </c>
      <c r="E57" s="106">
        <f t="shared" si="8"/>
        <v>0</v>
      </c>
      <c r="F57" s="106">
        <f t="shared" si="9"/>
        <v>0</v>
      </c>
      <c r="G57" s="106">
        <f t="shared" si="10"/>
        <v>0</v>
      </c>
      <c r="H57" s="106">
        <f t="shared" si="11"/>
        <v>0</v>
      </c>
      <c r="I57" s="107">
        <f t="shared" si="12"/>
        <v>0.74621539663662761</v>
      </c>
      <c r="J57" s="106">
        <f t="shared" si="13"/>
        <v>0</v>
      </c>
      <c r="K57" s="106">
        <f t="shared" si="14"/>
        <v>0</v>
      </c>
      <c r="M57" s="105">
        <v>6</v>
      </c>
      <c r="N57" s="106">
        <f>Interface!$D$29*Interface!$D$7*Interface!$D$8*Interface!$D$9</f>
        <v>0</v>
      </c>
      <c r="O57" s="107">
        <f t="shared" si="4"/>
        <v>0.74621539663662761</v>
      </c>
      <c r="P57" s="106">
        <f t="shared" si="5"/>
        <v>0</v>
      </c>
    </row>
    <row r="58" spans="2:16" x14ac:dyDescent="0.25">
      <c r="B58" s="105">
        <v>7</v>
      </c>
      <c r="C58" s="106">
        <f t="shared" si="6"/>
        <v>0</v>
      </c>
      <c r="D58" s="106">
        <f t="shared" si="7"/>
        <v>0</v>
      </c>
      <c r="E58" s="106">
        <f t="shared" si="8"/>
        <v>0</v>
      </c>
      <c r="F58" s="106">
        <f t="shared" si="9"/>
        <v>0</v>
      </c>
      <c r="G58" s="106">
        <f t="shared" si="10"/>
        <v>0</v>
      </c>
      <c r="H58" s="106">
        <f t="shared" si="11"/>
        <v>0</v>
      </c>
      <c r="I58" s="107">
        <f t="shared" si="12"/>
        <v>0.71068133013012147</v>
      </c>
      <c r="J58" s="106">
        <f t="shared" si="13"/>
        <v>0</v>
      </c>
      <c r="K58" s="106">
        <f t="shared" si="14"/>
        <v>0</v>
      </c>
      <c r="M58" s="105">
        <v>7</v>
      </c>
      <c r="N58" s="106">
        <f>Interface!$D$29*Interface!$D$7*Interface!$D$8*Interface!$D$9</f>
        <v>0</v>
      </c>
      <c r="O58" s="107">
        <f t="shared" si="4"/>
        <v>0.71068133013012147</v>
      </c>
      <c r="P58" s="106">
        <f t="shared" si="5"/>
        <v>0</v>
      </c>
    </row>
    <row r="59" spans="2:16" x14ac:dyDescent="0.25">
      <c r="B59" s="105">
        <v>8</v>
      </c>
      <c r="C59" s="106">
        <f t="shared" si="6"/>
        <v>0</v>
      </c>
      <c r="D59" s="106">
        <f t="shared" si="7"/>
        <v>0</v>
      </c>
      <c r="E59" s="106">
        <f t="shared" si="8"/>
        <v>0</v>
      </c>
      <c r="F59" s="106">
        <f t="shared" si="9"/>
        <v>0</v>
      </c>
      <c r="G59" s="106">
        <f t="shared" si="10"/>
        <v>0</v>
      </c>
      <c r="H59" s="106">
        <f t="shared" si="11"/>
        <v>0</v>
      </c>
      <c r="I59" s="107">
        <f t="shared" si="12"/>
        <v>0.67683936202868722</v>
      </c>
      <c r="J59" s="106">
        <f t="shared" si="13"/>
        <v>0</v>
      </c>
      <c r="K59" s="106">
        <f t="shared" si="14"/>
        <v>0</v>
      </c>
      <c r="M59" s="105">
        <v>8</v>
      </c>
      <c r="N59" s="106">
        <f>Interface!$D$29*Interface!$D$7*Interface!$D$8*Interface!$D$9</f>
        <v>0</v>
      </c>
      <c r="O59" s="107">
        <f t="shared" si="4"/>
        <v>0.67683936202868722</v>
      </c>
      <c r="P59" s="106">
        <f t="shared" si="5"/>
        <v>0</v>
      </c>
    </row>
    <row r="60" spans="2:16" x14ac:dyDescent="0.25">
      <c r="B60" s="105">
        <v>9</v>
      </c>
      <c r="C60" s="106">
        <f t="shared" si="6"/>
        <v>0</v>
      </c>
      <c r="D60" s="106">
        <f t="shared" si="7"/>
        <v>0</v>
      </c>
      <c r="E60" s="106">
        <f t="shared" si="8"/>
        <v>0</v>
      </c>
      <c r="F60" s="106">
        <f t="shared" si="9"/>
        <v>0</v>
      </c>
      <c r="G60" s="106">
        <f t="shared" si="10"/>
        <v>0</v>
      </c>
      <c r="H60" s="106">
        <f t="shared" si="11"/>
        <v>0</v>
      </c>
      <c r="I60" s="107">
        <f t="shared" si="12"/>
        <v>0.64460891621779726</v>
      </c>
      <c r="J60" s="106">
        <f t="shared" si="13"/>
        <v>0</v>
      </c>
      <c r="K60" s="106">
        <f t="shared" si="14"/>
        <v>0</v>
      </c>
      <c r="M60" s="105">
        <v>9</v>
      </c>
      <c r="N60" s="106">
        <f>Interface!$D$29*Interface!$D$7*Interface!$D$8*Interface!$D$9</f>
        <v>0</v>
      </c>
      <c r="O60" s="107">
        <f t="shared" si="4"/>
        <v>0.64460891621779726</v>
      </c>
      <c r="P60" s="106">
        <f t="shared" si="5"/>
        <v>0</v>
      </c>
    </row>
    <row r="61" spans="2:16" x14ac:dyDescent="0.25">
      <c r="B61" s="105">
        <v>10</v>
      </c>
      <c r="C61" s="106">
        <f t="shared" si="6"/>
        <v>0</v>
      </c>
      <c r="D61" s="106">
        <f t="shared" si="7"/>
        <v>0</v>
      </c>
      <c r="E61" s="106">
        <f t="shared" si="8"/>
        <v>0</v>
      </c>
      <c r="F61" s="106">
        <f t="shared" si="9"/>
        <v>0</v>
      </c>
      <c r="G61" s="106">
        <f t="shared" si="10"/>
        <v>0</v>
      </c>
      <c r="H61" s="106">
        <f t="shared" si="11"/>
        <v>0</v>
      </c>
      <c r="I61" s="107">
        <f t="shared" si="12"/>
        <v>0.61391325354075932</v>
      </c>
      <c r="J61" s="106">
        <f t="shared" si="13"/>
        <v>0</v>
      </c>
      <c r="K61" s="106">
        <f t="shared" si="14"/>
        <v>0</v>
      </c>
      <c r="M61" s="105">
        <v>10</v>
      </c>
      <c r="N61" s="106">
        <f>Interface!$D$29*Interface!$D$7*Interface!$D$8*Interface!$D$9</f>
        <v>0</v>
      </c>
      <c r="O61" s="107">
        <f t="shared" si="4"/>
        <v>0.61391325354075932</v>
      </c>
      <c r="P61" s="106">
        <f t="shared" si="5"/>
        <v>0</v>
      </c>
    </row>
    <row r="62" spans="2:16" x14ac:dyDescent="0.25">
      <c r="B62" s="105">
        <v>11</v>
      </c>
      <c r="C62" s="106">
        <f t="shared" si="6"/>
        <v>0</v>
      </c>
      <c r="D62" s="106">
        <f t="shared" si="7"/>
        <v>0</v>
      </c>
      <c r="E62" s="106">
        <f t="shared" si="8"/>
        <v>0</v>
      </c>
      <c r="F62" s="106">
        <f t="shared" si="9"/>
        <v>0</v>
      </c>
      <c r="G62" s="106">
        <f t="shared" si="10"/>
        <v>0</v>
      </c>
      <c r="H62" s="106">
        <f t="shared" si="11"/>
        <v>0</v>
      </c>
      <c r="I62" s="107">
        <f t="shared" si="12"/>
        <v>0.5846792890864374</v>
      </c>
      <c r="J62" s="106">
        <f t="shared" si="13"/>
        <v>0</v>
      </c>
      <c r="K62" s="106">
        <f t="shared" si="14"/>
        <v>0</v>
      </c>
      <c r="M62" s="105">
        <v>11</v>
      </c>
      <c r="N62" s="106">
        <f>Interface!$D$29*Interface!$D$7*Interface!$D$8*Interface!$D$9</f>
        <v>0</v>
      </c>
      <c r="O62" s="107">
        <f t="shared" si="4"/>
        <v>0.5846792890864374</v>
      </c>
      <c r="P62" s="106">
        <f t="shared" si="5"/>
        <v>0</v>
      </c>
    </row>
    <row r="63" spans="2:16" x14ac:dyDescent="0.25">
      <c r="B63" s="105">
        <v>12</v>
      </c>
      <c r="C63" s="106">
        <f t="shared" si="6"/>
        <v>0</v>
      </c>
      <c r="D63" s="106">
        <f t="shared" si="7"/>
        <v>0</v>
      </c>
      <c r="E63" s="106">
        <f t="shared" si="8"/>
        <v>0</v>
      </c>
      <c r="F63" s="106">
        <f t="shared" si="9"/>
        <v>0</v>
      </c>
      <c r="G63" s="106">
        <f t="shared" si="10"/>
        <v>0</v>
      </c>
      <c r="H63" s="106">
        <f t="shared" si="11"/>
        <v>0</v>
      </c>
      <c r="I63" s="107">
        <f t="shared" si="12"/>
        <v>0.5568374181775595</v>
      </c>
      <c r="J63" s="106">
        <f t="shared" si="13"/>
        <v>0</v>
      </c>
      <c r="K63" s="106">
        <f t="shared" si="14"/>
        <v>0</v>
      </c>
      <c r="M63" s="105">
        <v>12</v>
      </c>
      <c r="N63" s="106">
        <f>Interface!$D$29*Interface!$D$7*Interface!$D$8*Interface!$D$9</f>
        <v>0</v>
      </c>
      <c r="O63" s="107">
        <f t="shared" si="4"/>
        <v>0.5568374181775595</v>
      </c>
      <c r="P63" s="106">
        <f t="shared" si="5"/>
        <v>0</v>
      </c>
    </row>
    <row r="64" spans="2:16" x14ac:dyDescent="0.25">
      <c r="B64" s="105">
        <v>13</v>
      </c>
      <c r="C64" s="106">
        <f t="shared" si="6"/>
        <v>0</v>
      </c>
      <c r="D64" s="106">
        <f t="shared" si="7"/>
        <v>0</v>
      </c>
      <c r="E64" s="106">
        <f t="shared" si="8"/>
        <v>0</v>
      </c>
      <c r="F64" s="106">
        <f t="shared" si="9"/>
        <v>0</v>
      </c>
      <c r="G64" s="106">
        <f t="shared" si="10"/>
        <v>0</v>
      </c>
      <c r="H64" s="106">
        <f t="shared" si="11"/>
        <v>0</v>
      </c>
      <c r="I64" s="107">
        <f t="shared" si="12"/>
        <v>0.53032135064529462</v>
      </c>
      <c r="J64" s="106">
        <f t="shared" si="13"/>
        <v>0</v>
      </c>
      <c r="K64" s="106">
        <f t="shared" si="14"/>
        <v>0</v>
      </c>
      <c r="M64" s="105">
        <v>13</v>
      </c>
      <c r="N64" s="106">
        <f>Interface!$D$29*Interface!$D$7*Interface!$D$8*Interface!$D$9</f>
        <v>0</v>
      </c>
      <c r="O64" s="107">
        <f t="shared" si="4"/>
        <v>0.53032135064529462</v>
      </c>
      <c r="P64" s="106">
        <f t="shared" si="5"/>
        <v>0</v>
      </c>
    </row>
    <row r="65" spans="2:16" x14ac:dyDescent="0.25">
      <c r="B65" s="105">
        <v>14</v>
      </c>
      <c r="C65" s="106">
        <f t="shared" si="6"/>
        <v>0</v>
      </c>
      <c r="D65" s="106">
        <f t="shared" si="7"/>
        <v>0</v>
      </c>
      <c r="E65" s="106">
        <f t="shared" si="8"/>
        <v>0</v>
      </c>
      <c r="F65" s="106">
        <f t="shared" si="9"/>
        <v>0</v>
      </c>
      <c r="G65" s="106">
        <f t="shared" si="10"/>
        <v>0</v>
      </c>
      <c r="H65" s="106">
        <f t="shared" si="11"/>
        <v>0</v>
      </c>
      <c r="I65" s="107">
        <f t="shared" si="12"/>
        <v>0.50506795299551888</v>
      </c>
      <c r="J65" s="106">
        <f t="shared" si="13"/>
        <v>0</v>
      </c>
      <c r="K65" s="106">
        <f t="shared" si="14"/>
        <v>0</v>
      </c>
      <c r="M65" s="105">
        <v>14</v>
      </c>
      <c r="N65" s="106">
        <f>Interface!$D$29*Interface!$D$7*Interface!$D$8*Interface!$D$9</f>
        <v>0</v>
      </c>
      <c r="O65" s="107">
        <f t="shared" si="4"/>
        <v>0.50506795299551888</v>
      </c>
      <c r="P65" s="106">
        <f t="shared" si="5"/>
        <v>0</v>
      </c>
    </row>
    <row r="66" spans="2:16" x14ac:dyDescent="0.25">
      <c r="B66" s="105">
        <v>15</v>
      </c>
      <c r="C66" s="106">
        <f t="shared" si="6"/>
        <v>0</v>
      </c>
      <c r="D66" s="106">
        <f t="shared" si="7"/>
        <v>0</v>
      </c>
      <c r="E66" s="106">
        <f t="shared" si="8"/>
        <v>0</v>
      </c>
      <c r="F66" s="106">
        <f t="shared" si="9"/>
        <v>0</v>
      </c>
      <c r="G66" s="106">
        <f t="shared" si="10"/>
        <v>0</v>
      </c>
      <c r="H66" s="106">
        <f t="shared" si="11"/>
        <v>0</v>
      </c>
      <c r="I66" s="107">
        <f t="shared" si="12"/>
        <v>0.48101709809097021</v>
      </c>
      <c r="J66" s="106">
        <f t="shared" si="13"/>
        <v>0</v>
      </c>
      <c r="K66" s="106">
        <f t="shared" si="14"/>
        <v>0</v>
      </c>
      <c r="M66" s="105">
        <v>15</v>
      </c>
      <c r="N66" s="106">
        <f>Interface!$D$29*Interface!$D$7*Interface!$D$8*Interface!$D$9</f>
        <v>0</v>
      </c>
      <c r="O66" s="107">
        <f t="shared" si="4"/>
        <v>0.48101709809097021</v>
      </c>
      <c r="P66" s="106">
        <f t="shared" si="5"/>
        <v>0</v>
      </c>
    </row>
    <row r="67" spans="2:16" x14ac:dyDescent="0.25">
      <c r="B67" s="105">
        <v>16</v>
      </c>
      <c r="C67" s="106">
        <f t="shared" si="6"/>
        <v>0</v>
      </c>
      <c r="D67" s="106">
        <f t="shared" si="7"/>
        <v>0</v>
      </c>
      <c r="E67" s="106">
        <f t="shared" si="8"/>
        <v>0</v>
      </c>
      <c r="F67" s="106">
        <f t="shared" si="9"/>
        <v>0</v>
      </c>
      <c r="G67" s="106">
        <f t="shared" si="10"/>
        <v>0</v>
      </c>
      <c r="H67" s="106">
        <f t="shared" si="11"/>
        <v>0</v>
      </c>
      <c r="I67" s="107">
        <f t="shared" ref="I67:I81" si="15">1/(1+0.05)^B67</f>
        <v>0.45811152199140021</v>
      </c>
      <c r="J67" s="106">
        <f t="shared" ref="J67:J80" si="16">I67*C67</f>
        <v>0</v>
      </c>
      <c r="K67" s="106">
        <f t="shared" ref="K67:K81" si="17">SUM(D67:H67)*I67</f>
        <v>0</v>
      </c>
      <c r="M67" s="105">
        <v>16</v>
      </c>
      <c r="N67" s="106">
        <f>Interface!$D$29*Interface!$D$7*Interface!$D$8*Interface!$D$9</f>
        <v>0</v>
      </c>
      <c r="O67" s="107">
        <f t="shared" si="4"/>
        <v>0.45811152199140021</v>
      </c>
      <c r="P67" s="106">
        <f t="shared" si="5"/>
        <v>0</v>
      </c>
    </row>
    <row r="68" spans="2:16" x14ac:dyDescent="0.25">
      <c r="B68" s="105">
        <v>17</v>
      </c>
      <c r="C68" s="106">
        <f t="shared" si="6"/>
        <v>0</v>
      </c>
      <c r="D68" s="106">
        <f t="shared" si="7"/>
        <v>0</v>
      </c>
      <c r="E68" s="106">
        <f t="shared" si="8"/>
        <v>0</v>
      </c>
      <c r="F68" s="106">
        <f t="shared" si="9"/>
        <v>0</v>
      </c>
      <c r="G68" s="106">
        <f t="shared" si="10"/>
        <v>0</v>
      </c>
      <c r="H68" s="106">
        <f t="shared" si="11"/>
        <v>0</v>
      </c>
      <c r="I68" s="107">
        <f t="shared" si="15"/>
        <v>0.43629668761085727</v>
      </c>
      <c r="J68" s="106">
        <f t="shared" si="16"/>
        <v>0</v>
      </c>
      <c r="K68" s="106">
        <f t="shared" si="17"/>
        <v>0</v>
      </c>
      <c r="M68" s="105">
        <v>17</v>
      </c>
      <c r="N68" s="106">
        <f>Interface!$D$29*Interface!$D$7*Interface!$D$8*Interface!$D$9</f>
        <v>0</v>
      </c>
      <c r="O68" s="107">
        <f t="shared" si="4"/>
        <v>0.43629668761085727</v>
      </c>
      <c r="P68" s="106">
        <f t="shared" si="5"/>
        <v>0</v>
      </c>
    </row>
    <row r="69" spans="2:16" x14ac:dyDescent="0.25">
      <c r="B69" s="105">
        <v>18</v>
      </c>
      <c r="C69" s="106">
        <f t="shared" si="6"/>
        <v>0</v>
      </c>
      <c r="D69" s="106">
        <f t="shared" si="7"/>
        <v>0</v>
      </c>
      <c r="E69" s="106">
        <f t="shared" si="8"/>
        <v>0</v>
      </c>
      <c r="F69" s="106">
        <f t="shared" si="9"/>
        <v>0</v>
      </c>
      <c r="G69" s="106">
        <f t="shared" si="10"/>
        <v>0</v>
      </c>
      <c r="H69" s="106">
        <f t="shared" si="11"/>
        <v>0</v>
      </c>
      <c r="I69" s="107">
        <f t="shared" si="15"/>
        <v>0.41552065486748313</v>
      </c>
      <c r="J69" s="106">
        <f t="shared" si="16"/>
        <v>0</v>
      </c>
      <c r="K69" s="106">
        <f t="shared" si="17"/>
        <v>0</v>
      </c>
      <c r="M69" s="105">
        <v>18</v>
      </c>
      <c r="N69" s="106">
        <f>Interface!$D$29*Interface!$D$7*Interface!$D$8*Interface!$D$9</f>
        <v>0</v>
      </c>
      <c r="O69" s="107">
        <f t="shared" si="4"/>
        <v>0.41552065486748313</v>
      </c>
      <c r="P69" s="106">
        <f t="shared" si="5"/>
        <v>0</v>
      </c>
    </row>
    <row r="70" spans="2:16" x14ac:dyDescent="0.25">
      <c r="B70" s="105">
        <v>19</v>
      </c>
      <c r="C70" s="106">
        <f t="shared" si="6"/>
        <v>0</v>
      </c>
      <c r="D70" s="106">
        <f t="shared" si="7"/>
        <v>0</v>
      </c>
      <c r="E70" s="106">
        <f t="shared" si="8"/>
        <v>0</v>
      </c>
      <c r="F70" s="106">
        <f t="shared" si="9"/>
        <v>0</v>
      </c>
      <c r="G70" s="106">
        <f t="shared" si="10"/>
        <v>0</v>
      </c>
      <c r="H70" s="106">
        <f t="shared" si="11"/>
        <v>0</v>
      </c>
      <c r="I70" s="107">
        <f t="shared" si="15"/>
        <v>0.39573395701665059</v>
      </c>
      <c r="J70" s="106">
        <f t="shared" si="16"/>
        <v>0</v>
      </c>
      <c r="K70" s="106">
        <f t="shared" si="17"/>
        <v>0</v>
      </c>
      <c r="M70" s="105">
        <v>19</v>
      </c>
      <c r="N70" s="106">
        <f>Interface!$D$29*Interface!$D$7*Interface!$D$8*Interface!$D$9</f>
        <v>0</v>
      </c>
      <c r="O70" s="107">
        <f t="shared" si="4"/>
        <v>0.39573395701665059</v>
      </c>
      <c r="P70" s="106">
        <f t="shared" si="5"/>
        <v>0</v>
      </c>
    </row>
    <row r="71" spans="2:16" x14ac:dyDescent="0.25">
      <c r="B71" s="105">
        <v>20</v>
      </c>
      <c r="C71" s="106">
        <f t="shared" si="6"/>
        <v>0</v>
      </c>
      <c r="D71" s="106">
        <f t="shared" si="7"/>
        <v>0</v>
      </c>
      <c r="E71" s="106">
        <f t="shared" si="8"/>
        <v>0</v>
      </c>
      <c r="F71" s="106">
        <f t="shared" si="9"/>
        <v>0</v>
      </c>
      <c r="G71" s="106">
        <f t="shared" si="10"/>
        <v>0</v>
      </c>
      <c r="H71" s="106">
        <f t="shared" si="11"/>
        <v>0</v>
      </c>
      <c r="I71" s="107">
        <f t="shared" si="15"/>
        <v>0.37688948287300061</v>
      </c>
      <c r="J71" s="106">
        <f t="shared" si="16"/>
        <v>0</v>
      </c>
      <c r="K71" s="106">
        <f t="shared" si="17"/>
        <v>0</v>
      </c>
      <c r="M71" s="105">
        <v>20</v>
      </c>
      <c r="N71" s="106">
        <f>Interface!$D$29*Interface!$D$7*Interface!$D$8*Interface!$D$9</f>
        <v>0</v>
      </c>
      <c r="O71" s="107">
        <f t="shared" si="4"/>
        <v>0.37688948287300061</v>
      </c>
      <c r="P71" s="106">
        <f t="shared" si="5"/>
        <v>0</v>
      </c>
    </row>
    <row r="72" spans="2:16" x14ac:dyDescent="0.25">
      <c r="B72" s="105">
        <v>21</v>
      </c>
      <c r="C72" s="106">
        <f t="shared" si="6"/>
        <v>0</v>
      </c>
      <c r="D72" s="106">
        <f t="shared" si="7"/>
        <v>0</v>
      </c>
      <c r="E72" s="106">
        <f t="shared" si="8"/>
        <v>0</v>
      </c>
      <c r="F72" s="106">
        <f t="shared" si="9"/>
        <v>0</v>
      </c>
      <c r="G72" s="106">
        <f t="shared" si="10"/>
        <v>0</v>
      </c>
      <c r="H72" s="106">
        <f t="shared" si="11"/>
        <v>0</v>
      </c>
      <c r="I72" s="107">
        <f t="shared" si="15"/>
        <v>0.35894236464095297</v>
      </c>
      <c r="J72" s="106">
        <f t="shared" si="16"/>
        <v>0</v>
      </c>
      <c r="K72" s="106">
        <f t="shared" si="17"/>
        <v>0</v>
      </c>
      <c r="M72" s="105">
        <v>21</v>
      </c>
      <c r="N72" s="106">
        <f>Interface!$D$29*Interface!$D$7*Interface!$D$8*Interface!$D$9</f>
        <v>0</v>
      </c>
      <c r="O72" s="107">
        <f t="shared" si="4"/>
        <v>0.35894236464095297</v>
      </c>
      <c r="P72" s="106">
        <f t="shared" si="5"/>
        <v>0</v>
      </c>
    </row>
    <row r="73" spans="2:16" x14ac:dyDescent="0.25">
      <c r="B73" s="105">
        <v>22</v>
      </c>
      <c r="C73" s="106">
        <f t="shared" si="6"/>
        <v>0</v>
      </c>
      <c r="D73" s="106">
        <f t="shared" si="7"/>
        <v>0</v>
      </c>
      <c r="E73" s="106">
        <f t="shared" si="8"/>
        <v>0</v>
      </c>
      <c r="F73" s="106">
        <f t="shared" si="9"/>
        <v>0</v>
      </c>
      <c r="G73" s="106">
        <f t="shared" si="10"/>
        <v>0</v>
      </c>
      <c r="H73" s="106">
        <f t="shared" si="11"/>
        <v>0</v>
      </c>
      <c r="I73" s="107">
        <f t="shared" si="15"/>
        <v>0.3418498710866219</v>
      </c>
      <c r="J73" s="106">
        <f t="shared" si="16"/>
        <v>0</v>
      </c>
      <c r="K73" s="106">
        <f t="shared" si="17"/>
        <v>0</v>
      </c>
      <c r="M73" s="105">
        <v>22</v>
      </c>
      <c r="N73" s="106">
        <f>Interface!$D$29*Interface!$D$7*Interface!$D$8*Interface!$D$9</f>
        <v>0</v>
      </c>
      <c r="O73" s="107">
        <f t="shared" si="4"/>
        <v>0.3418498710866219</v>
      </c>
      <c r="P73" s="106">
        <f t="shared" si="5"/>
        <v>0</v>
      </c>
    </row>
    <row r="74" spans="2:16" x14ac:dyDescent="0.25">
      <c r="B74" s="105">
        <v>23</v>
      </c>
      <c r="C74" s="106">
        <f t="shared" si="6"/>
        <v>0</v>
      </c>
      <c r="D74" s="106">
        <f t="shared" si="7"/>
        <v>0</v>
      </c>
      <c r="E74" s="106">
        <f t="shared" si="8"/>
        <v>0</v>
      </c>
      <c r="F74" s="106">
        <f t="shared" si="9"/>
        <v>0</v>
      </c>
      <c r="G74" s="106">
        <f t="shared" si="10"/>
        <v>0</v>
      </c>
      <c r="H74" s="106">
        <f t="shared" si="11"/>
        <v>0</v>
      </c>
      <c r="I74" s="107">
        <f t="shared" si="15"/>
        <v>0.32557130579678267</v>
      </c>
      <c r="J74" s="106">
        <f t="shared" si="16"/>
        <v>0</v>
      </c>
      <c r="K74" s="106">
        <f t="shared" si="17"/>
        <v>0</v>
      </c>
      <c r="M74" s="105">
        <v>23</v>
      </c>
      <c r="N74" s="106">
        <f>Interface!$D$29*Interface!$D$7*Interface!$D$8*Interface!$D$9</f>
        <v>0</v>
      </c>
      <c r="O74" s="107">
        <f t="shared" si="4"/>
        <v>0.32557130579678267</v>
      </c>
      <c r="P74" s="106">
        <f t="shared" si="5"/>
        <v>0</v>
      </c>
    </row>
    <row r="75" spans="2:16" x14ac:dyDescent="0.25">
      <c r="B75" s="105">
        <v>24</v>
      </c>
      <c r="C75" s="106">
        <f t="shared" si="6"/>
        <v>0</v>
      </c>
      <c r="D75" s="106">
        <f t="shared" si="7"/>
        <v>0</v>
      </c>
      <c r="E75" s="106">
        <f t="shared" si="8"/>
        <v>0</v>
      </c>
      <c r="F75" s="106">
        <f t="shared" si="9"/>
        <v>0</v>
      </c>
      <c r="G75" s="106">
        <f t="shared" si="10"/>
        <v>0</v>
      </c>
      <c r="H75" s="106">
        <f t="shared" si="11"/>
        <v>0</v>
      </c>
      <c r="I75" s="107">
        <f t="shared" si="15"/>
        <v>0.31006791028265024</v>
      </c>
      <c r="J75" s="106">
        <f t="shared" si="16"/>
        <v>0</v>
      </c>
      <c r="K75" s="106">
        <f t="shared" si="17"/>
        <v>0</v>
      </c>
      <c r="M75" s="105">
        <v>24</v>
      </c>
      <c r="N75" s="106">
        <f>Interface!$D$29*Interface!$D$7*Interface!$D$8*Interface!$D$9</f>
        <v>0</v>
      </c>
      <c r="O75" s="107">
        <f t="shared" si="4"/>
        <v>0.31006791028265024</v>
      </c>
      <c r="P75" s="106">
        <f t="shared" si="5"/>
        <v>0</v>
      </c>
    </row>
    <row r="76" spans="2:16" x14ac:dyDescent="0.25">
      <c r="B76" s="105">
        <v>25</v>
      </c>
      <c r="C76" s="106">
        <f t="shared" si="6"/>
        <v>0</v>
      </c>
      <c r="D76" s="106">
        <f t="shared" si="7"/>
        <v>0</v>
      </c>
      <c r="E76" s="106">
        <f t="shared" si="8"/>
        <v>0</v>
      </c>
      <c r="F76" s="106">
        <f t="shared" si="9"/>
        <v>0</v>
      </c>
      <c r="G76" s="106">
        <f t="shared" si="10"/>
        <v>0</v>
      </c>
      <c r="H76" s="106">
        <f t="shared" si="11"/>
        <v>0</v>
      </c>
      <c r="I76" s="107">
        <f t="shared" si="15"/>
        <v>0.29530277169776209</v>
      </c>
      <c r="J76" s="106">
        <f t="shared" si="16"/>
        <v>0</v>
      </c>
      <c r="K76" s="106">
        <f t="shared" si="17"/>
        <v>0</v>
      </c>
      <c r="M76" s="105">
        <v>25</v>
      </c>
      <c r="N76" s="106">
        <f>Interface!$D$29*Interface!$D$7*Interface!$D$8*Interface!$D$9</f>
        <v>0</v>
      </c>
      <c r="O76" s="107">
        <f t="shared" si="4"/>
        <v>0.29530277169776209</v>
      </c>
      <c r="P76" s="106">
        <f t="shared" si="5"/>
        <v>0</v>
      </c>
    </row>
    <row r="77" spans="2:16" x14ac:dyDescent="0.25">
      <c r="B77" s="105">
        <v>26</v>
      </c>
      <c r="C77" s="106">
        <f t="shared" si="6"/>
        <v>0</v>
      </c>
      <c r="D77" s="106">
        <f t="shared" si="7"/>
        <v>0</v>
      </c>
      <c r="E77" s="106">
        <f t="shared" si="8"/>
        <v>0</v>
      </c>
      <c r="F77" s="106">
        <f t="shared" si="9"/>
        <v>0</v>
      </c>
      <c r="G77" s="106">
        <f t="shared" si="10"/>
        <v>0</v>
      </c>
      <c r="H77" s="106">
        <f t="shared" si="11"/>
        <v>0</v>
      </c>
      <c r="I77" s="107">
        <f t="shared" si="15"/>
        <v>0.28124073495024959</v>
      </c>
      <c r="J77" s="106">
        <f t="shared" si="16"/>
        <v>0</v>
      </c>
      <c r="K77" s="106">
        <f t="shared" si="17"/>
        <v>0</v>
      </c>
      <c r="M77" s="105">
        <v>26</v>
      </c>
      <c r="N77" s="106">
        <f>Interface!$D$29*Interface!$D$7*Interface!$D$8*Interface!$D$9</f>
        <v>0</v>
      </c>
      <c r="O77" s="107">
        <f t="shared" si="4"/>
        <v>0.28124073495024959</v>
      </c>
      <c r="P77" s="106">
        <f t="shared" si="5"/>
        <v>0</v>
      </c>
    </row>
    <row r="78" spans="2:16" x14ac:dyDescent="0.25">
      <c r="B78" s="105">
        <v>27</v>
      </c>
      <c r="C78" s="106">
        <f t="shared" si="6"/>
        <v>0</v>
      </c>
      <c r="D78" s="106">
        <f t="shared" si="7"/>
        <v>0</v>
      </c>
      <c r="E78" s="106">
        <f t="shared" si="8"/>
        <v>0</v>
      </c>
      <c r="F78" s="106">
        <f t="shared" si="9"/>
        <v>0</v>
      </c>
      <c r="G78" s="106">
        <f t="shared" si="10"/>
        <v>0</v>
      </c>
      <c r="H78" s="106">
        <f t="shared" si="11"/>
        <v>0</v>
      </c>
      <c r="I78" s="107">
        <f t="shared" si="15"/>
        <v>0.2678483190002377</v>
      </c>
      <c r="J78" s="106">
        <f t="shared" si="16"/>
        <v>0</v>
      </c>
      <c r="K78" s="106">
        <f t="shared" si="17"/>
        <v>0</v>
      </c>
      <c r="M78" s="105">
        <v>27</v>
      </c>
      <c r="N78" s="106">
        <f>Interface!$D$29*Interface!$D$7*Interface!$D$8*Interface!$D$9</f>
        <v>0</v>
      </c>
      <c r="O78" s="107">
        <f t="shared" si="4"/>
        <v>0.2678483190002377</v>
      </c>
      <c r="P78" s="106">
        <f t="shared" si="5"/>
        <v>0</v>
      </c>
    </row>
    <row r="79" spans="2:16" x14ac:dyDescent="0.25">
      <c r="B79" s="105">
        <v>28</v>
      </c>
      <c r="C79" s="106">
        <f t="shared" si="6"/>
        <v>0</v>
      </c>
      <c r="D79" s="106">
        <f t="shared" si="7"/>
        <v>0</v>
      </c>
      <c r="E79" s="106">
        <f t="shared" si="8"/>
        <v>0</v>
      </c>
      <c r="F79" s="106">
        <f t="shared" si="9"/>
        <v>0</v>
      </c>
      <c r="G79" s="106">
        <f t="shared" si="10"/>
        <v>0</v>
      </c>
      <c r="H79" s="106">
        <f t="shared" si="11"/>
        <v>0</v>
      </c>
      <c r="I79" s="107">
        <f t="shared" si="15"/>
        <v>0.25509363714308358</v>
      </c>
      <c r="J79" s="106">
        <f t="shared" si="16"/>
        <v>0</v>
      </c>
      <c r="K79" s="106">
        <f t="shared" si="17"/>
        <v>0</v>
      </c>
      <c r="M79" s="105">
        <v>28</v>
      </c>
      <c r="N79" s="106">
        <f>Interface!$D$29*Interface!$D$7*Interface!$D$8*Interface!$D$9</f>
        <v>0</v>
      </c>
      <c r="O79" s="107">
        <f t="shared" si="4"/>
        <v>0.25509363714308358</v>
      </c>
      <c r="P79" s="106">
        <f t="shared" si="5"/>
        <v>0</v>
      </c>
    </row>
    <row r="80" spans="2:16" x14ac:dyDescent="0.25">
      <c r="B80" s="105">
        <v>29</v>
      </c>
      <c r="C80" s="106">
        <f t="shared" si="6"/>
        <v>0</v>
      </c>
      <c r="D80" s="106">
        <f t="shared" si="7"/>
        <v>0</v>
      </c>
      <c r="E80" s="106">
        <f t="shared" si="8"/>
        <v>0</v>
      </c>
      <c r="F80" s="106">
        <f t="shared" si="9"/>
        <v>0</v>
      </c>
      <c r="G80" s="106">
        <f t="shared" si="10"/>
        <v>0</v>
      </c>
      <c r="H80" s="106">
        <f t="shared" si="11"/>
        <v>0</v>
      </c>
      <c r="I80" s="107">
        <f t="shared" si="15"/>
        <v>0.24294632108865097</v>
      </c>
      <c r="J80" s="106">
        <f t="shared" si="16"/>
        <v>0</v>
      </c>
      <c r="K80" s="106">
        <f t="shared" si="17"/>
        <v>0</v>
      </c>
      <c r="M80" s="105">
        <v>29</v>
      </c>
      <c r="N80" s="106">
        <f>Interface!$D$29*Interface!$D$7*Interface!$D$8*Interface!$D$9</f>
        <v>0</v>
      </c>
      <c r="O80" s="107">
        <f t="shared" si="4"/>
        <v>0.24294632108865097</v>
      </c>
      <c r="P80" s="106">
        <f t="shared" si="5"/>
        <v>0</v>
      </c>
    </row>
    <row r="81" spans="2:16" x14ac:dyDescent="0.25">
      <c r="B81" s="105">
        <v>30</v>
      </c>
      <c r="C81" s="106">
        <f t="shared" si="6"/>
        <v>0</v>
      </c>
      <c r="D81" s="106">
        <f t="shared" si="7"/>
        <v>0</v>
      </c>
      <c r="E81" s="106">
        <f t="shared" si="8"/>
        <v>0</v>
      </c>
      <c r="F81" s="106">
        <f t="shared" si="9"/>
        <v>0</v>
      </c>
      <c r="G81" s="106">
        <f t="shared" si="10"/>
        <v>0</v>
      </c>
      <c r="H81" s="106">
        <f t="shared" si="11"/>
        <v>0</v>
      </c>
      <c r="I81" s="107">
        <f t="shared" si="15"/>
        <v>0.23137744865585813</v>
      </c>
      <c r="J81" s="106">
        <f>I81*C81</f>
        <v>0</v>
      </c>
      <c r="K81" s="106">
        <f t="shared" si="17"/>
        <v>0</v>
      </c>
      <c r="M81" s="105">
        <v>30</v>
      </c>
      <c r="N81" s="106">
        <f>Interface!$D$29*Interface!$D$7*Interface!$D$8*Interface!$D$9</f>
        <v>0</v>
      </c>
      <c r="O81" s="107">
        <f t="shared" si="4"/>
        <v>0.23137744865585813</v>
      </c>
      <c r="P81" s="106">
        <f t="shared" si="5"/>
        <v>0</v>
      </c>
    </row>
    <row r="82" spans="2:16" ht="15" customHeight="1" x14ac:dyDescent="0.25">
      <c r="B82" s="129" t="s">
        <v>138</v>
      </c>
      <c r="C82" s="130"/>
      <c r="D82" s="130"/>
      <c r="E82" s="130"/>
      <c r="F82" s="130"/>
      <c r="G82" s="130"/>
      <c r="H82" s="130"/>
      <c r="I82" s="131"/>
      <c r="J82" s="108">
        <f>SUMIF($B$52:$B$81,"&lt;="&amp;Interface!$D$30,$J$52:$J$81)</f>
        <v>0</v>
      </c>
      <c r="K82" s="108">
        <f>SUMIF($B$52:$B$81,"&lt;="&amp;Interface!$D$30,$K$52:$K$81)</f>
        <v>0</v>
      </c>
      <c r="M82" s="129" t="s">
        <v>138</v>
      </c>
      <c r="N82" s="130"/>
      <c r="O82" s="131"/>
      <c r="P82" s="108">
        <f>SUMIF($M$52:$M$81,"&lt;="&amp;Interface!$D$30,$P$52:$P$81)</f>
        <v>0</v>
      </c>
    </row>
  </sheetData>
  <mergeCells count="2">
    <mergeCell ref="B82:I82"/>
    <mergeCell ref="M82:O82"/>
  </mergeCells>
  <conditionalFormatting sqref="K15:N15 A15 L11:M13 O15:XFD16 D1:N2 D3:M3 D14:M14 A28:N28 F29:H29 F24:I24 D29:E30 T24:XFD24 M25:XFD26 F27:N27 A18:A27 B18:XFD18 O27:XFD28 N29:XFD35 B19 D20:XFD20 F19:XFD19 F21:XFD23 D21:E27 H38:H42 A84:C170 D4:J4 D11:J13 D5:M5 L7:M7 D6:J9 L9:M9 A17:XFD17 D86:N1048576 O86:XFD170 D36:XFD36 G43:XFD43 N37:XFD42 B44:XFD44 B49:XFD49 K45:XFD48 B45:I48 B83:XFD85 M50:XFD50 I51:L51 L52:L82 B52:K81 Q51:XFD82 A29:A83 M52:P81 B38:B42 A16:N16 B41:C41 L15:L16">
    <cfRule type="cellIs" dxfId="82" priority="115" operator="greaterThanOrEqual">
      <formula>1</formula>
    </cfRule>
  </conditionalFormatting>
  <conditionalFormatting sqref="K15:N15 A15 L11:M13 O15:XFD16 D1:N2 D3:M3 D14:M14 A28:N28 F29:H29 F24:I24 D29:E30 T24:XFD24 M25:XFD26 F27:N27 A18:A27 B18:XFD18 O27:XFD28 N29:XFD35 B19 D20:XFD20 F19:XFD19 F21:XFD23 D21:E27 H38:H42 A84:C170 D4:J4 D11:J13 D5:M5 L7:M7 D6:J9 L9:M9 A17:XFD17 D86:N1048576 B49:XFD49 O86:XFD170 D36:XFD36 G43:XFD43 N37:XFD42 J44:XFD44 I45:I48 K45:XFD48 B83:XFD85 M50:XFD50 L51:L82 Q51:XFD82 A29:A83 B38:B42 A16:N16 B41:C41 L15:L16">
    <cfRule type="cellIs" dxfId="81" priority="114" operator="between">
      <formula>0.01</formula>
      <formula>1</formula>
    </cfRule>
  </conditionalFormatting>
  <conditionalFormatting sqref="K15:N15 A15 L11:M13 O15:XFD16 D1:N2 D3:M3 D14:M14 A28:N28 F29:H29 F24:I24 D29:E30 T24:XFD24 M25:XFD26 F27:N27 A18:A27 B18:XFD18 O27:XFD28 N29:XFD35 B19 D20:XFD20 F19:XFD19 F21:XFD23 D21:E27 H38:H42 A84:C170 D4:J4 D11:J13 D5:M5 L7:M7 D6:J9 L9:M9 A17:XFD17 D86:N1048576 B49:XFD49 O86:XFD170 D36:XFD36 G43:XFD43 N37:XFD42 J44:XFD44 I45:I48 K45:XFD48 B83:XFD85 M50:XFD50 L51:L82 Q51:XFD82 A29:A83 B38:B42 A16:N16 B41:C41 L15:L16">
    <cfRule type="cellIs" dxfId="80" priority="113" operator="between">
      <formula>0</formula>
      <formula>0.01</formula>
    </cfRule>
  </conditionalFormatting>
  <conditionalFormatting sqref="K15:N15 A15 L11:M13 O15:XFD16 D1:N2 D3:M3 D14:M14 A28:N28 F29:H29 F24:I24 D29:E30 T24:XFD24 M25:XFD26 F27:N27 A18:A27 B18:XFD18 O27:XFD28 N29:XFD35 B19 D20:XFD20 F19:XFD19 F21:XFD23 D21:E27 H38:H42 A84:C170 D4:J4 D11:J13 D5:M5 L7:M7 D6:J9 L9:M9 A17:XFD17 D86:N1048576 B49:XFD49 O86:XFD170 D36:XFD36 G43:XFD43 N37:XFD42 J44:XFD44 I45:I48 K45:XFD48 B83:XFD85 M50:XFD50 L51:L82 Q51:XFD82 A29:A83 B38:B42 A16:N16 B41:C41 L15:L16">
    <cfRule type="cellIs" dxfId="79" priority="112" operator="equal">
      <formula>0</formula>
    </cfRule>
  </conditionalFormatting>
  <conditionalFormatting sqref="F30:H30">
    <cfRule type="cellIs" dxfId="78" priority="92" operator="equal">
      <formula>0</formula>
    </cfRule>
    <cfRule type="cellIs" dxfId="77" priority="93" operator="greaterThanOrEqual">
      <formula>1</formula>
    </cfRule>
    <cfRule type="cellIs" dxfId="76" priority="94" operator="between">
      <formula>0.01</formula>
      <formula>1</formula>
    </cfRule>
    <cfRule type="cellIs" dxfId="75" priority="95" operator="between">
      <formula>0</formula>
      <formula>0.01</formula>
    </cfRule>
  </conditionalFormatting>
  <conditionalFormatting sqref="B25:B27">
    <cfRule type="cellIs" dxfId="74" priority="80" operator="equal">
      <formula>0</formula>
    </cfRule>
    <cfRule type="cellIs" dxfId="73" priority="81" operator="greaterThanOrEqual">
      <formula>1</formula>
    </cfRule>
    <cfRule type="cellIs" dxfId="72" priority="82" operator="between">
      <formula>0.01</formula>
      <formula>1</formula>
    </cfRule>
    <cfRule type="cellIs" dxfId="71" priority="83" operator="between">
      <formula>0</formula>
      <formula>0.01</formula>
    </cfRule>
  </conditionalFormatting>
  <conditionalFormatting sqref="B20:B24">
    <cfRule type="cellIs" dxfId="70" priority="87" operator="greaterThanOrEqual">
      <formula>1</formula>
    </cfRule>
  </conditionalFormatting>
  <conditionalFormatting sqref="B20:B24">
    <cfRule type="cellIs" dxfId="69" priority="86" operator="between">
      <formula>0.01</formula>
      <formula>1</formula>
    </cfRule>
  </conditionalFormatting>
  <conditionalFormatting sqref="B20:B24">
    <cfRule type="cellIs" dxfId="68" priority="85" operator="between">
      <formula>0</formula>
      <formula>0.01</formula>
    </cfRule>
  </conditionalFormatting>
  <conditionalFormatting sqref="B20:B24">
    <cfRule type="cellIs" dxfId="67" priority="84" operator="equal">
      <formula>0</formula>
    </cfRule>
  </conditionalFormatting>
  <conditionalFormatting sqref="C19">
    <cfRule type="cellIs" dxfId="66" priority="79" operator="greaterThanOrEqual">
      <formula>1</formula>
    </cfRule>
  </conditionalFormatting>
  <conditionalFormatting sqref="C19">
    <cfRule type="cellIs" dxfId="65" priority="78" operator="between">
      <formula>0.01</formula>
      <formula>1</formula>
    </cfRule>
  </conditionalFormatting>
  <conditionalFormatting sqref="C19">
    <cfRule type="cellIs" dxfId="64" priority="77" operator="between">
      <formula>0</formula>
      <formula>0.01</formula>
    </cfRule>
  </conditionalFormatting>
  <conditionalFormatting sqref="C19">
    <cfRule type="cellIs" dxfId="63" priority="76" operator="equal">
      <formula>0</formula>
    </cfRule>
  </conditionalFormatting>
  <conditionalFormatting sqref="D19">
    <cfRule type="cellIs" dxfId="62" priority="75" operator="greaterThanOrEqual">
      <formula>1</formula>
    </cfRule>
  </conditionalFormatting>
  <conditionalFormatting sqref="D19">
    <cfRule type="cellIs" dxfId="61" priority="74" operator="between">
      <formula>0.01</formula>
      <formula>1</formula>
    </cfRule>
  </conditionalFormatting>
  <conditionalFormatting sqref="D19">
    <cfRule type="cellIs" dxfId="60" priority="73" operator="between">
      <formula>0</formula>
      <formula>0.01</formula>
    </cfRule>
  </conditionalFormatting>
  <conditionalFormatting sqref="D19">
    <cfRule type="cellIs" dxfId="59" priority="72" operator="equal">
      <formula>0</formula>
    </cfRule>
  </conditionalFormatting>
  <conditionalFormatting sqref="E19">
    <cfRule type="cellIs" dxfId="58" priority="71" operator="greaterThanOrEqual">
      <formula>1</formula>
    </cfRule>
  </conditionalFormatting>
  <conditionalFormatting sqref="E19">
    <cfRule type="cellIs" dxfId="57" priority="70" operator="between">
      <formula>0.01</formula>
      <formula>1</formula>
    </cfRule>
  </conditionalFormatting>
  <conditionalFormatting sqref="E19">
    <cfRule type="cellIs" dxfId="56" priority="69" operator="between">
      <formula>0</formula>
      <formula>0.01</formula>
    </cfRule>
  </conditionalFormatting>
  <conditionalFormatting sqref="E19">
    <cfRule type="cellIs" dxfId="55" priority="68" operator="equal">
      <formula>0</formula>
    </cfRule>
  </conditionalFormatting>
  <conditionalFormatting sqref="B44:I44 B45:H48 I51:K51 B82 B52:K81 J82:K82 M52:P81">
    <cfRule type="cellIs" dxfId="54" priority="31" operator="lessThan">
      <formula>-1</formula>
    </cfRule>
    <cfRule type="cellIs" dxfId="53" priority="32" operator="equal">
      <formula>0</formula>
    </cfRule>
    <cfRule type="cellIs" dxfId="52" priority="34" operator="between">
      <formula>0.01</formula>
      <formula>1</formula>
    </cfRule>
    <cfRule type="cellIs" dxfId="51" priority="35" operator="between">
      <formula>0</formula>
      <formula>0.01</formula>
    </cfRule>
  </conditionalFormatting>
  <conditionalFormatting sqref="B50:L50 B51:E51">
    <cfRule type="cellIs" dxfId="50" priority="21" operator="lessThan">
      <formula>-1</formula>
    </cfRule>
    <cfRule type="cellIs" dxfId="49" priority="22" operator="equal">
      <formula>0</formula>
    </cfRule>
    <cfRule type="cellIs" dxfId="48" priority="24" operator="between">
      <formula>0.01</formula>
      <formula>1</formula>
    </cfRule>
    <cfRule type="cellIs" dxfId="47" priority="25" operator="between">
      <formula>0</formula>
      <formula>0.01</formula>
    </cfRule>
  </conditionalFormatting>
  <conditionalFormatting sqref="B50:L50 B51:E51">
    <cfRule type="cellIs" dxfId="46" priority="23" operator="greaterThanOrEqual">
      <formula>1</formula>
    </cfRule>
  </conditionalFormatting>
  <conditionalFormatting sqref="F51:H51">
    <cfRule type="cellIs" dxfId="45" priority="20" operator="greaterThanOrEqual">
      <formula>1</formula>
    </cfRule>
  </conditionalFormatting>
  <conditionalFormatting sqref="F51:H51">
    <cfRule type="cellIs" dxfId="44" priority="16" operator="lessThan">
      <formula>-1</formula>
    </cfRule>
    <cfRule type="cellIs" dxfId="43" priority="17" operator="equal">
      <formula>0</formula>
    </cfRule>
    <cfRule type="cellIs" dxfId="42" priority="18" operator="between">
      <formula>0.01</formula>
      <formula>1</formula>
    </cfRule>
    <cfRule type="cellIs" dxfId="41" priority="19" operator="between">
      <formula>0</formula>
      <formula>0.01</formula>
    </cfRule>
  </conditionalFormatting>
  <conditionalFormatting sqref="O51:P51">
    <cfRule type="cellIs" dxfId="40" priority="15" operator="greaterThanOrEqual">
      <formula>1</formula>
    </cfRule>
  </conditionalFormatting>
  <conditionalFormatting sqref="O51:P51 M82 P82">
    <cfRule type="cellIs" dxfId="39" priority="11" operator="lessThan">
      <formula>-1</formula>
    </cfRule>
    <cfRule type="cellIs" dxfId="38" priority="12" operator="equal">
      <formula>0</formula>
    </cfRule>
    <cfRule type="cellIs" dxfId="37" priority="13" operator="between">
      <formula>0.01</formula>
      <formula>1</formula>
    </cfRule>
    <cfRule type="cellIs" dxfId="36" priority="14" operator="between">
      <formula>0</formula>
      <formula>0.01</formula>
    </cfRule>
  </conditionalFormatting>
  <conditionalFormatting sqref="A1:Z104">
    <cfRule type="cellIs" dxfId="35" priority="6" operator="lessThan">
      <formula>-1</formula>
    </cfRule>
    <cfRule type="cellIs" dxfId="34" priority="7" operator="equal">
      <formula>0</formula>
    </cfRule>
    <cfRule type="cellIs" dxfId="33" priority="8" operator="greaterThanOrEqual">
      <formula>100</formula>
    </cfRule>
    <cfRule type="cellIs" dxfId="32" priority="9" operator="between">
      <formula>0.01</formula>
      <formula>100</formula>
    </cfRule>
    <cfRule type="cellIs" dxfId="31" priority="10" operator="between">
      <formula>0</formula>
      <formula>0.01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3"/>
  <sheetViews>
    <sheetView tabSelected="1" topLeftCell="A16" workbookViewId="0">
      <selection activeCell="E32" sqref="E32"/>
    </sheetView>
  </sheetViews>
  <sheetFormatPr defaultColWidth="14.42578125" defaultRowHeight="15" x14ac:dyDescent="0.25"/>
  <cols>
    <col min="1" max="1" width="9.140625" style="5" customWidth="1"/>
    <col min="2" max="2" width="36.85546875" style="5" customWidth="1"/>
    <col min="3" max="3" width="13.7109375" style="5" customWidth="1"/>
    <col min="4" max="4" width="36.140625" style="5" customWidth="1"/>
    <col min="5" max="5" width="18.28515625" style="5" customWidth="1"/>
    <col min="6" max="6" width="16.5703125" style="5" customWidth="1"/>
    <col min="7" max="7" width="13.7109375" style="5" customWidth="1"/>
    <col min="8" max="10" width="15.28515625" style="5" customWidth="1"/>
    <col min="11" max="11" width="16" style="5" customWidth="1"/>
    <col min="12" max="12" width="30.140625" style="5" customWidth="1"/>
    <col min="13" max="14" width="14" style="5" customWidth="1"/>
    <col min="15" max="16" width="11.5703125" style="5" customWidth="1"/>
    <col min="17" max="17" width="13.5703125" style="5" customWidth="1"/>
    <col min="18" max="18" width="9.140625" style="5" customWidth="1"/>
    <col min="19" max="19" width="14" style="5" customWidth="1"/>
    <col min="20" max="20" width="13.7109375" style="5" customWidth="1"/>
    <col min="21" max="26" width="8.7109375" style="5" customWidth="1"/>
    <col min="27" max="16384" width="14.42578125" style="5"/>
  </cols>
  <sheetData>
    <row r="1" spans="1:26" ht="15.75" thickBot="1" x14ac:dyDescent="0.3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5.75" customHeight="1" thickBot="1" x14ac:dyDescent="0.3">
      <c r="A2" s="3"/>
      <c r="B2" s="6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134" t="s">
        <v>23</v>
      </c>
      <c r="N2" s="13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0" x14ac:dyDescent="0.25">
      <c r="A3" s="3"/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8" t="s">
        <v>21</v>
      </c>
      <c r="J3" s="9" t="s">
        <v>22</v>
      </c>
      <c r="K3" s="3"/>
      <c r="L3" s="3"/>
      <c r="M3" s="118" t="s">
        <v>24</v>
      </c>
      <c r="N3" s="119"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10" t="s">
        <v>14</v>
      </c>
      <c r="C4" s="10">
        <f>95.52</f>
        <v>95.52</v>
      </c>
      <c r="D4" s="11">
        <f>11/1000</f>
        <v>1.0999999999999999E-2</v>
      </c>
      <c r="E4" s="11">
        <v>1.6000000000000001E-3</v>
      </c>
      <c r="F4" s="10">
        <f>10495/1000000</f>
        <v>1.0495000000000001E-2</v>
      </c>
      <c r="G4" s="10">
        <f t="shared" ref="G4:I6" si="0">C4*$F4</f>
        <v>1.0024824000000001</v>
      </c>
      <c r="H4" s="10">
        <f t="shared" si="0"/>
        <v>1.15445E-4</v>
      </c>
      <c r="I4" s="12">
        <f t="shared" si="0"/>
        <v>1.6792000000000001E-5</v>
      </c>
      <c r="J4" s="13">
        <f t="shared" ref="J4:J10" si="1">G4*$N$3+H4*$N$4+I4*$N$5</f>
        <v>1.01016474</v>
      </c>
      <c r="K4" s="3"/>
      <c r="L4" s="3"/>
      <c r="M4" s="118" t="s">
        <v>26</v>
      </c>
      <c r="N4" s="119">
        <v>28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thickBot="1" x14ac:dyDescent="0.3">
      <c r="A5" s="3"/>
      <c r="B5" s="10" t="s">
        <v>25</v>
      </c>
      <c r="C5" s="10">
        <v>53.06</v>
      </c>
      <c r="D5" s="11">
        <v>1E-3</v>
      </c>
      <c r="E5" s="11">
        <v>1E-4</v>
      </c>
      <c r="F5" s="10">
        <f>7878/1000000</f>
        <v>7.8779999999999996E-3</v>
      </c>
      <c r="G5" s="10">
        <f t="shared" ref="G5:G6" si="2">C5*F5</f>
        <v>0.41800668000000002</v>
      </c>
      <c r="H5" s="10">
        <f t="shared" si="0"/>
        <v>7.8779999999999998E-6</v>
      </c>
      <c r="I5" s="12">
        <f t="shared" si="0"/>
        <v>7.878E-7</v>
      </c>
      <c r="J5" s="13">
        <f t="shared" si="1"/>
        <v>0.41843603100000004</v>
      </c>
      <c r="K5" s="3"/>
      <c r="L5" s="3"/>
      <c r="M5" s="120" t="s">
        <v>28</v>
      </c>
      <c r="N5" s="121">
        <v>265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10" t="s">
        <v>27</v>
      </c>
      <c r="C6" s="10">
        <v>7.71</v>
      </c>
      <c r="D6" s="10">
        <v>0</v>
      </c>
      <c r="E6" s="10">
        <v>0</v>
      </c>
      <c r="F6" s="10">
        <f>3412/1000000</f>
        <v>3.4120000000000001E-3</v>
      </c>
      <c r="G6" s="10">
        <f t="shared" si="2"/>
        <v>2.630652E-2</v>
      </c>
      <c r="H6" s="10">
        <f t="shared" si="0"/>
        <v>0</v>
      </c>
      <c r="I6" s="12">
        <f t="shared" si="0"/>
        <v>0</v>
      </c>
      <c r="J6" s="13">
        <f t="shared" si="1"/>
        <v>2.630652E-2</v>
      </c>
      <c r="K6" s="3"/>
      <c r="L6" s="3"/>
      <c r="M6" s="122" t="s">
        <v>31</v>
      </c>
      <c r="N6" s="123" t="s">
        <v>32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11" t="s">
        <v>29</v>
      </c>
      <c r="C7" s="14" t="s">
        <v>30</v>
      </c>
      <c r="D7" s="14" t="s">
        <v>30</v>
      </c>
      <c r="E7" s="14" t="s">
        <v>30</v>
      </c>
      <c r="F7" s="14">
        <v>0</v>
      </c>
      <c r="G7" s="10">
        <f>AVERAGE(0.004,0.018)</f>
        <v>1.0999999999999999E-2</v>
      </c>
      <c r="H7" s="10">
        <v>0</v>
      </c>
      <c r="I7" s="12">
        <v>0</v>
      </c>
      <c r="J7" s="13">
        <f t="shared" si="1"/>
        <v>1.0999999999999999E-2</v>
      </c>
      <c r="K7" s="3"/>
      <c r="L7" s="3"/>
      <c r="M7" s="118" t="s">
        <v>14</v>
      </c>
      <c r="N7" s="119">
        <v>10495</v>
      </c>
      <c r="O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10" t="s">
        <v>33</v>
      </c>
      <c r="C8" s="10">
        <f>AVERAGE(118.17,111.84,105.51,93.8)</f>
        <v>107.33</v>
      </c>
      <c r="D8" s="10">
        <f>AVERAGE(32,32,32,7.2)/1000</f>
        <v>2.58E-2</v>
      </c>
      <c r="E8" s="10">
        <f>AVERAGE(4.2,4.2,4.2,3.6)/1000</f>
        <v>4.0500000000000006E-3</v>
      </c>
      <c r="F8" s="14">
        <f>3412/1000000</f>
        <v>3.4120000000000001E-3</v>
      </c>
      <c r="G8" s="10">
        <f>C8*F8</f>
        <v>0.36620996</v>
      </c>
      <c r="H8" s="10">
        <f t="shared" ref="H8:I8" si="3">D8*$F8</f>
        <v>8.8029600000000008E-5</v>
      </c>
      <c r="I8" s="12">
        <f t="shared" si="3"/>
        <v>1.3818600000000002E-5</v>
      </c>
      <c r="J8" s="13">
        <f t="shared" si="1"/>
        <v>0.37233671779999999</v>
      </c>
      <c r="K8" s="3"/>
      <c r="L8" s="3"/>
      <c r="M8" s="118" t="s">
        <v>25</v>
      </c>
      <c r="N8" s="119">
        <v>7878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thickBot="1" x14ac:dyDescent="0.3">
      <c r="A9" s="3"/>
      <c r="B9" s="10" t="s">
        <v>34</v>
      </c>
      <c r="C9" s="14" t="s">
        <v>30</v>
      </c>
      <c r="D9" s="14" t="s">
        <v>30</v>
      </c>
      <c r="E9" s="14" t="s">
        <v>30</v>
      </c>
      <c r="F9" s="14">
        <v>0</v>
      </c>
      <c r="G9" s="10">
        <v>0</v>
      </c>
      <c r="H9" s="10">
        <v>0</v>
      </c>
      <c r="I9" s="12">
        <v>0</v>
      </c>
      <c r="J9" s="13">
        <f t="shared" si="1"/>
        <v>0</v>
      </c>
      <c r="K9" s="3"/>
      <c r="L9" s="3"/>
      <c r="M9" s="120" t="s">
        <v>36</v>
      </c>
      <c r="N9" s="121">
        <v>10687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thickBot="1" x14ac:dyDescent="0.3">
      <c r="A10" s="3"/>
      <c r="B10" s="10" t="s">
        <v>35</v>
      </c>
      <c r="C10" s="111">
        <f>C5</f>
        <v>53.06</v>
      </c>
      <c r="D10" s="111">
        <f>D5</f>
        <v>1E-3</v>
      </c>
      <c r="E10" s="111">
        <f>E5</f>
        <v>1E-4</v>
      </c>
      <c r="F10" s="10">
        <f>7878/1000000</f>
        <v>7.8779999999999996E-3</v>
      </c>
      <c r="G10" s="10">
        <f t="shared" ref="G10" si="4">C10*F10</f>
        <v>0.41800668000000002</v>
      </c>
      <c r="H10" s="10">
        <f t="shared" ref="H10" si="5">D10*$F10</f>
        <v>7.8779999999999998E-6</v>
      </c>
      <c r="I10" s="12">
        <f t="shared" ref="I10" si="6">E10*$F10</f>
        <v>7.878E-7</v>
      </c>
      <c r="J10" s="15">
        <f t="shared" si="1"/>
        <v>0.41843603100000004</v>
      </c>
      <c r="K10" s="3"/>
      <c r="L10" s="3"/>
      <c r="M10" s="132" t="s">
        <v>111</v>
      </c>
      <c r="N10" s="13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20" t="s">
        <v>37</v>
      </c>
      <c r="N11" s="119">
        <v>0.453592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16" t="s">
        <v>38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24" t="s">
        <v>71</v>
      </c>
      <c r="N12" s="125">
        <v>453.59199999999998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x14ac:dyDescent="0.25">
      <c r="A13" s="3"/>
      <c r="B13" s="7" t="s">
        <v>39</v>
      </c>
      <c r="C13" s="7" t="s">
        <v>14</v>
      </c>
      <c r="D13" s="7" t="s">
        <v>40</v>
      </c>
      <c r="E13" s="7" t="s">
        <v>41</v>
      </c>
      <c r="F13" s="7" t="s">
        <v>25</v>
      </c>
      <c r="G13" s="7" t="s">
        <v>27</v>
      </c>
      <c r="H13" s="7" t="s">
        <v>33</v>
      </c>
      <c r="I13" s="7" t="s">
        <v>29</v>
      </c>
      <c r="J13" s="7" t="s">
        <v>34</v>
      </c>
      <c r="K13" s="3"/>
      <c r="L13" s="3"/>
      <c r="M13" s="124" t="s">
        <v>72</v>
      </c>
      <c r="N13" s="125">
        <v>2000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6" x14ac:dyDescent="0.25">
      <c r="A14" s="3"/>
      <c r="B14" s="10" t="s">
        <v>157</v>
      </c>
      <c r="C14" s="10">
        <f>AVERAGE(22,11,,12,12,7.4,31,14,15,9.7,10,8.4,7.2,31,14,24,33,17,11,8.8,7.5,9.5,9.1,5,15.2)/26</f>
        <v>0.53046153846153843</v>
      </c>
      <c r="D14" s="10">
        <f>100/1020</f>
        <v>9.8039215686274508E-2</v>
      </c>
      <c r="E14" s="10">
        <f>AVERAGE(0.13,0.099)</f>
        <v>0.1145</v>
      </c>
      <c r="F14" s="10">
        <f t="shared" ref="F14:F18" si="7">AVERAGE(D14:E14)</f>
        <v>0.10626960784313726</v>
      </c>
      <c r="G14" s="10"/>
      <c r="H14" s="10"/>
      <c r="I14" s="10">
        <v>0</v>
      </c>
      <c r="J14" s="10">
        <v>0</v>
      </c>
      <c r="K14" s="3"/>
      <c r="M14" s="126" t="s">
        <v>58</v>
      </c>
      <c r="N14" s="125">
        <v>1.10231E-3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6" ht="15.75" thickBot="1" x14ac:dyDescent="0.3">
      <c r="A15" s="3"/>
      <c r="B15" s="10" t="s">
        <v>158</v>
      </c>
      <c r="C15" s="10">
        <f>AVERAGE(38,38,38,35,35,38,35,38,38,38,35,35,38,38,35,38,35,38,35,38,31,31)/26</f>
        <v>1.3951048951048952</v>
      </c>
      <c r="D15" s="10">
        <f>0.6/1020</f>
        <v>5.8823529411764701E-4</v>
      </c>
      <c r="E15" s="10">
        <f>0.0034</f>
        <v>3.3999999999999998E-3</v>
      </c>
      <c r="F15" s="10">
        <f t="shared" si="7"/>
        <v>1.9941176470588233E-3</v>
      </c>
      <c r="G15" s="10"/>
      <c r="H15" s="10"/>
      <c r="I15" s="10">
        <v>0</v>
      </c>
      <c r="J15" s="10">
        <v>0</v>
      </c>
      <c r="K15" s="3"/>
      <c r="L15" s="3"/>
      <c r="M15" s="127" t="s">
        <v>73</v>
      </c>
      <c r="N15" s="128">
        <v>1000000000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6" x14ac:dyDescent="0.25">
      <c r="A16" s="3"/>
      <c r="B16" s="10" t="s">
        <v>159</v>
      </c>
      <c r="C16" s="10">
        <v>0.3</v>
      </c>
      <c r="D16" s="10">
        <f>7.6/1020</f>
        <v>7.4509803921568628E-3</v>
      </c>
      <c r="E16" s="10">
        <v>4.7000000000000002E-3</v>
      </c>
      <c r="F16" s="10">
        <f t="shared" si="7"/>
        <v>6.0754901960784315E-3</v>
      </c>
      <c r="G16" s="10"/>
      <c r="H16" s="10"/>
      <c r="I16" s="10">
        <v>0</v>
      </c>
      <c r="J16" s="10">
        <v>0</v>
      </c>
      <c r="K16" s="3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6" x14ac:dyDescent="0.25">
      <c r="A17" s="3"/>
      <c r="B17" s="10" t="s">
        <v>42</v>
      </c>
      <c r="C17" s="10">
        <f>AVERAGE(0.5,0.5,0.5,0.5,0.5,0.5,0.5,0.5,0.5,0.5,0.5,0.5,0.5,0.5,0.5,0.5,5,5,6,11,18,18)/26</f>
        <v>0.12412587412587411</v>
      </c>
      <c r="D17" s="10">
        <f>84/1020</f>
        <v>8.2352941176470587E-2</v>
      </c>
      <c r="E17" s="10">
        <f>AVERAGE(0.03,0.015)</f>
        <v>2.2499999999999999E-2</v>
      </c>
      <c r="F17" s="10">
        <f t="shared" si="7"/>
        <v>5.2426470588235297E-2</v>
      </c>
      <c r="G17" s="10"/>
      <c r="H17" s="10"/>
      <c r="I17" s="10">
        <v>0</v>
      </c>
      <c r="J17" s="10">
        <v>0</v>
      </c>
      <c r="K17" s="3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6" x14ac:dyDescent="0.25">
      <c r="A18" s="3"/>
      <c r="B18" s="10" t="s">
        <v>43</v>
      </c>
      <c r="C18" s="10"/>
      <c r="D18" s="10">
        <f>11/1020</f>
        <v>1.0784313725490196E-2</v>
      </c>
      <c r="E18" s="10">
        <v>2.0999999999999999E-3</v>
      </c>
      <c r="F18" s="10">
        <f t="shared" si="7"/>
        <v>6.4421568627450977E-3</v>
      </c>
      <c r="G18" s="10"/>
      <c r="H18" s="10"/>
      <c r="I18" s="10">
        <v>0</v>
      </c>
      <c r="J18" s="10">
        <v>0</v>
      </c>
      <c r="K18" s="3"/>
      <c r="L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thickBot="1" x14ac:dyDescent="0.3">
      <c r="A20" s="3"/>
      <c r="B20" s="16" t="s">
        <v>44</v>
      </c>
      <c r="C20" s="3"/>
      <c r="D20" s="3"/>
      <c r="E20" s="3"/>
      <c r="F20" s="3"/>
      <c r="G20" s="3"/>
      <c r="H20" s="3"/>
      <c r="I20" s="3"/>
      <c r="J20" s="3"/>
      <c r="K20" s="3"/>
      <c r="L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30" x14ac:dyDescent="0.25">
      <c r="A21" s="3"/>
      <c r="B21" s="17" t="s">
        <v>39</v>
      </c>
      <c r="C21" s="18" t="s">
        <v>14</v>
      </c>
      <c r="D21" s="18" t="s">
        <v>40</v>
      </c>
      <c r="E21" s="18" t="s">
        <v>41</v>
      </c>
      <c r="F21" s="18" t="s">
        <v>25</v>
      </c>
      <c r="G21" s="18" t="s">
        <v>27</v>
      </c>
      <c r="H21" s="18" t="s">
        <v>33</v>
      </c>
      <c r="I21" s="18" t="s">
        <v>29</v>
      </c>
      <c r="J21" s="18" t="s">
        <v>34</v>
      </c>
      <c r="K21" s="19" t="s">
        <v>35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x14ac:dyDescent="0.25">
      <c r="A22" s="3"/>
      <c r="B22" s="20" t="s">
        <v>160</v>
      </c>
      <c r="C22" s="21">
        <f>C14*VLOOKUP(C$21,$B$4:$J$10,5,FALSE)*$N$11</f>
        <v>2.5252345910646156E-3</v>
      </c>
      <c r="D22" s="22">
        <f t="shared" ref="D22:E26" si="8">D14*VLOOKUP("Natural Gas",$B$4:$J$10,5,FALSE)*$N$11</f>
        <v>3.503331152941176E-4</v>
      </c>
      <c r="E22" s="22">
        <f t="shared" si="8"/>
        <v>4.0915404535199999E-4</v>
      </c>
      <c r="F22" s="21">
        <f t="shared" ref="F22:F26" si="9">AVERAGE(D22:E22)</f>
        <v>3.797435803230588E-4</v>
      </c>
      <c r="G22" s="21">
        <f>G14*VLOOKUP(G$21,$B$4:$J$10,5,FALSE)*$N$11</f>
        <v>0</v>
      </c>
      <c r="H22" s="21">
        <f>0.9267/1000</f>
        <v>9.2669999999999992E-4</v>
      </c>
      <c r="I22" s="23">
        <f t="shared" ref="I22:J26" si="10">I14*VLOOKUP(I$21,$B$4:$J$10,5,FALSE)*$N$11</f>
        <v>0</v>
      </c>
      <c r="J22" s="23">
        <f t="shared" si="10"/>
        <v>0</v>
      </c>
      <c r="K22" s="24">
        <f>F22</f>
        <v>3.797435803230588E-4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x14ac:dyDescent="0.25">
      <c r="A23" s="3"/>
      <c r="B23" s="20" t="s">
        <v>45</v>
      </c>
      <c r="C23" s="21">
        <f>C15*VLOOKUP(C$21,$B$4:$J$10,5,FALSE)*$N$11</f>
        <v>6.6413243634965043E-3</v>
      </c>
      <c r="D23" s="22">
        <f t="shared" si="8"/>
        <v>2.1019986917647055E-6</v>
      </c>
      <c r="E23" s="22">
        <f t="shared" si="8"/>
        <v>1.2149552438399998E-5</v>
      </c>
      <c r="F23" s="21">
        <f t="shared" si="9"/>
        <v>7.1257755650823517E-6</v>
      </c>
      <c r="G23" s="21">
        <f>0.35*N11/1000</f>
        <v>1.587572E-4</v>
      </c>
      <c r="H23" s="21">
        <f>0.603/1000</f>
        <v>6.0300000000000002E-4</v>
      </c>
      <c r="I23" s="23">
        <f t="shared" si="10"/>
        <v>0</v>
      </c>
      <c r="J23" s="23">
        <f t="shared" si="10"/>
        <v>0</v>
      </c>
      <c r="K23" s="24">
        <f t="shared" ref="K23:K26" si="11">F23</f>
        <v>7.1257755650823517E-6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x14ac:dyDescent="0.25">
      <c r="A24" s="3"/>
      <c r="B24" s="20" t="s">
        <v>46</v>
      </c>
      <c r="C24" s="21">
        <f>C16*VLOOKUP(C$21,$B$4:$J$10,5,FALSE)*$N$11</f>
        <v>1.428134412E-3</v>
      </c>
      <c r="D24" s="22">
        <f t="shared" si="8"/>
        <v>2.662531676235294E-5</v>
      </c>
      <c r="E24" s="22">
        <f t="shared" si="8"/>
        <v>1.67949695472E-5</v>
      </c>
      <c r="F24" s="21">
        <f t="shared" si="9"/>
        <v>2.1710143154776472E-5</v>
      </c>
      <c r="G24" s="21">
        <f>G16*VLOOKUP(G$21,$B$4:$J$10,5,FALSE)*$N$11</f>
        <v>0</v>
      </c>
      <c r="H24" s="21">
        <f>2.814/1000</f>
        <v>2.8140000000000001E-3</v>
      </c>
      <c r="I24" s="23">
        <f t="shared" si="10"/>
        <v>0</v>
      </c>
      <c r="J24" s="23">
        <f t="shared" si="10"/>
        <v>0</v>
      </c>
      <c r="K24" s="24">
        <f t="shared" si="11"/>
        <v>2.1710143154776472E-5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x14ac:dyDescent="0.25">
      <c r="A25" s="3"/>
      <c r="B25" s="20" t="s">
        <v>47</v>
      </c>
      <c r="C25" s="21">
        <f>C17*VLOOKUP(C$21,$B$4:$J$10,5,FALSE)*$N$11</f>
        <v>5.9089477419580426E-4</v>
      </c>
      <c r="D25" s="22">
        <f t="shared" si="8"/>
        <v>2.9427981684705879E-4</v>
      </c>
      <c r="E25" s="22">
        <f t="shared" si="8"/>
        <v>8.0401449959999996E-5</v>
      </c>
      <c r="F25" s="21">
        <f t="shared" si="9"/>
        <v>1.8734063340352939E-4</v>
      </c>
      <c r="G25" s="21">
        <f>G17*VLOOKUP(G$21,$B$4:$J$10,5,FALSE)*$N$11</f>
        <v>0</v>
      </c>
      <c r="H25" s="21">
        <f>4.7546/1000</f>
        <v>4.7546000000000003E-3</v>
      </c>
      <c r="I25" s="23">
        <f t="shared" si="10"/>
        <v>0</v>
      </c>
      <c r="J25" s="23">
        <f t="shared" si="10"/>
        <v>0</v>
      </c>
      <c r="K25" s="24">
        <f t="shared" si="11"/>
        <v>1.8734063340352939E-4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thickBot="1" x14ac:dyDescent="0.3">
      <c r="A26" s="3"/>
      <c r="B26" s="25" t="s">
        <v>48</v>
      </c>
      <c r="C26" s="26">
        <f>C18*VLOOKUP(C$21,$B$4:$J$10,5,FALSE)*$N$11</f>
        <v>0</v>
      </c>
      <c r="D26" s="27">
        <f t="shared" si="8"/>
        <v>3.8536642682352938E-5</v>
      </c>
      <c r="E26" s="27">
        <f t="shared" si="8"/>
        <v>7.5041353295999996E-6</v>
      </c>
      <c r="F26" s="26">
        <f t="shared" si="9"/>
        <v>2.3020389005976469E-5</v>
      </c>
      <c r="G26" s="26">
        <f>G18*VLOOKUP(G$21,$B$4:$J$10,5,FALSE)*$N$11</f>
        <v>0</v>
      </c>
      <c r="H26" s="26">
        <f>0.1349/1000</f>
        <v>1.349E-4</v>
      </c>
      <c r="I26" s="28">
        <f t="shared" si="10"/>
        <v>0</v>
      </c>
      <c r="J26" s="28">
        <f t="shared" si="10"/>
        <v>0</v>
      </c>
      <c r="K26" s="29">
        <f t="shared" si="11"/>
        <v>2.3020389005976469E-5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0" t="s">
        <v>49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F29" s="16" t="s">
        <v>165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x14ac:dyDescent="0.25">
      <c r="A30" s="3"/>
      <c r="B30" s="31" t="s">
        <v>141</v>
      </c>
      <c r="E30" s="47"/>
      <c r="F30" s="7" t="s">
        <v>80</v>
      </c>
      <c r="G30" s="7" t="s">
        <v>81</v>
      </c>
      <c r="H30" s="7" t="s">
        <v>82</v>
      </c>
      <c r="I30" s="7" t="s">
        <v>83</v>
      </c>
      <c r="J30" s="7" t="s">
        <v>84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113">
        <v>14</v>
      </c>
      <c r="E31" s="47"/>
      <c r="F31" s="44">
        <v>2683.3070757624491</v>
      </c>
      <c r="G31" s="44">
        <v>15855.905447687199</v>
      </c>
      <c r="H31" s="44">
        <v>39029.921101999258</v>
      </c>
      <c r="I31" s="44">
        <v>2073.4645585437106</v>
      </c>
      <c r="J31" s="44" t="s">
        <v>85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113">
        <v>40</v>
      </c>
      <c r="E32" s="47"/>
      <c r="F32" s="44">
        <v>59612.145199254301</v>
      </c>
      <c r="G32" s="44">
        <v>79482.860265672396</v>
      </c>
      <c r="H32" s="44">
        <v>372575.9074953394</v>
      </c>
      <c r="I32" s="44" t="s">
        <v>85</v>
      </c>
      <c r="J32" s="44">
        <v>13909.500546492671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E33" s="47"/>
      <c r="F33" s="44">
        <v>11699.009925968598</v>
      </c>
      <c r="G33" s="44">
        <v>98044.334197388642</v>
      </c>
      <c r="H33" s="44">
        <v>711413.47808926448</v>
      </c>
      <c r="I33" s="44" t="s">
        <v>85</v>
      </c>
      <c r="J33" s="44">
        <v>3978.6106630824379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E34" s="47"/>
      <c r="F34" s="44">
        <v>49948.310524730732</v>
      </c>
      <c r="G34" s="44" t="s">
        <v>85</v>
      </c>
      <c r="H34" s="44" t="s">
        <v>85</v>
      </c>
      <c r="I34" s="44" t="s">
        <v>85</v>
      </c>
      <c r="J34" s="44" t="s">
        <v>85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E35" s="47"/>
      <c r="F35" s="44">
        <v>5473.0306608598476</v>
      </c>
      <c r="G35" s="44">
        <v>21664.079699236896</v>
      </c>
      <c r="H35" s="44">
        <v>82095.459912897713</v>
      </c>
      <c r="I35" s="44" t="s">
        <v>85</v>
      </c>
      <c r="J35" s="44" t="s">
        <v>85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E36" s="47"/>
      <c r="F36" s="44">
        <v>18032.515845942802</v>
      </c>
      <c r="G36" s="44">
        <v>31556.902730399906</v>
      </c>
      <c r="H36" s="44">
        <v>146514.19124828529</v>
      </c>
      <c r="I36" s="44" t="s">
        <v>85</v>
      </c>
      <c r="J36" s="44" t="s">
        <v>85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E37" s="47"/>
      <c r="F37" s="44">
        <v>11586.768977126079</v>
      </c>
      <c r="G37" s="44">
        <v>11843.895611847325</v>
      </c>
      <c r="H37" s="44">
        <v>779254.4073520716</v>
      </c>
      <c r="I37" s="44" t="s">
        <v>85</v>
      </c>
      <c r="J37" s="44">
        <v>3358.7166660462563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E38" s="7" t="s">
        <v>86</v>
      </c>
      <c r="F38" s="45">
        <f>MIN(F$31:F$37)</f>
        <v>2683.3070757624491</v>
      </c>
      <c r="G38" s="45">
        <f>MIN(G$31:G$37)</f>
        <v>11843.895611847325</v>
      </c>
      <c r="H38" s="45">
        <f>MIN(H$31:H$37)</f>
        <v>39029.921101999258</v>
      </c>
      <c r="I38" s="45">
        <f>MIN(I$31:I$37)</f>
        <v>2073.4645585437106</v>
      </c>
      <c r="J38" s="45">
        <f>MIN(J$31:J$37)</f>
        <v>3358.7166660462563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E39" s="7" t="s">
        <v>87</v>
      </c>
      <c r="F39" s="46">
        <f>AVERAGE(F31:F37)</f>
        <v>22719.298315663542</v>
      </c>
      <c r="G39" s="46">
        <f>AVERAGE(G31:G37)</f>
        <v>43074.662992038728</v>
      </c>
      <c r="H39" s="46">
        <f>AVERAGE(H31:H37)</f>
        <v>355147.22753330966</v>
      </c>
      <c r="I39" s="46">
        <f>AVERAGE(I31:I37)</f>
        <v>2073.4645585437106</v>
      </c>
      <c r="J39" s="46">
        <f>AVERAGE(J31:J37)</f>
        <v>7082.2759585404556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E40" s="7" t="s">
        <v>88</v>
      </c>
      <c r="F40" s="45">
        <f>MAX(F$31:F$37)</f>
        <v>59612.145199254301</v>
      </c>
      <c r="G40" s="45">
        <f>MAX(G$31:G$37)</f>
        <v>98044.334197388642</v>
      </c>
      <c r="H40" s="45">
        <f>MAX(H$31:H$37)</f>
        <v>779254.4073520716</v>
      </c>
      <c r="I40" s="45">
        <f>MAX(I$31:I$37)</f>
        <v>2073.4645585437106</v>
      </c>
      <c r="J40" s="45">
        <f>MAX(J$31:J$37)</f>
        <v>13909.500546492671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E4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E4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D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D50" s="3"/>
      <c r="G50" s="3"/>
      <c r="H50" s="3"/>
      <c r="I50" s="3"/>
      <c r="J50" s="3"/>
      <c r="K50" s="3"/>
      <c r="L50" s="3"/>
      <c r="M50" s="3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D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D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mergeCells count="2">
    <mergeCell ref="M10:N10"/>
    <mergeCell ref="M2:N2"/>
  </mergeCells>
  <conditionalFormatting sqref="G49:XFD52 A1:XFD1 A55:XFD1048576 D53:XFD54 A49:A54 D49:D52 O7 R7:XFD7 A48:XFD48 A29:A47 F29:XFD29 O2:XFD6 F41:XFD42 K30:XFD40 H43:XFD47 A21:XFD28 A2:L20 M3:N5 M11:N11 O8:XFD20 M7:N9">
    <cfRule type="cellIs" dxfId="30" priority="28" operator="equal">
      <formula>0</formula>
    </cfRule>
    <cfRule type="cellIs" dxfId="29" priority="29" operator="greaterThanOrEqual">
      <formula>1</formula>
    </cfRule>
    <cfRule type="cellIs" dxfId="28" priority="30" operator="between">
      <formula>0.01</formula>
      <formula>1</formula>
    </cfRule>
    <cfRule type="cellIs" dxfId="27" priority="31" operator="between">
      <formula>0</formula>
      <formula>0.01</formula>
    </cfRule>
  </conditionalFormatting>
  <conditionalFormatting sqref="F30:J30">
    <cfRule type="cellIs" dxfId="26" priority="24" operator="equal">
      <formula>0</formula>
    </cfRule>
    <cfRule type="cellIs" dxfId="25" priority="25" operator="greaterThanOrEqual">
      <formula>1</formula>
    </cfRule>
    <cfRule type="cellIs" dxfId="24" priority="26" operator="between">
      <formula>0.01</formula>
      <formula>1</formula>
    </cfRule>
    <cfRule type="cellIs" dxfId="23" priority="27" operator="between">
      <formula>0</formula>
      <formula>0.01</formula>
    </cfRule>
  </conditionalFormatting>
  <conditionalFormatting sqref="E38:E40">
    <cfRule type="cellIs" dxfId="22" priority="20" operator="equal">
      <formula>0</formula>
    </cfRule>
    <cfRule type="cellIs" dxfId="21" priority="21" operator="greaterThanOrEqual">
      <formula>1</formula>
    </cfRule>
    <cfRule type="cellIs" dxfId="20" priority="22" operator="between">
      <formula>0.01</formula>
      <formula>1</formula>
    </cfRule>
    <cfRule type="cellIs" dxfId="19" priority="23" operator="between">
      <formula>0</formula>
      <formula>0.01</formula>
    </cfRule>
  </conditionalFormatting>
  <conditionalFormatting sqref="N14 M13:M14">
    <cfRule type="cellIs" dxfId="18" priority="19" operator="greaterThanOrEqual">
      <formula>1</formula>
    </cfRule>
  </conditionalFormatting>
  <conditionalFormatting sqref="N14 M13:M14">
    <cfRule type="cellIs" dxfId="17" priority="18" operator="between">
      <formula>0.01</formula>
      <formula>1</formula>
    </cfRule>
  </conditionalFormatting>
  <conditionalFormatting sqref="N14 M13:M14">
    <cfRule type="cellIs" dxfId="16" priority="17" operator="between">
      <formula>0</formula>
      <formula>0.01</formula>
    </cfRule>
  </conditionalFormatting>
  <conditionalFormatting sqref="N14 M13:M14">
    <cfRule type="cellIs" dxfId="15" priority="16" operator="equal">
      <formula>0</formula>
    </cfRule>
  </conditionalFormatting>
  <conditionalFormatting sqref="B30 M10">
    <cfRule type="cellIs" dxfId="14" priority="11" operator="lessThan">
      <formula>-1</formula>
    </cfRule>
    <cfRule type="cellIs" dxfId="13" priority="12" operator="equal">
      <formula>0</formula>
    </cfRule>
    <cfRule type="cellIs" dxfId="12" priority="13" operator="greaterThanOrEqual">
      <formula>100</formula>
    </cfRule>
    <cfRule type="cellIs" dxfId="11" priority="14" operator="between">
      <formula>0.01</formula>
      <formula>100</formula>
    </cfRule>
    <cfRule type="cellIs" dxfId="10" priority="15" operator="between">
      <formula>0</formula>
      <formula>0.01</formula>
    </cfRule>
  </conditionalFormatting>
  <conditionalFormatting sqref="M6:N6">
    <cfRule type="cellIs" dxfId="9" priority="1" operator="lessThan">
      <formula>-1</formula>
    </cfRule>
    <cfRule type="cellIs" dxfId="8" priority="2" operator="equal">
      <formula>0</formula>
    </cfRule>
    <cfRule type="cellIs" dxfId="7" priority="3" operator="greaterThanOrEqual">
      <formula>100</formula>
    </cfRule>
    <cfRule type="cellIs" dxfId="6" priority="4" operator="between">
      <formula>0.01</formula>
      <formula>100</formula>
    </cfRule>
    <cfRule type="cellIs" dxfId="5" priority="5" operator="between">
      <formula>0</formula>
      <formula>0.01</formula>
    </cfRule>
  </conditionalFormatting>
  <conditionalFormatting sqref="M2">
    <cfRule type="cellIs" dxfId="4" priority="6" operator="lessThan">
      <formula>-1</formula>
    </cfRule>
    <cfRule type="cellIs" dxfId="3" priority="7" operator="equal">
      <formula>0</formula>
    </cfRule>
    <cfRule type="cellIs" dxfId="2" priority="8" operator="greaterThanOrEqual">
      <formula>100</formula>
    </cfRule>
    <cfRule type="cellIs" dxfId="1" priority="9" operator="between">
      <formula>0.01</formula>
      <formula>100</formula>
    </cfRule>
    <cfRule type="cellIs" dxfId="0" priority="10" operator="between">
      <formula>0</formula>
      <formula>0.01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Calculations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2018-06-14T19:40:41Z</dcterms:modified>
</cp:coreProperties>
</file>