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r\OneDrive\Документы\"/>
    </mc:Choice>
  </mc:AlternateContent>
  <xr:revisionPtr revIDLastSave="0" documentId="13_ncr:1_{A758E5B7-2918-46EE-AC2B-9F66D10CBB32}" xr6:coauthVersionLast="47" xr6:coauthVersionMax="47" xr10:uidLastSave="{00000000-0000-0000-0000-000000000000}"/>
  <bookViews>
    <workbookView xWindow="-108" yWindow="-108" windowWidth="23256" windowHeight="12456" xr2:uid="{26B79F26-5845-4EC6-A7E3-E8A098FD93D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5" i="1" l="1"/>
  <c r="O114" i="1"/>
  <c r="O113" i="1"/>
  <c r="O112" i="1"/>
  <c r="O111" i="1"/>
  <c r="O110" i="1"/>
  <c r="O109" i="1"/>
  <c r="O108" i="1"/>
  <c r="O107" i="1"/>
  <c r="O106" i="1"/>
  <c r="P105" i="1" a="1"/>
  <c r="P105" i="1" s="1"/>
  <c r="L124" i="1"/>
  <c r="P131" i="1"/>
  <c r="P130" i="1"/>
  <c r="P129" i="1"/>
  <c r="P128" i="1"/>
  <c r="P127" i="1"/>
  <c r="P126" i="1"/>
  <c r="P125" i="1"/>
  <c r="P124" i="1"/>
  <c r="P123" i="1"/>
  <c r="D71" i="1"/>
  <c r="D70" i="1"/>
  <c r="D67" i="1" a="1"/>
  <c r="D67" i="1" s="1"/>
  <c r="L27" i="1"/>
  <c r="D65" i="1"/>
  <c r="D60" i="1"/>
  <c r="L123" i="1" l="1"/>
  <c r="L125" i="1"/>
  <c r="D39" i="1" a="1"/>
  <c r="D39" i="1" s="1"/>
  <c r="G49" i="1" s="1"/>
  <c r="L30" i="1"/>
  <c r="J47" i="1" s="1"/>
  <c r="D62" i="1" s="1"/>
  <c r="D25" i="1" a="1"/>
  <c r="K22" i="1"/>
  <c r="D68" i="1" s="1"/>
  <c r="K2" i="1"/>
  <c r="F22" i="1"/>
  <c r="D2" i="1"/>
  <c r="K23" i="1" s="1"/>
  <c r="D25" i="1" l="1"/>
  <c r="I47" i="1"/>
  <c r="D63" i="1" s="1"/>
  <c r="E62" i="1" s="1"/>
  <c r="L32" i="1"/>
  <c r="M30" i="1"/>
  <c r="L26" i="1"/>
  <c r="I22" i="1"/>
  <c r="P2" i="1" s="1"/>
  <c r="L25" i="1" l="1"/>
  <c r="D58" i="1" s="1"/>
  <c r="E58" i="1" s="1"/>
  <c r="D66" i="1"/>
  <c r="M25" i="1"/>
  <c r="M26" i="1"/>
  <c r="D59" i="1"/>
  <c r="E59" i="1" s="1"/>
  <c r="P4" i="1"/>
  <c r="F37" i="1" s="1"/>
  <c r="P5" i="1"/>
  <c r="F38" i="1" s="1"/>
  <c r="P7" i="1"/>
  <c r="F40" i="1" s="1"/>
  <c r="P11" i="1"/>
  <c r="F44" i="1" s="1"/>
  <c r="F35" i="1"/>
  <c r="P10" i="1"/>
  <c r="F43" i="1" s="1"/>
  <c r="P3" i="1"/>
  <c r="F36" i="1" s="1"/>
  <c r="P6" i="1"/>
  <c r="F39" i="1" s="1"/>
  <c r="P8" i="1"/>
  <c r="F41" i="1" s="1"/>
  <c r="P9" i="1"/>
  <c r="F42" i="1" s="1"/>
  <c r="D74" i="1" l="1"/>
  <c r="D75" i="1"/>
  <c r="D73" i="1"/>
  <c r="D72" i="1"/>
  <c r="L31" i="1" a="1"/>
  <c r="L31" i="1" s="1"/>
  <c r="D37" i="1"/>
  <c r="D38" i="1" a="1"/>
  <c r="D38" i="1" s="1"/>
  <c r="D41" i="1" l="1"/>
  <c r="H47" i="1" s="1"/>
  <c r="G47" i="1"/>
  <c r="D40" i="1"/>
  <c r="H48" i="1" s="1"/>
  <c r="G4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admir</author>
  </authors>
  <commentList>
    <comment ref="D2" authorId="0" shapeId="0" xr:uid="{CDF99804-095D-4570-BE5D-2E9C72FD77DE}">
      <text>
        <r>
          <rPr>
            <sz val="9"/>
            <color indexed="81"/>
            <rFont val="Tahoma"/>
            <family val="2"/>
            <charset val="204"/>
          </rPr>
          <t xml:space="preserve">Такая корреляция(r = 0.99)  показывает сильную положительную линейную связь между X и Y
</t>
        </r>
      </text>
    </comment>
    <comment ref="D3" authorId="0" shapeId="0" xr:uid="{86921D3D-F2F9-4237-8C90-8DD5AD2D3F45}">
      <text>
        <r>
          <rPr>
            <b/>
            <sz val="9"/>
            <color indexed="81"/>
            <rFont val="Tahoma"/>
            <family val="2"/>
            <charset val="204"/>
          </rPr>
          <t>Как мы видим из поля корреляции, у нас образуется прямая линия с положительным наклоном, что свидетельствует о сильной положительной связи.</t>
        </r>
      </text>
    </comment>
    <comment ref="D20" authorId="0" shapeId="0" xr:uid="{F434CC96-D7A8-4C18-A5C1-B9FF6A1D0CF1}">
      <text>
        <r>
          <rPr>
            <b/>
            <sz val="9"/>
            <color indexed="81"/>
            <rFont val="Tahoma"/>
            <family val="2"/>
            <charset val="204"/>
          </rPr>
          <t>Как мы видим из прошлых пунктов заданий, чем больше вложений, тем больше выпуск продукций, т.е объём капиталовложений фактор, а выпуск результирующий показатель</t>
        </r>
      </text>
    </comment>
    <comment ref="F22" authorId="0" shapeId="0" xr:uid="{A9502F07-973F-46DE-B5C7-D2F0DB2F39A7}">
      <text>
        <r>
          <rPr>
            <b/>
            <sz val="9"/>
            <color indexed="81"/>
            <rFont val="Tahoma"/>
            <family val="2"/>
            <charset val="204"/>
          </rPr>
          <t>Вычисленный коэффициент а с помощью МНК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22" authorId="0" shapeId="0" xr:uid="{14BE1EF0-4B21-4747-A128-EAC1CD416EBE}">
      <text>
        <r>
          <rPr>
            <b/>
            <sz val="9"/>
            <color indexed="81"/>
            <rFont val="Tahoma"/>
            <family val="2"/>
            <charset val="204"/>
          </rPr>
          <t>Вычисленый коэффициент b с помощью МНК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K22" authorId="0" shapeId="0" xr:uid="{9DEB445D-188C-4B3A-8109-2C31FC2BB7E2}">
      <text>
        <r>
          <rPr>
            <b/>
            <sz val="9"/>
            <color indexed="81"/>
            <rFont val="Tahoma"/>
            <family val="2"/>
            <charset val="204"/>
          </rPr>
          <t>Стандартная ошибка регрессии, 
она означает, что среднее отклонение фактических значений 
Y от предсказанных моделью составляет 1.19 млн руб.</t>
        </r>
      </text>
    </comment>
    <comment ref="D23" authorId="0" shapeId="0" xr:uid="{8592895E-DDBE-4A11-AC36-4B9BA72D221E}">
      <text>
        <r>
          <rPr>
            <b/>
            <sz val="9"/>
            <color indexed="81"/>
            <rFont val="Tahoma"/>
            <family val="2"/>
            <charset val="204"/>
          </rPr>
          <t>Здесь коэффициент a = 0.967688 показывает что при увеличении капиталвложений на 1 млн рублей выпуск продукции увеличивается в среднем на 967.7 тысяч рублей, а свободный член показывает теоретический объём выпуска продукции которое предприятие могло иметь даже при отсутствии капиталовложений.</t>
        </r>
      </text>
    </comment>
    <comment ref="K23" authorId="0" shapeId="0" xr:uid="{221A31EC-97AB-4EBE-B08E-73D4F0BD5793}">
      <text>
        <r>
          <rPr>
            <b/>
            <sz val="9"/>
            <color indexed="81"/>
            <rFont val="Tahoma"/>
            <family val="2"/>
            <charset val="204"/>
          </rPr>
          <t>Коэффициент детерминации - это 
корреляция возвёденная в квадрат. Такое значение показывает что 98.81% объёма выпуска продукции Y объясняется объёмом капиталовложений Х</t>
        </r>
      </text>
    </comment>
    <comment ref="D25" authorId="0" shapeId="0" xr:uid="{8B79155B-FD86-4A20-92F2-98ABDE050241}">
      <text>
        <r>
          <rPr>
            <b/>
            <sz val="9"/>
            <color indexed="81"/>
            <rFont val="Tahoma"/>
            <family val="2"/>
            <charset val="204"/>
          </rPr>
          <t>Вычисленный коэффициент а с помощью функции ЛИНЕЙН excel</t>
        </r>
      </text>
    </comment>
    <comment ref="E25" authorId="0" shapeId="0" xr:uid="{2E7D13FC-6FE5-4D24-8BC2-4D2AF540CAD9}">
      <text>
        <r>
          <rPr>
            <b/>
            <sz val="9"/>
            <color indexed="81"/>
            <rFont val="Tahoma"/>
            <family val="2"/>
            <charset val="204"/>
          </rPr>
          <t>Вычисленный коэффициент b с помощью функции ЛИНЕЙН excel</t>
        </r>
      </text>
    </comment>
    <comment ref="K29" authorId="0" shapeId="0" xr:uid="{8F0A3DD3-90D9-4B90-8C1D-68D3054B9084}">
      <text>
        <r>
          <rPr>
            <b/>
            <sz val="9"/>
            <color indexed="81"/>
            <rFont val="Tahoma"/>
            <family val="2"/>
            <charset val="204"/>
          </rPr>
          <t xml:space="preserve">Модель хорошо объясняет данные, так как R^2 близок к единице, а F-статистика значима, также средняя ошибка аппроксимации очень мала.
</t>
        </r>
      </text>
    </comment>
    <comment ref="D61" authorId="0" shapeId="0" xr:uid="{0D1A2D1C-8F24-4337-826B-42680E2B3840}">
      <text>
        <r>
          <rPr>
            <b/>
            <sz val="9"/>
            <color indexed="81"/>
            <rFont val="Tahoma"/>
            <family val="2"/>
            <charset val="204"/>
          </rPr>
          <t xml:space="preserve">Модель хорошо объясняет данные, так как R^2 близок к единице, а F-статистика значима, также средняя ошибка аппроксимации очень мала.
Также коэффициенты имеют между собой линейную зависимость балгодаря значимости F критерия, а также зависят друг от друга благодаря значимости t-критерия.
</t>
        </r>
      </text>
    </comment>
    <comment ref="K71" authorId="0" shapeId="0" xr:uid="{EB59EE1B-1BB7-4366-A54F-7688878D49E1}">
      <text>
        <r>
          <rPr>
            <b/>
            <sz val="9"/>
            <color indexed="81"/>
            <rFont val="Tahoma"/>
            <family val="2"/>
            <charset val="204"/>
          </rPr>
          <t xml:space="preserve">Как мы видим по  графику, точки случайно разбросаны вокруг нуля,
значит предпосылка линейности удовлетворяется.
</t>
        </r>
      </text>
    </comment>
    <comment ref="K88" authorId="0" shapeId="0" xr:uid="{9CECF9B9-889F-4610-847F-A443DB65112F}">
      <text>
        <r>
          <rPr>
            <b/>
            <sz val="9"/>
            <color indexed="81"/>
            <rFont val="Tahoma"/>
            <family val="2"/>
            <charset val="204"/>
          </rPr>
          <t xml:space="preserve">Как мы видим из графика, остатки распределены случайным образом(т.е нет явного веера или систематической зависимости от величины предсказанного Y), значит предпосылка выполнена.
</t>
        </r>
      </text>
    </comment>
    <comment ref="K104" authorId="0" shapeId="0" xr:uid="{3DBCEC44-4CCC-492D-8C88-21FB3AE52C21}">
      <text>
        <r>
          <rPr>
            <b/>
            <sz val="9"/>
            <color indexed="81"/>
            <rFont val="Tahoma"/>
            <family val="2"/>
            <charset val="204"/>
          </rPr>
          <t>В центральной части квантиль-квантиль графика нормального распределения точки довольно близки к прямой. Это говорит о том что центральная часть распределения данных близка к нормальному. На концах графика есть отклонения, но это может быть связано с тем что крайние квантили более чувствительны к выбросам и отклонениям от норм распределения.</t>
        </r>
      </text>
    </comment>
    <comment ref="N122" authorId="0" shapeId="0" xr:uid="{7A2CEBBD-1240-4545-9DFA-2599B09F9626}">
      <text>
        <r>
          <rPr>
            <b/>
            <sz val="9"/>
            <color indexed="81"/>
            <rFont val="Tahoma"/>
            <family val="2"/>
            <charset val="204"/>
          </rPr>
          <t xml:space="preserve">Так как DW в данном случае нежелателен из-за 10 наблюдений, воспользуемся графиком последовательности остатков и посмотрим будет ли там паттерн.
Как мы видим, паттерна нет
</t>
        </r>
      </text>
    </comment>
    <comment ref="L125" authorId="0" shapeId="0" xr:uid="{C8010546-282E-4156-86EB-B3D0FD6FB2BF}">
      <text>
        <r>
          <rPr>
            <b/>
            <sz val="9"/>
            <color indexed="81"/>
            <rFont val="Tahoma"/>
            <family val="2"/>
            <charset val="204"/>
          </rPr>
          <t xml:space="preserve">Это свидетельствует об отсутствии автокорелляции и независимости ошибок, т.к 1 &lt; DW &lt; 3, но у нас мало данных, поэтому расчёт может быть неточным.
</t>
        </r>
      </text>
    </comment>
    <comment ref="K141" authorId="0" shapeId="0" xr:uid="{F362DBE8-73A0-4215-9193-2C743A542F4C}">
      <text>
        <r>
          <rPr>
            <sz val="9"/>
            <color indexed="81"/>
            <rFont val="Tahoma"/>
            <family val="2"/>
            <charset val="204"/>
          </rPr>
          <t xml:space="preserve">Как мы видим, выполнены все предпоcылки МНK, что свидетельствует о хорошей прогнозируемости данных.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<sst xmlns="http://schemas.openxmlformats.org/spreadsheetml/2006/main" count="107" uniqueCount="93">
  <si>
    <t>X</t>
  </si>
  <si>
    <t>Y</t>
  </si>
  <si>
    <t>1.1 Корреляция</t>
  </si>
  <si>
    <t>1.2 Поле корреляции</t>
  </si>
  <si>
    <t>2. Причина и следствие</t>
  </si>
  <si>
    <t>3.Уравнение лин.регрессии</t>
  </si>
  <si>
    <t>Y = ax + b</t>
  </si>
  <si>
    <t xml:space="preserve">a     = </t>
  </si>
  <si>
    <t xml:space="preserve">           b </t>
  </si>
  <si>
    <t xml:space="preserve">         =</t>
  </si>
  <si>
    <t>Y = 0.967688*x + 8.12023</t>
  </si>
  <si>
    <t>4. Прогнозируемые значения</t>
  </si>
  <si>
    <t>Ŷ</t>
  </si>
  <si>
    <t>6. Подсчёт с помощью ЛИНЕЙН</t>
  </si>
  <si>
    <t>5. Ошибка и детерминация</t>
  </si>
  <si>
    <t>7. Проверка значимости а и b</t>
  </si>
  <si>
    <t>Для b t-статистика</t>
  </si>
  <si>
    <t>Для а t-статистика</t>
  </si>
  <si>
    <t>Найдём критическое знач</t>
  </si>
  <si>
    <t>8 Проверка значимости F</t>
  </si>
  <si>
    <t>Для F-статистики</t>
  </si>
  <si>
    <t>Средняя ошибка</t>
  </si>
  <si>
    <t>Коэффициент детерминации</t>
  </si>
  <si>
    <t>Лабораторная работа №2</t>
  </si>
  <si>
    <t>1. Вычисление остатков  и т.д</t>
  </si>
  <si>
    <t>Ост. сумма квадратов</t>
  </si>
  <si>
    <t>Факторная сумма</t>
  </si>
  <si>
    <t>Общая сумма квадратов</t>
  </si>
  <si>
    <t>Остаточная дисперсия</t>
  </si>
  <si>
    <t>Факторная дисперсия</t>
  </si>
  <si>
    <t>Названия</t>
  </si>
  <si>
    <t>Вычисления</t>
  </si>
  <si>
    <t>Остаток e</t>
  </si>
  <si>
    <t>4. Использование анализа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</si>
  <si>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</si>
  <si>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</si>
  <si>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</si>
  <si>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</si>
  <si>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</si>
  <si>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</si>
  <si>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</si>
  <si>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</si>
  <si>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</si>
  <si>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</si>
  <si>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</si>
  <si>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</si>
  <si>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</si>
  <si>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</si>
  <si>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</si>
  <si>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</si>
  <si>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</si>
  <si>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</si>
  <si>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</si>
  <si>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</si>
  <si>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</si>
  <si>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</si>
  <si>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</si>
  <si>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</si>
  <si>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ВЫВОД ОСТАТКА</t>
  </si>
  <si>
    <t>Наблюдение</t>
  </si>
  <si>
    <t>Остатки</t>
  </si>
  <si>
    <t>Предсказанное Y</t>
  </si>
  <si>
    <t>Общая</t>
  </si>
  <si>
    <t>t-коэффициент a</t>
  </si>
  <si>
    <t>t-коэффициент b</t>
  </si>
  <si>
    <t>Критическое значение</t>
  </si>
  <si>
    <t>Сравнение</t>
  </si>
  <si>
    <t>3. Проверяем значимость F</t>
  </si>
  <si>
    <t>2. Проверка значимости с t</t>
  </si>
  <si>
    <t>F-стат</t>
  </si>
  <si>
    <t>5. Прогнозирование среднего</t>
  </si>
  <si>
    <t>80% от макс</t>
  </si>
  <si>
    <t>Ŷ = a*Xmax+b</t>
  </si>
  <si>
    <t>Сумма квадратов отклонений Х</t>
  </si>
  <si>
    <t>Станд. ошибка прогноза сред.</t>
  </si>
  <si>
    <t>Крит значения t-распр a = 0.05</t>
  </si>
  <si>
    <t>Крит значения t-распр a = 0.1</t>
  </si>
  <si>
    <t>Верхняя граница при 0.05</t>
  </si>
  <si>
    <t>Нижняя граница при 0.05</t>
  </si>
  <si>
    <t>Нижняя граница при 0.1</t>
  </si>
  <si>
    <t>Верхняя граница при 0.1</t>
  </si>
  <si>
    <t>6. Проверяем предпосылки</t>
  </si>
  <si>
    <t>1. Проверка линейности</t>
  </si>
  <si>
    <t>2. Гомоскедастичность</t>
  </si>
  <si>
    <t>3  Норм.распределения ошиб</t>
  </si>
  <si>
    <t>4 Независимость ошибок</t>
  </si>
  <si>
    <t>Сумма квадратов разностей</t>
  </si>
  <si>
    <t xml:space="preserve">Сумма квадратов   </t>
  </si>
  <si>
    <t>Статистика Дарбина-Уотсона</t>
  </si>
  <si>
    <t>Z</t>
  </si>
  <si>
    <t>Сорт остат.</t>
  </si>
  <si>
    <t>Квантили</t>
  </si>
  <si>
    <t>Выполнено 4/4 предпосылок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</si>
</sst>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8"/>
      <color rgb="FFFFFFFF"/>
      <name val="Aptos Narrow"/>
      <family val="2"/>
      <charset val="204"/>
      <scheme val="minor"/>
    </font>
    <font>
      <i/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3" fillId="0" borderId="0" xfId="0" applyFont="1" applyAlignment="1">
      <alignment horizontal="left" vertical="center"/>
    </xf>
    <xf numFmtId="0" fontId="0" fillId="0" borderId="1" xfId="0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Поле</a:t>
            </a:r>
            <a:r>
              <a:rPr lang="ru-RU" baseline="0"/>
              <a:t> корреляции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Лист1!$A$2:$A$11</c:f>
              <c:numCache>
                <c:formatCode>General</c:formatCode>
                <c:ptCount val="10"/>
                <c:pt idx="0">
                  <c:v>12</c:v>
                </c:pt>
                <c:pt idx="1">
                  <c:v>4</c:v>
                </c:pt>
                <c:pt idx="2">
                  <c:v>18</c:v>
                </c:pt>
                <c:pt idx="3">
                  <c:v>27</c:v>
                </c:pt>
                <c:pt idx="4">
                  <c:v>26</c:v>
                </c:pt>
                <c:pt idx="5">
                  <c:v>29</c:v>
                </c:pt>
                <c:pt idx="6">
                  <c:v>1</c:v>
                </c:pt>
                <c:pt idx="7">
                  <c:v>13</c:v>
                </c:pt>
                <c:pt idx="8">
                  <c:v>26</c:v>
                </c:pt>
                <c:pt idx="9">
                  <c:v>5</c:v>
                </c:pt>
              </c:numCache>
            </c:numRef>
          </c:xVal>
          <c:yVal>
            <c:numRef>
              <c:f>Лист1!$B$2:$B$11</c:f>
              <c:numCache>
                <c:formatCode>General</c:formatCode>
                <c:ptCount val="10"/>
                <c:pt idx="0">
                  <c:v>21</c:v>
                </c:pt>
                <c:pt idx="1">
                  <c:v>10</c:v>
                </c:pt>
                <c:pt idx="2">
                  <c:v>26</c:v>
                </c:pt>
                <c:pt idx="3">
                  <c:v>33</c:v>
                </c:pt>
                <c:pt idx="4">
                  <c:v>34</c:v>
                </c:pt>
                <c:pt idx="5">
                  <c:v>37</c:v>
                </c:pt>
                <c:pt idx="6">
                  <c:v>9</c:v>
                </c:pt>
                <c:pt idx="7">
                  <c:v>21</c:v>
                </c:pt>
                <c:pt idx="8">
                  <c:v>32</c:v>
                </c:pt>
                <c:pt idx="9">
                  <c:v>14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Лист1!$B$1</c15:sqref>
                        </c15:formulaRef>
                      </c:ext>
                    </c:extLst>
                    <c:strCache>
                      <c:ptCount val="1"/>
                      <c:pt idx="0">
                        <c:v>Y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FCD0-40A7-9C09-9B26EF53D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115119"/>
        <c:axId val="1540114159"/>
      </c:scatterChart>
      <c:valAx>
        <c:axId val="1540115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0114159"/>
        <c:crosses val="autoZero"/>
        <c:crossBetween val="midCat"/>
      </c:valAx>
      <c:valAx>
        <c:axId val="154011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0115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Поле</a:t>
            </a:r>
            <a:r>
              <a:rPr lang="ru-RU" baseline="0"/>
              <a:t> корреляции прогнозируемое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Лист1!$P$1</c:f>
              <c:strCache>
                <c:ptCount val="1"/>
                <c:pt idx="0">
                  <c:v>Ŷ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Лист1!$O$2:$O$11</c:f>
              <c:numCache>
                <c:formatCode>General</c:formatCode>
                <c:ptCount val="10"/>
                <c:pt idx="0">
                  <c:v>12</c:v>
                </c:pt>
                <c:pt idx="1">
                  <c:v>4</c:v>
                </c:pt>
                <c:pt idx="2">
                  <c:v>18</c:v>
                </c:pt>
                <c:pt idx="3">
                  <c:v>27</c:v>
                </c:pt>
                <c:pt idx="4">
                  <c:v>26</c:v>
                </c:pt>
                <c:pt idx="5">
                  <c:v>29</c:v>
                </c:pt>
                <c:pt idx="6">
                  <c:v>1</c:v>
                </c:pt>
                <c:pt idx="7">
                  <c:v>13</c:v>
                </c:pt>
                <c:pt idx="8">
                  <c:v>26</c:v>
                </c:pt>
                <c:pt idx="9">
                  <c:v>5</c:v>
                </c:pt>
              </c:numCache>
            </c:numRef>
          </c:xVal>
          <c:yVal>
            <c:numRef>
              <c:f>Лист1!$P$2:$P$11</c:f>
              <c:numCache>
                <c:formatCode>General</c:formatCode>
                <c:ptCount val="10"/>
                <c:pt idx="0">
                  <c:v>19.732480919813661</c:v>
                </c:pt>
                <c:pt idx="1">
                  <c:v>11.990980275547628</c:v>
                </c:pt>
                <c:pt idx="2">
                  <c:v>25.538606403013183</c:v>
                </c:pt>
                <c:pt idx="3">
                  <c:v>34.247794627812468</c:v>
                </c:pt>
                <c:pt idx="4">
                  <c:v>33.280107047279216</c:v>
                </c:pt>
                <c:pt idx="5">
                  <c:v>36.183169788878978</c:v>
                </c:pt>
                <c:pt idx="6">
                  <c:v>9.0879175339478646</c:v>
                </c:pt>
                <c:pt idx="7">
                  <c:v>20.700168500346912</c:v>
                </c:pt>
                <c:pt idx="8">
                  <c:v>33.280107047279216</c:v>
                </c:pt>
                <c:pt idx="9">
                  <c:v>12.958667856080881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66-497C-8C70-DDF8A14B4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448143"/>
        <c:axId val="1840448623"/>
      </c:scatterChart>
      <c:valAx>
        <c:axId val="1840448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 </a:t>
                </a:r>
                <a:r>
                  <a:rPr lang="en-US"/>
                  <a:t>X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0448623"/>
        <c:crosses val="autoZero"/>
        <c:crossBetween val="midCat"/>
      </c:valAx>
      <c:valAx>
        <c:axId val="184044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Ŷ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0448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4511592300962385E-2"/>
          <c:y val="0.19721055701370663"/>
          <c:w val="0.83098982243707975"/>
          <c:h val="0.71697831187104488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Лист1!$F$34</c:f>
              <c:strCache>
                <c:ptCount val="1"/>
                <c:pt idx="0">
                  <c:v>Остаток 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Лист1!$E$35:$E$44</c:f>
              <c:numCache>
                <c:formatCode>General</c:formatCode>
                <c:ptCount val="10"/>
                <c:pt idx="0">
                  <c:v>12</c:v>
                </c:pt>
                <c:pt idx="1">
                  <c:v>4</c:v>
                </c:pt>
                <c:pt idx="2">
                  <c:v>18</c:v>
                </c:pt>
                <c:pt idx="3">
                  <c:v>27</c:v>
                </c:pt>
                <c:pt idx="4">
                  <c:v>26</c:v>
                </c:pt>
                <c:pt idx="5">
                  <c:v>29</c:v>
                </c:pt>
                <c:pt idx="6">
                  <c:v>1</c:v>
                </c:pt>
                <c:pt idx="7">
                  <c:v>13</c:v>
                </c:pt>
                <c:pt idx="8">
                  <c:v>26</c:v>
                </c:pt>
                <c:pt idx="9">
                  <c:v>5</c:v>
                </c:pt>
              </c:numCache>
            </c:numRef>
          </c:xVal>
          <c:yVal>
            <c:numRef>
              <c:f>Лист1!$F$35:$F$44</c:f>
              <c:numCache>
                <c:formatCode>General</c:formatCode>
                <c:ptCount val="10"/>
                <c:pt idx="0">
                  <c:v>1.2675190801863394</c:v>
                </c:pt>
                <c:pt idx="1">
                  <c:v>-1.9909802755476278</c:v>
                </c:pt>
                <c:pt idx="2">
                  <c:v>0.46139359698681659</c:v>
                </c:pt>
                <c:pt idx="3">
                  <c:v>-1.2477946278124676</c:v>
                </c:pt>
                <c:pt idx="4">
                  <c:v>0.7198929527207838</c:v>
                </c:pt>
                <c:pt idx="5">
                  <c:v>0.81683021112102239</c:v>
                </c:pt>
                <c:pt idx="6">
                  <c:v>-8.7917533947864612E-2</c:v>
                </c:pt>
                <c:pt idx="7">
                  <c:v>0.29983149965308797</c:v>
                </c:pt>
                <c:pt idx="8">
                  <c:v>-1.2801070472792162</c:v>
                </c:pt>
                <c:pt idx="9">
                  <c:v>1.041332143919119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EF-4704-B1C4-0B291D91E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6231679"/>
        <c:axId val="1986229759"/>
      </c:scatterChart>
      <c:valAx>
        <c:axId val="1986231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r>
                  <a:rPr lang="ru-RU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86229759"/>
        <c:crosses val="autoZero"/>
        <c:crossBetween val="midCat"/>
      </c:valAx>
      <c:valAx>
        <c:axId val="198622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Остаток 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86231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Лист1!$A$2:$A$11</c:f>
              <c:numCache>
                <c:formatCode>General</c:formatCode>
                <c:ptCount val="10"/>
                <c:pt idx="0">
                  <c:v>12</c:v>
                </c:pt>
                <c:pt idx="1">
                  <c:v>4</c:v>
                </c:pt>
                <c:pt idx="2">
                  <c:v>18</c:v>
                </c:pt>
                <c:pt idx="3">
                  <c:v>27</c:v>
                </c:pt>
                <c:pt idx="4">
                  <c:v>26</c:v>
                </c:pt>
                <c:pt idx="5">
                  <c:v>29</c:v>
                </c:pt>
                <c:pt idx="6">
                  <c:v>1</c:v>
                </c:pt>
                <c:pt idx="7">
                  <c:v>13</c:v>
                </c:pt>
                <c:pt idx="8">
                  <c:v>26</c:v>
                </c:pt>
                <c:pt idx="9">
                  <c:v>5</c:v>
                </c:pt>
              </c:numCache>
            </c:numRef>
          </c:xVal>
          <c:yVal>
            <c:numRef>
              <c:f>Лист1!$M$59:$M$68</c:f>
              <c:numCache>
                <c:formatCode>General</c:formatCode>
                <c:ptCount val="10"/>
                <c:pt idx="0">
                  <c:v>1.2675190801863465</c:v>
                </c:pt>
                <c:pt idx="1">
                  <c:v>-1.9909802755476207</c:v>
                </c:pt>
                <c:pt idx="2">
                  <c:v>0.46139359698682014</c:v>
                </c:pt>
                <c:pt idx="3">
                  <c:v>-1.2477946278124676</c:v>
                </c:pt>
                <c:pt idx="4">
                  <c:v>0.7198929527207838</c:v>
                </c:pt>
                <c:pt idx="5">
                  <c:v>0.81683021112102239</c:v>
                </c:pt>
                <c:pt idx="6">
                  <c:v>-8.7917533947859283E-2</c:v>
                </c:pt>
                <c:pt idx="7">
                  <c:v>0.29983149965309153</c:v>
                </c:pt>
                <c:pt idx="8">
                  <c:v>-1.2801070472792162</c:v>
                </c:pt>
                <c:pt idx="9">
                  <c:v>1.0413321439191243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AC-4035-9EB6-05B6FA112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7587743"/>
        <c:axId val="1987584383"/>
      </c:scatterChart>
      <c:valAx>
        <c:axId val="19875877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87584383"/>
        <c:crosses val="autoZero"/>
        <c:crossBetween val="midCat"/>
      </c:valAx>
      <c:valAx>
        <c:axId val="198758438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8758774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 Диаграмма</a:t>
            </a:r>
            <a:r>
              <a:rPr lang="ru-RU" baseline="0"/>
              <a:t> рассеяния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4511592300962385E-2"/>
          <c:y val="0.19721055701370663"/>
          <c:w val="0.83098982243707975"/>
          <c:h val="0.71697831187104488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Лист1!$F$34</c:f>
              <c:strCache>
                <c:ptCount val="1"/>
                <c:pt idx="0">
                  <c:v>Остаток 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Лист1!$E$35:$E$44</c:f>
              <c:numCache>
                <c:formatCode>General</c:formatCode>
                <c:ptCount val="10"/>
                <c:pt idx="0">
                  <c:v>12</c:v>
                </c:pt>
                <c:pt idx="1">
                  <c:v>4</c:v>
                </c:pt>
                <c:pt idx="2">
                  <c:v>18</c:v>
                </c:pt>
                <c:pt idx="3">
                  <c:v>27</c:v>
                </c:pt>
                <c:pt idx="4">
                  <c:v>26</c:v>
                </c:pt>
                <c:pt idx="5">
                  <c:v>29</c:v>
                </c:pt>
                <c:pt idx="6">
                  <c:v>1</c:v>
                </c:pt>
                <c:pt idx="7">
                  <c:v>13</c:v>
                </c:pt>
                <c:pt idx="8">
                  <c:v>26</c:v>
                </c:pt>
                <c:pt idx="9">
                  <c:v>5</c:v>
                </c:pt>
              </c:numCache>
            </c:numRef>
          </c:xVal>
          <c:yVal>
            <c:numRef>
              <c:f>Лист1!$F$35:$F$44</c:f>
              <c:numCache>
                <c:formatCode>General</c:formatCode>
                <c:ptCount val="10"/>
                <c:pt idx="0">
                  <c:v>1.2675190801863394</c:v>
                </c:pt>
                <c:pt idx="1">
                  <c:v>-1.9909802755476278</c:v>
                </c:pt>
                <c:pt idx="2">
                  <c:v>0.46139359698681659</c:v>
                </c:pt>
                <c:pt idx="3">
                  <c:v>-1.2477946278124676</c:v>
                </c:pt>
                <c:pt idx="4">
                  <c:v>0.7198929527207838</c:v>
                </c:pt>
                <c:pt idx="5">
                  <c:v>0.81683021112102239</c:v>
                </c:pt>
                <c:pt idx="6">
                  <c:v>-8.7917533947864612E-2</c:v>
                </c:pt>
                <c:pt idx="7">
                  <c:v>0.29983149965308797</c:v>
                </c:pt>
                <c:pt idx="8">
                  <c:v>-1.2801070472792162</c:v>
                </c:pt>
                <c:pt idx="9">
                  <c:v>1.041332143919119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9B-425F-AFC1-54E02AA4C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6231679"/>
        <c:axId val="1986229759"/>
      </c:scatterChart>
      <c:valAx>
        <c:axId val="1986231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r>
                  <a:rPr lang="ru-RU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86229759"/>
        <c:crosses val="autoZero"/>
        <c:crossBetween val="midCat"/>
      </c:valAx>
      <c:valAx>
        <c:axId val="198622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Остаток 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86231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последовательности остатков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Лист1!$N$123:$N$132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Лист1!$O$123:$O$132</c:f>
              <c:numCache>
                <c:formatCode>General</c:formatCode>
                <c:ptCount val="10"/>
                <c:pt idx="0">
                  <c:v>1.2675190801863465</c:v>
                </c:pt>
                <c:pt idx="1">
                  <c:v>-1.9909802755476207</c:v>
                </c:pt>
                <c:pt idx="2">
                  <c:v>0.46139359698682014</c:v>
                </c:pt>
                <c:pt idx="3">
                  <c:v>-1.2477946278124676</c:v>
                </c:pt>
                <c:pt idx="4">
                  <c:v>0.7198929527207838</c:v>
                </c:pt>
                <c:pt idx="5">
                  <c:v>0.81683021112102239</c:v>
                </c:pt>
                <c:pt idx="6">
                  <c:v>-8.7917533947859283E-2</c:v>
                </c:pt>
                <c:pt idx="7">
                  <c:v>0.29983149965309153</c:v>
                </c:pt>
                <c:pt idx="8">
                  <c:v>-1.2801070472792162</c:v>
                </c:pt>
                <c:pt idx="9">
                  <c:v>1.0413321439191243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EA-49EE-A472-2514D5E36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808367"/>
        <c:axId val="127810767"/>
      </c:scatterChart>
      <c:valAx>
        <c:axId val="12780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810767"/>
        <c:crosses val="autoZero"/>
        <c:crossBetween val="midCat"/>
      </c:valAx>
      <c:valAx>
        <c:axId val="12781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 Остаток</a:t>
                </a:r>
                <a:r>
                  <a:rPr lang="ru-RU" baseline="0"/>
                  <a:t> е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808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</a:t>
            </a:r>
            <a:r>
              <a:rPr lang="ru-RU" baseline="0"/>
              <a:t> рассеяния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Лист1!$L$59:$L$68</c:f>
              <c:numCache>
                <c:formatCode>General</c:formatCode>
                <c:ptCount val="10"/>
                <c:pt idx="0">
                  <c:v>19.732480919813653</c:v>
                </c:pt>
                <c:pt idx="1">
                  <c:v>11.990980275547621</c:v>
                </c:pt>
                <c:pt idx="2">
                  <c:v>25.53860640301318</c:v>
                </c:pt>
                <c:pt idx="3">
                  <c:v>34.247794627812468</c:v>
                </c:pt>
                <c:pt idx="4">
                  <c:v>33.280107047279216</c:v>
                </c:pt>
                <c:pt idx="5">
                  <c:v>36.183169788878978</c:v>
                </c:pt>
                <c:pt idx="6">
                  <c:v>9.0879175339478593</c:v>
                </c:pt>
                <c:pt idx="7">
                  <c:v>20.700168500346908</c:v>
                </c:pt>
                <c:pt idx="8">
                  <c:v>33.280107047279216</c:v>
                </c:pt>
                <c:pt idx="9">
                  <c:v>12.958667856080876</c:v>
                </c:pt>
              </c:numCache>
            </c:numRef>
          </c:xVal>
          <c:yVal>
            <c:numRef>
              <c:f>Лист1!$M$59:$M$68</c:f>
              <c:numCache>
                <c:formatCode>General</c:formatCode>
                <c:ptCount val="10"/>
                <c:pt idx="0">
                  <c:v>1.2675190801863465</c:v>
                </c:pt>
                <c:pt idx="1">
                  <c:v>-1.9909802755476207</c:v>
                </c:pt>
                <c:pt idx="2">
                  <c:v>0.46139359698682014</c:v>
                </c:pt>
                <c:pt idx="3">
                  <c:v>-1.2477946278124676</c:v>
                </c:pt>
                <c:pt idx="4">
                  <c:v>0.7198929527207838</c:v>
                </c:pt>
                <c:pt idx="5">
                  <c:v>0.81683021112102239</c:v>
                </c:pt>
                <c:pt idx="6">
                  <c:v>-8.7917533947859283E-2</c:v>
                </c:pt>
                <c:pt idx="7">
                  <c:v>0.29983149965309153</c:v>
                </c:pt>
                <c:pt idx="8">
                  <c:v>-1.2801070472792162</c:v>
                </c:pt>
                <c:pt idx="9">
                  <c:v>1.0413321439191243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D5-4F74-8B7F-A103D27DB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5093295"/>
        <c:axId val="1985090895"/>
      </c:scatterChart>
      <c:valAx>
        <c:axId val="1985093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85090895"/>
        <c:crosses val="autoZero"/>
        <c:crossBetween val="midCat"/>
      </c:valAx>
      <c:valAx>
        <c:axId val="198509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Остаток</a:t>
                </a:r>
                <a:r>
                  <a:rPr lang="ru-RU" baseline="0"/>
                  <a:t> е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85093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Q-Q</a:t>
            </a:r>
            <a:r>
              <a:rPr lang="en-US" baseline="0"/>
              <a:t> </a:t>
            </a:r>
            <a:r>
              <a:rPr lang="ru-RU" baseline="0"/>
              <a:t>график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Лист1!$O$105:$O$114</c:f>
              <c:numCache>
                <c:formatCode>General</c:formatCode>
                <c:ptCount val="10"/>
                <c:pt idx="0">
                  <c:v>-1.6448536269514726</c:v>
                </c:pt>
                <c:pt idx="1">
                  <c:v>-1.0364333894937898</c:v>
                </c:pt>
                <c:pt idx="2">
                  <c:v>-0.67448975019608193</c:v>
                </c:pt>
                <c:pt idx="3">
                  <c:v>-0.38532046640756784</c:v>
                </c:pt>
                <c:pt idx="4">
                  <c:v>-0.12566134685507402</c:v>
                </c:pt>
                <c:pt idx="5">
                  <c:v>0.12566134685507416</c:v>
                </c:pt>
                <c:pt idx="6">
                  <c:v>0.38532046640756784</c:v>
                </c:pt>
                <c:pt idx="7">
                  <c:v>0.67448975019608193</c:v>
                </c:pt>
                <c:pt idx="8">
                  <c:v>1.0364333894937898</c:v>
                </c:pt>
                <c:pt idx="9">
                  <c:v>1.6448536269514715</c:v>
                </c:pt>
              </c:numCache>
            </c:numRef>
          </c:xVal>
          <c:yVal>
            <c:numRef>
              <c:f>Лист1!$P$105:$P$114</c:f>
              <c:numCache>
                <c:formatCode>General</c:formatCode>
                <c:ptCount val="10"/>
                <c:pt idx="0">
                  <c:v>-1.9909802755476207</c:v>
                </c:pt>
                <c:pt idx="1">
                  <c:v>-1.2801070472792162</c:v>
                </c:pt>
                <c:pt idx="2">
                  <c:v>-1.2477946278124676</c:v>
                </c:pt>
                <c:pt idx="3">
                  <c:v>-8.7917533947859283E-2</c:v>
                </c:pt>
                <c:pt idx="4">
                  <c:v>0.29983149965309153</c:v>
                </c:pt>
                <c:pt idx="5">
                  <c:v>0.46139359698682014</c:v>
                </c:pt>
                <c:pt idx="6">
                  <c:v>0.7198929527207838</c:v>
                </c:pt>
                <c:pt idx="7">
                  <c:v>0.81683021112102239</c:v>
                </c:pt>
                <c:pt idx="8">
                  <c:v>1.0413321439191243</c:v>
                </c:pt>
                <c:pt idx="9">
                  <c:v>1.2675190801863465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EA-42A0-88BE-D1BAA4C20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397279"/>
        <c:axId val="748397759"/>
      </c:scatterChart>
      <c:valAx>
        <c:axId val="748397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8397759"/>
        <c:crosses val="autoZero"/>
        <c:crossBetween val="midCat"/>
      </c:valAx>
      <c:valAx>
        <c:axId val="74839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8397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Поле</a:t>
            </a:r>
            <a:r>
              <a:rPr lang="ru-RU" baseline="0"/>
              <a:t> корреляции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Лист1!$A$2:$A$11</c:f>
              <c:numCache>
                <c:formatCode>General</c:formatCode>
                <c:ptCount val="10"/>
                <c:pt idx="0">
                  <c:v>12</c:v>
                </c:pt>
                <c:pt idx="1">
                  <c:v>4</c:v>
                </c:pt>
                <c:pt idx="2">
                  <c:v>18</c:v>
                </c:pt>
                <c:pt idx="3">
                  <c:v>27</c:v>
                </c:pt>
                <c:pt idx="4">
                  <c:v>26</c:v>
                </c:pt>
                <c:pt idx="5">
                  <c:v>29</c:v>
                </c:pt>
                <c:pt idx="6">
                  <c:v>1</c:v>
                </c:pt>
                <c:pt idx="7">
                  <c:v>13</c:v>
                </c:pt>
                <c:pt idx="8">
                  <c:v>26</c:v>
                </c:pt>
                <c:pt idx="9">
                  <c:v>5</c:v>
                </c:pt>
              </c:numCache>
            </c:numRef>
          </c:xVal>
          <c:yVal>
            <c:numRef>
              <c:f>Лист1!$B$2:$B$11</c:f>
              <c:numCache>
                <c:formatCode>General</c:formatCode>
                <c:ptCount val="10"/>
                <c:pt idx="0">
                  <c:v>21</c:v>
                </c:pt>
                <c:pt idx="1">
                  <c:v>10</c:v>
                </c:pt>
                <c:pt idx="2">
                  <c:v>26</c:v>
                </c:pt>
                <c:pt idx="3">
                  <c:v>33</c:v>
                </c:pt>
                <c:pt idx="4">
                  <c:v>34</c:v>
                </c:pt>
                <c:pt idx="5">
                  <c:v>37</c:v>
                </c:pt>
                <c:pt idx="6">
                  <c:v>9</c:v>
                </c:pt>
                <c:pt idx="7">
                  <c:v>21</c:v>
                </c:pt>
                <c:pt idx="8">
                  <c:v>32</c:v>
                </c:pt>
                <c:pt idx="9">
                  <c:v>14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Лист1!$B$1</c15:sqref>
                        </c15:formulaRef>
                      </c:ext>
                    </c:extLst>
                    <c:strCache>
                      <c:ptCount val="1"/>
                      <c:pt idx="0">
                        <c:v>Y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824C-441B-BA01-8AC94E001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115119"/>
        <c:axId val="1540114159"/>
      </c:scatterChart>
      <c:valAx>
        <c:axId val="1540115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0114159"/>
        <c:crosses val="autoZero"/>
        <c:crossBetween val="midCat"/>
      </c:valAx>
      <c:valAx>
        <c:axId val="154011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0115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43961</xdr:colOff>
      <xdr:row>2</xdr:row>
      <xdr:rowOff>160117</xdr:rowOff>
    </xdr:from>
    <xdr:to>
      <xdr:col>8</xdr:col>
      <xdr:colOff>215314</xdr:colOff>
      <xdr:row>18</xdr:row>
      <xdr:rowOff>123092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7311179F-314D-D21F-412A-47E6930125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228600</xdr:colOff>
      <xdr:row>1</xdr:row>
      <xdr:rowOff>148590</xdr:rowOff>
    </xdr:from>
    <xdr:to>
      <xdr:col>13</xdr:col>
      <xdr:colOff>595923</xdr:colOff>
      <xdr:row>19</xdr:row>
      <xdr:rowOff>78154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E356971-362F-CCFB-D24D-C514B7E02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580409</xdr:colOff>
      <xdr:row>40</xdr:row>
      <xdr:rowOff>167013</xdr:rowOff>
    </xdr:from>
    <xdr:to>
      <xdr:col>4</xdr:col>
      <xdr:colOff>12598</xdr:colOff>
      <xdr:row>55</xdr:row>
      <xdr:rowOff>175873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78D9D57-E59E-A14D-F925-4D490B04C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345736</xdr:colOff>
      <xdr:row>56</xdr:row>
      <xdr:rowOff>44657</xdr:rowOff>
    </xdr:from>
    <xdr:to>
      <xdr:col>19</xdr:col>
      <xdr:colOff>348217</xdr:colOff>
      <xdr:row>66</xdr:row>
      <xdr:rowOff>58656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8E1E7C5-6750-3C08-A242-137EC47A96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88</xdr:row>
      <xdr:rowOff>0</xdr:rowOff>
    </xdr:from>
    <xdr:to>
      <xdr:col>15</xdr:col>
      <xdr:colOff>215066</xdr:colOff>
      <xdr:row>103</xdr:row>
      <xdr:rowOff>8860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32A0D251-9762-4369-A006-19E52B73F6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156576</xdr:colOff>
      <xdr:row>125</xdr:row>
      <xdr:rowOff>21921</xdr:rowOff>
    </xdr:from>
    <xdr:to>
      <xdr:col>12</xdr:col>
      <xdr:colOff>542795</xdr:colOff>
      <xdr:row>139</xdr:row>
      <xdr:rowOff>134655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3448F41B-0CFB-660F-097B-E12C39277C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438412</xdr:colOff>
      <xdr:row>71</xdr:row>
      <xdr:rowOff>84551</xdr:rowOff>
    </xdr:from>
    <xdr:to>
      <xdr:col>15</xdr:col>
      <xdr:colOff>219206</xdr:colOff>
      <xdr:row>86</xdr:row>
      <xdr:rowOff>9395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9215FB8-3BCB-4FE6-998E-14B067CBE5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167014</xdr:colOff>
      <xdr:row>104</xdr:row>
      <xdr:rowOff>74113</xdr:rowOff>
    </xdr:from>
    <xdr:to>
      <xdr:col>12</xdr:col>
      <xdr:colOff>553233</xdr:colOff>
      <xdr:row>118</xdr:row>
      <xdr:rowOff>186847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F0535A72-0E20-86C1-692F-E0EB17B0C1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229644</xdr:colOff>
      <xdr:row>70</xdr:row>
      <xdr:rowOff>125261</xdr:rowOff>
    </xdr:from>
    <xdr:to>
      <xdr:col>25</xdr:col>
      <xdr:colOff>599327</xdr:colOff>
      <xdr:row>86</xdr:row>
      <xdr:rowOff>88235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1750C6F8-7A97-488B-9475-1B4CFEC705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7F63C3-DED0-4B8E-97BB-5A74139F1960}" name="Таблица1" displayName="Таблица1" ref="C36:D41" totalsRowShown="0">
  <autoFilter ref="C36:D41" xr:uid="{1E7F63C3-DED0-4B8E-97BB-5A74139F1960}"/>
  <tableColumns count="2">
    <tableColumn id="1" xr3:uid="{98D593AE-C09A-41B4-9D83-44960847B56E}" name="Названия"/>
    <tableColumn id="2" xr3:uid="{614D9CC1-C711-42E9-8336-8D4A6FB1BA41}" name="Вычисления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1BD89-3133-4AE9-9426-E5DAE409E151}">
  <dimension ref="A1:S141"/>
  <sheetViews>
    <sheetView tabSelected="1" topLeftCell="D100" zoomScale="73" workbookViewId="0">
      <selection activeCell="O105" sqref="O105"/>
    </sheetView>
  </sheetViews>
  <sheetFormatPr defaultRowHeight="14.4" x14ac:dyDescent="0.3"/>
  <cols>
    <col min="3" max="3" width="27.5546875" customWidth="1"/>
    <col min="4" max="4" width="27.21875" customWidth="1"/>
    <col min="5" max="5" width="9.88671875" customWidth="1"/>
    <col min="11" max="11" width="25.77734375" customWidth="1"/>
  </cols>
  <sheetData>
    <row r="1" spans="1:16" x14ac:dyDescent="0.3">
      <c r="A1" t="s">
        <v>0</v>
      </c>
      <c r="B1" t="s">
        <v>1</v>
      </c>
      <c r="D1" s="1" t="s">
        <v>2</v>
      </c>
      <c r="K1" t="s">
        <v>11</v>
      </c>
      <c r="O1" t="s">
        <v>0</v>
      </c>
      <c r="P1" t="s">
        <v>12</v>
      </c>
    </row>
    <row r="2" spans="1:16" x14ac:dyDescent="0.3">
      <c r="A2">
        <v>12</v>
      </c>
      <c r="B2">
        <v>21</v>
      </c>
      <c r="D2">
        <f>CORREL(A2:A11,B2:B11)</f>
        <v>0.9940484883081111</v>
      </c>
      <c r="K2" s="2">
        <f>A2</f>
        <v>12</v>
      </c>
      <c r="O2">
        <v>12</v>
      </c>
      <c r="P2">
        <f t="shared" ref="P2:P11" si="0">$F$22*O2+$I$22</f>
        <v>19.732480919813661</v>
      </c>
    </row>
    <row r="3" spans="1:16" x14ac:dyDescent="0.3">
      <c r="A3">
        <v>4</v>
      </c>
      <c r="B3">
        <v>10</v>
      </c>
      <c r="D3" t="s">
        <v>3</v>
      </c>
      <c r="O3">
        <v>4</v>
      </c>
      <c r="P3">
        <f t="shared" si="0"/>
        <v>11.990980275547628</v>
      </c>
    </row>
    <row r="4" spans="1:16" x14ac:dyDescent="0.3">
      <c r="A4">
        <v>18</v>
      </c>
      <c r="B4">
        <v>26</v>
      </c>
      <c r="O4">
        <v>18</v>
      </c>
      <c r="P4">
        <f t="shared" si="0"/>
        <v>25.538606403013183</v>
      </c>
    </row>
    <row r="5" spans="1:16" x14ac:dyDescent="0.3">
      <c r="A5">
        <v>27</v>
      </c>
      <c r="B5">
        <v>33</v>
      </c>
      <c r="O5">
        <v>27</v>
      </c>
      <c r="P5">
        <f t="shared" si="0"/>
        <v>34.247794627812468</v>
      </c>
    </row>
    <row r="6" spans="1:16" x14ac:dyDescent="0.3">
      <c r="A6">
        <v>26</v>
      </c>
      <c r="B6">
        <v>34</v>
      </c>
      <c r="O6">
        <v>26</v>
      </c>
      <c r="P6">
        <f t="shared" si="0"/>
        <v>33.280107047279216</v>
      </c>
    </row>
    <row r="7" spans="1:16" x14ac:dyDescent="0.3">
      <c r="A7">
        <v>29</v>
      </c>
      <c r="B7">
        <v>37</v>
      </c>
      <c r="O7">
        <v>29</v>
      </c>
      <c r="P7">
        <f t="shared" si="0"/>
        <v>36.183169788878978</v>
      </c>
    </row>
    <row r="8" spans="1:16" x14ac:dyDescent="0.3">
      <c r="A8">
        <v>1</v>
      </c>
      <c r="B8">
        <v>9</v>
      </c>
      <c r="O8">
        <v>1</v>
      </c>
      <c r="P8">
        <f t="shared" si="0"/>
        <v>9.0879175339478646</v>
      </c>
    </row>
    <row r="9" spans="1:16" x14ac:dyDescent="0.3">
      <c r="A9">
        <v>13</v>
      </c>
      <c r="B9">
        <v>21</v>
      </c>
      <c r="O9">
        <v>13</v>
      </c>
      <c r="P9">
        <f t="shared" si="0"/>
        <v>20.700168500346912</v>
      </c>
    </row>
    <row r="10" spans="1:16" x14ac:dyDescent="0.3">
      <c r="A10">
        <v>26</v>
      </c>
      <c r="B10">
        <v>32</v>
      </c>
      <c r="O10">
        <v>26</v>
      </c>
      <c r="P10">
        <f t="shared" si="0"/>
        <v>33.280107047279216</v>
      </c>
    </row>
    <row r="11" spans="1:16" x14ac:dyDescent="0.3">
      <c r="A11">
        <v>5</v>
      </c>
      <c r="B11">
        <v>14</v>
      </c>
      <c r="O11">
        <v>5</v>
      </c>
      <c r="P11">
        <f t="shared" si="0"/>
        <v>12.958667856080881</v>
      </c>
    </row>
    <row r="20" spans="4:13" x14ac:dyDescent="0.3">
      <c r="D20" t="s">
        <v>4</v>
      </c>
    </row>
    <row r="21" spans="4:13" x14ac:dyDescent="0.3">
      <c r="D21" t="s">
        <v>5</v>
      </c>
      <c r="K21" t="s">
        <v>14</v>
      </c>
    </row>
    <row r="22" spans="4:13" x14ac:dyDescent="0.3">
      <c r="D22" t="s">
        <v>6</v>
      </c>
      <c r="E22" t="s">
        <v>7</v>
      </c>
      <c r="F22">
        <f>(10*SUMPRODUCT(A2:A11,B2:B11)-SUM(A2:A11)*SUM(B2:B11))/(10*SUMPRODUCT(A2:A11,A2:A11)-SUM(A2:A11)^2)</f>
        <v>0.96768758053325399</v>
      </c>
      <c r="G22" t="s">
        <v>8</v>
      </c>
      <c r="H22" t="s">
        <v>9</v>
      </c>
      <c r="I22">
        <f>(SUM(B2:B11) - (F22 * SUM(A2:A11))) / 10</f>
        <v>8.1202299534146114</v>
      </c>
      <c r="K22">
        <f>STEYX(B2:B11,A2:A11)</f>
        <v>1.190935300792209</v>
      </c>
    </row>
    <row r="23" spans="4:13" x14ac:dyDescent="0.3">
      <c r="D23" t="s">
        <v>10</v>
      </c>
      <c r="K23">
        <f>D2^2</f>
        <v>0.98813239710764089</v>
      </c>
    </row>
    <row r="24" spans="4:13" x14ac:dyDescent="0.3">
      <c r="D24" t="s">
        <v>13</v>
      </c>
      <c r="K24" t="s">
        <v>15</v>
      </c>
    </row>
    <row r="25" spans="4:13" x14ac:dyDescent="0.3">
      <c r="D25" cm="1">
        <f t="array" ref="D25:E29">LINEST(B2:B11,A2:A11,TRUE,TRUE)</f>
        <v>0.96768758053325421</v>
      </c>
      <c r="E25">
        <v>8.1202299534146043</v>
      </c>
      <c r="K25" t="s">
        <v>17</v>
      </c>
      <c r="L25">
        <f>D25/D26</f>
        <v>25.80899299935577</v>
      </c>
      <c r="M25" t="str">
        <f>IF(ABS(L25) &gt; $L$27, "Значим", "Незначим")</f>
        <v>Значим</v>
      </c>
    </row>
    <row r="26" spans="4:13" x14ac:dyDescent="0.3">
      <c r="D26">
        <v>3.7494201364516977E-2</v>
      </c>
      <c r="E26">
        <v>0.71150125120076713</v>
      </c>
      <c r="K26" t="s">
        <v>16</v>
      </c>
      <c r="L26">
        <f>E25/E26</f>
        <v>11.412811909621347</v>
      </c>
      <c r="M26" t="str">
        <f>IF(ABS(L26) &gt; $L$27, "Значим", "Незначим")</f>
        <v>Значим</v>
      </c>
    </row>
    <row r="27" spans="4:13" x14ac:dyDescent="0.3">
      <c r="D27">
        <v>0.98813239710764134</v>
      </c>
      <c r="E27">
        <v>1.1909353007922039</v>
      </c>
      <c r="K27" t="s">
        <v>18</v>
      </c>
      <c r="L27">
        <f>TINV(0.05,10-2)</f>
        <v>2.3060041352041671</v>
      </c>
    </row>
    <row r="28" spans="4:13" x14ac:dyDescent="0.3">
      <c r="D28">
        <v>666.10411964079469</v>
      </c>
      <c r="E28">
        <v>8</v>
      </c>
    </row>
    <row r="29" spans="4:13" x14ac:dyDescent="0.3">
      <c r="D29">
        <v>944.75338487461579</v>
      </c>
      <c r="E29">
        <v>11.346615125384137</v>
      </c>
      <c r="K29" t="s">
        <v>19</v>
      </c>
    </row>
    <row r="30" spans="4:13" x14ac:dyDescent="0.3">
      <c r="K30" t="s">
        <v>20</v>
      </c>
      <c r="L30">
        <f>FINV(0.05,1,8)</f>
        <v>5.3176550715787174</v>
      </c>
      <c r="M30" t="str">
        <f>IF(ABS(D28) &gt; L30, "Значим", "Незначим")</f>
        <v>Значим</v>
      </c>
    </row>
    <row r="31" spans="4:13" x14ac:dyDescent="0.3">
      <c r="K31" t="s">
        <v>21</v>
      </c>
      <c r="L31" cm="1">
        <f t="array" ref="L31">AVERAGE(ABS((B2:B11 - P2:P11) / B2:B11)) * 100%</f>
        <v>4.9669427731152641E-2</v>
      </c>
    </row>
    <row r="32" spans="4:13" x14ac:dyDescent="0.3">
      <c r="K32" t="s">
        <v>22</v>
      </c>
      <c r="L32">
        <f>D27</f>
        <v>0.98813239710764134</v>
      </c>
    </row>
    <row r="33" spans="3:16" ht="39.6" customHeight="1" x14ac:dyDescent="0.3">
      <c r="D33" t="s">
        <v>23</v>
      </c>
    </row>
    <row r="34" spans="3:16" x14ac:dyDescent="0.3">
      <c r="D34" t="s">
        <v>24</v>
      </c>
      <c r="E34" t="s">
        <v>0</v>
      </c>
      <c r="F34" t="s">
        <v>32</v>
      </c>
      <c r="K34" t="s">
        <v>33</v>
      </c>
    </row>
    <row r="35" spans="3:16" x14ac:dyDescent="0.3">
      <c r="E35">
        <v>12</v>
      </c>
      <c r="F35">
        <f t="shared" ref="F35:F44" si="1">B2-P2</f>
        <v>1.2675190801863394</v>
      </c>
      <c r="K35" t="s">
        <v>34</v>
      </c>
    </row>
    <row r="36" spans="3:16" ht="15" thickBot="1" x14ac:dyDescent="0.35">
      <c r="C36" t="s">
        <v>30</v>
      </c>
      <c r="D36" t="s">
        <v>31</v>
      </c>
      <c r="E36">
        <v>4</v>
      </c>
      <c r="F36">
        <f t="shared" si="1"/>
        <v>-1.9909802755476278</v>
      </c>
    </row>
    <row r="37" spans="3:16" x14ac:dyDescent="0.3">
      <c r="C37" t="s">
        <v>25</v>
      </c>
      <c r="D37">
        <f>SUMSQ(F35:F44)</f>
        <v>11.346615125384076</v>
      </c>
      <c r="E37">
        <v>18</v>
      </c>
      <c r="F37">
        <f t="shared" si="1"/>
        <v>0.46139359698681659</v>
      </c>
      <c r="K37" s="5" t="s">
        <v>35</v>
      </c>
      <c r="L37" s="5"/>
    </row>
    <row r="38" spans="3:16" x14ac:dyDescent="0.3">
      <c r="C38" t="s">
        <v>26</v>
      </c>
      <c r="D38" cm="1">
        <f t="array" ref="D38">SUMSQ(P2:P11-AVERAGE(B2:B11))</f>
        <v>944.75338487461602</v>
      </c>
      <c r="E38">
        <v>27</v>
      </c>
      <c r="F38">
        <f t="shared" si="1"/>
        <v>-1.2477946278124676</v>
      </c>
      <c r="K38" t="s">
        <v>36</v>
      </c>
      <c r="L38">
        <v>0.99404848830811132</v>
      </c>
    </row>
    <row r="39" spans="3:16" x14ac:dyDescent="0.3">
      <c r="C39" t="s">
        <v>27</v>
      </c>
      <c r="D39" cm="1">
        <f t="array" ref="D39">SUMSQ(B2:B11-AVERAGE(B2:B11))</f>
        <v>956.09999999999991</v>
      </c>
      <c r="E39">
        <v>26</v>
      </c>
      <c r="F39">
        <f t="shared" si="1"/>
        <v>0.7198929527207838</v>
      </c>
      <c r="K39" t="s">
        <v>37</v>
      </c>
      <c r="L39">
        <v>0.98813239710764134</v>
      </c>
    </row>
    <row r="40" spans="3:16" x14ac:dyDescent="0.3">
      <c r="C40" t="s">
        <v>28</v>
      </c>
      <c r="D40">
        <f>D37/(10-1-1)</f>
        <v>1.4183268906730095</v>
      </c>
      <c r="E40">
        <v>29</v>
      </c>
      <c r="F40">
        <f t="shared" si="1"/>
        <v>0.81683021112102239</v>
      </c>
      <c r="K40" t="s">
        <v>38</v>
      </c>
      <c r="L40">
        <v>0.9866489467460966</v>
      </c>
    </row>
    <row r="41" spans="3:16" x14ac:dyDescent="0.3">
      <c r="C41" t="s">
        <v>29</v>
      </c>
      <c r="D41">
        <f>D38/1</f>
        <v>944.75338487461602</v>
      </c>
      <c r="E41">
        <v>1</v>
      </c>
      <c r="F41">
        <f t="shared" si="1"/>
        <v>-8.7917533947864612E-2</v>
      </c>
      <c r="K41" t="s">
        <v>39</v>
      </c>
      <c r="L41">
        <v>1.1909353007922039</v>
      </c>
    </row>
    <row r="42" spans="3:16" ht="15" thickBot="1" x14ac:dyDescent="0.35">
      <c r="E42">
        <v>13</v>
      </c>
      <c r="F42">
        <f t="shared" si="1"/>
        <v>0.29983149965308797</v>
      </c>
      <c r="K42" s="3" t="s">
        <v>40</v>
      </c>
      <c r="L42" s="3">
        <v>10</v>
      </c>
    </row>
    <row r="43" spans="3:16" x14ac:dyDescent="0.3">
      <c r="E43">
        <v>26</v>
      </c>
      <c r="F43">
        <f t="shared" si="1"/>
        <v>-1.2801070472792162</v>
      </c>
    </row>
    <row r="44" spans="3:16" ht="15" thickBot="1" x14ac:dyDescent="0.35">
      <c r="E44">
        <v>5</v>
      </c>
      <c r="F44">
        <f t="shared" si="1"/>
        <v>1.041332143919119</v>
      </c>
      <c r="K44" t="s">
        <v>41</v>
      </c>
    </row>
    <row r="45" spans="3:16" x14ac:dyDescent="0.3">
      <c r="E45" t="s">
        <v>41</v>
      </c>
      <c r="K45" s="4"/>
      <c r="L45" s="4" t="s">
        <v>46</v>
      </c>
      <c r="M45" s="4" t="s">
        <v>47</v>
      </c>
      <c r="N45" s="4" t="s">
        <v>48</v>
      </c>
      <c r="O45" s="4" t="s">
        <v>49</v>
      </c>
      <c r="P45" s="4" t="s">
        <v>50</v>
      </c>
    </row>
    <row r="46" spans="3:16" x14ac:dyDescent="0.3">
      <c r="F46" t="s">
        <v>46</v>
      </c>
      <c r="G46" t="s">
        <v>47</v>
      </c>
      <c r="H46" t="s">
        <v>48</v>
      </c>
      <c r="I46" t="s">
        <v>49</v>
      </c>
      <c r="J46" t="s">
        <v>69</v>
      </c>
      <c r="K46" t="s">
        <v>42</v>
      </c>
      <c r="L46">
        <v>1</v>
      </c>
      <c r="M46">
        <v>944.75338487461579</v>
      </c>
      <c r="N46">
        <v>944.75338487461579</v>
      </c>
      <c r="O46">
        <v>666.10411964079469</v>
      </c>
      <c r="P46">
        <v>5.4498203067174641E-9</v>
      </c>
    </row>
    <row r="47" spans="3:16" x14ac:dyDescent="0.3">
      <c r="E47" t="s">
        <v>42</v>
      </c>
      <c r="F47">
        <v>1</v>
      </c>
      <c r="G47">
        <f>D38</f>
        <v>944.75338487461602</v>
      </c>
      <c r="H47">
        <f>D41</f>
        <v>944.75338487461602</v>
      </c>
      <c r="I47">
        <f>D28</f>
        <v>666.10411964079469</v>
      </c>
      <c r="J47">
        <f>L30</f>
        <v>5.3176550715787174</v>
      </c>
      <c r="K47" t="s">
        <v>43</v>
      </c>
      <c r="L47">
        <v>8</v>
      </c>
      <c r="M47">
        <v>11.346615125384137</v>
      </c>
      <c r="N47">
        <v>1.4183268906730171</v>
      </c>
    </row>
    <row r="48" spans="3:16" ht="15" thickBot="1" x14ac:dyDescent="0.35">
      <c r="E48" t="s">
        <v>60</v>
      </c>
      <c r="F48">
        <v>8</v>
      </c>
      <c r="G48">
        <f>D37</f>
        <v>11.346615125384076</v>
      </c>
      <c r="H48">
        <f>D40</f>
        <v>1.4183268906730095</v>
      </c>
      <c r="K48" s="3" t="s">
        <v>44</v>
      </c>
      <c r="L48" s="3">
        <v>9</v>
      </c>
      <c r="M48" s="3">
        <v>956.09999999999991</v>
      </c>
      <c r="N48" s="3"/>
      <c r="O48" s="3"/>
      <c r="P48" s="3"/>
    </row>
    <row r="49" spans="3:19" ht="15" thickBot="1" x14ac:dyDescent="0.35">
      <c r="E49" t="s">
        <v>62</v>
      </c>
      <c r="F49">
        <v>9</v>
      </c>
      <c r="G49">
        <f>D39</f>
        <v>956.09999999999991</v>
      </c>
    </row>
    <row r="50" spans="3:19" x14ac:dyDescent="0.3">
      <c r="K50" s="4"/>
      <c r="L50" s="4" t="s">
        <v>51</v>
      </c>
      <c r="M50" s="4" t="s">
        <v>39</v>
      </c>
      <c r="N50" s="4" t="s">
        <v>52</v>
      </c>
      <c r="O50" s="4" t="s">
        <v>53</v>
      </c>
      <c r="P50" s="4" t="s">
        <v>54</v>
      </c>
      <c r="Q50" s="4" t="s">
        <v>55</v>
      </c>
      <c r="R50" s="4" t="s">
        <v>56</v>
      </c>
      <c r="S50" s="4" t="s">
        <v>57</v>
      </c>
    </row>
    <row r="51" spans="3:19" x14ac:dyDescent="0.3">
      <c r="K51" t="s">
        <v>45</v>
      </c>
      <c r="L51">
        <v>8.1202299534146043</v>
      </c>
      <c r="M51">
        <v>0.71150125120076713</v>
      </c>
      <c r="N51">
        <v>11.412811909621347</v>
      </c>
      <c r="O51">
        <v>3.1393305796263701E-6</v>
      </c>
      <c r="P51">
        <v>6.4795051259426959</v>
      </c>
      <c r="Q51">
        <v>9.7609547808865127</v>
      </c>
      <c r="R51">
        <v>6.4795051259426959</v>
      </c>
      <c r="S51">
        <v>9.7609547808865127</v>
      </c>
    </row>
    <row r="52" spans="3:19" ht="15" thickBot="1" x14ac:dyDescent="0.35">
      <c r="K52" s="3" t="s">
        <v>0</v>
      </c>
      <c r="L52" s="3">
        <v>0.96768758053325421</v>
      </c>
      <c r="M52" s="3">
        <v>3.7494201364516977E-2</v>
      </c>
      <c r="N52" s="3">
        <v>25.80899299935577</v>
      </c>
      <c r="O52" s="3">
        <v>5.4498203067174442E-9</v>
      </c>
      <c r="P52" s="3">
        <v>0.88122579714050031</v>
      </c>
      <c r="Q52" s="3">
        <v>1.054149363926008</v>
      </c>
      <c r="R52" s="3">
        <v>0.88122579714050031</v>
      </c>
      <c r="S52" s="3">
        <v>1.054149363926008</v>
      </c>
    </row>
    <row r="56" spans="3:19" x14ac:dyDescent="0.3">
      <c r="K56" t="s">
        <v>58</v>
      </c>
    </row>
    <row r="57" spans="3:19" ht="15" thickBot="1" x14ac:dyDescent="0.35">
      <c r="D57" t="s">
        <v>68</v>
      </c>
      <c r="E57" t="s">
        <v>66</v>
      </c>
    </row>
    <row r="58" spans="3:19" x14ac:dyDescent="0.3">
      <c r="C58" t="s">
        <v>63</v>
      </c>
      <c r="D58">
        <f>L25</f>
        <v>25.80899299935577</v>
      </c>
      <c r="E58" t="str">
        <f>IF(ABS(D58) &gt; $D$60, "Значим", "Незначим")</f>
        <v>Значим</v>
      </c>
      <c r="K58" s="4" t="s">
        <v>59</v>
      </c>
      <c r="L58" s="4" t="s">
        <v>61</v>
      </c>
      <c r="M58" s="4" t="s">
        <v>60</v>
      </c>
    </row>
    <row r="59" spans="3:19" x14ac:dyDescent="0.3">
      <c r="C59" t="s">
        <v>64</v>
      </c>
      <c r="D59">
        <f>L26</f>
        <v>11.412811909621347</v>
      </c>
      <c r="E59" t="str">
        <f>IF(ABS(D59) &gt; $D$60, "Значим", "Незначим")</f>
        <v>Значим</v>
      </c>
      <c r="K59">
        <v>1</v>
      </c>
      <c r="L59">
        <v>19.732480919813653</v>
      </c>
      <c r="M59">
        <v>1.2675190801863465</v>
      </c>
    </row>
    <row r="60" spans="3:19" x14ac:dyDescent="0.3">
      <c r="C60" t="s">
        <v>65</v>
      </c>
      <c r="D60">
        <f>TINV(0.1,8)</f>
        <v>1.8595480375308981</v>
      </c>
      <c r="K60">
        <v>2</v>
      </c>
      <c r="L60">
        <v>11.990980275547621</v>
      </c>
      <c r="M60">
        <v>-1.9909802755476207</v>
      </c>
    </row>
    <row r="61" spans="3:19" x14ac:dyDescent="0.3">
      <c r="D61" t="s">
        <v>67</v>
      </c>
      <c r="K61">
        <v>3</v>
      </c>
      <c r="L61">
        <v>25.53860640301318</v>
      </c>
      <c r="M61">
        <v>0.46139359698682014</v>
      </c>
    </row>
    <row r="62" spans="3:19" x14ac:dyDescent="0.3">
      <c r="C62" t="s">
        <v>69</v>
      </c>
      <c r="D62">
        <f>J47</f>
        <v>5.3176550715787174</v>
      </c>
      <c r="E62" t="str">
        <f>IF(ABS(D63) &gt; 62, "Значим", "Незначим")</f>
        <v>Значим</v>
      </c>
      <c r="K62">
        <v>4</v>
      </c>
      <c r="L62">
        <v>34.247794627812468</v>
      </c>
      <c r="M62">
        <v>-1.2477946278124676</v>
      </c>
    </row>
    <row r="63" spans="3:19" x14ac:dyDescent="0.3">
      <c r="C63" t="s">
        <v>49</v>
      </c>
      <c r="D63">
        <f>I47</f>
        <v>666.10411964079469</v>
      </c>
      <c r="K63">
        <v>5</v>
      </c>
      <c r="L63">
        <v>33.280107047279216</v>
      </c>
      <c r="M63">
        <v>0.7198929527207838</v>
      </c>
    </row>
    <row r="64" spans="3:19" x14ac:dyDescent="0.3">
      <c r="D64" t="s">
        <v>70</v>
      </c>
      <c r="K64">
        <v>6</v>
      </c>
      <c r="L64">
        <v>36.183169788878978</v>
      </c>
      <c r="M64">
        <v>0.81683021112102239</v>
      </c>
    </row>
    <row r="65" spans="3:13" x14ac:dyDescent="0.3">
      <c r="C65" t="s">
        <v>71</v>
      </c>
      <c r="D65">
        <f>0.8*MAX(A2:A11)</f>
        <v>23.200000000000003</v>
      </c>
      <c r="K65">
        <v>7</v>
      </c>
      <c r="L65">
        <v>9.0879175339478593</v>
      </c>
      <c r="M65">
        <v>-8.7917533947859283E-2</v>
      </c>
    </row>
    <row r="66" spans="3:13" x14ac:dyDescent="0.3">
      <c r="C66" t="s">
        <v>72</v>
      </c>
      <c r="D66">
        <f>D65*D25+E25</f>
        <v>30.570581821786103</v>
      </c>
      <c r="K66">
        <v>8</v>
      </c>
      <c r="L66">
        <v>20.700168500346908</v>
      </c>
      <c r="M66">
        <v>0.29983149965309153</v>
      </c>
    </row>
    <row r="67" spans="3:13" x14ac:dyDescent="0.3">
      <c r="C67" t="s">
        <v>73</v>
      </c>
      <c r="D67" cm="1">
        <f t="array" ref="D67">SUMSQ(A2:A11-AVERAGE(A2:A11))</f>
        <v>1008.9</v>
      </c>
      <c r="K67">
        <v>9</v>
      </c>
      <c r="L67">
        <v>33.280107047279216</v>
      </c>
      <c r="M67">
        <v>-1.2801070472792162</v>
      </c>
    </row>
    <row r="68" spans="3:13" ht="15" thickBot="1" x14ac:dyDescent="0.35">
      <c r="C68" t="s">
        <v>74</v>
      </c>
      <c r="D68">
        <f>K22*SQRT(1/10 +((D65-AVERAGE(A2:A11))^2)/D67)</f>
        <v>0.46119391807697957</v>
      </c>
      <c r="K68" s="3">
        <v>10</v>
      </c>
      <c r="L68" s="3">
        <v>12.958667856080876</v>
      </c>
      <c r="M68" s="3">
        <v>1.0413321439191243</v>
      </c>
    </row>
    <row r="70" spans="3:13" x14ac:dyDescent="0.3">
      <c r="C70" t="s">
        <v>75</v>
      </c>
      <c r="D70">
        <f>_xlfn.T.INV.2T(1-0.05/2,F48)</f>
        <v>3.2331216822159718E-2</v>
      </c>
      <c r="K70" t="s">
        <v>81</v>
      </c>
    </row>
    <row r="71" spans="3:13" x14ac:dyDescent="0.3">
      <c r="C71" t="s">
        <v>76</v>
      </c>
      <c r="D71">
        <f>_xlfn.T.INV.2T(1-0.1/2,F48)</f>
        <v>6.4700502728550602E-2</v>
      </c>
      <c r="K71" t="s">
        <v>82</v>
      </c>
    </row>
    <row r="72" spans="3:13" x14ac:dyDescent="0.3">
      <c r="C72" t="s">
        <v>77</v>
      </c>
      <c r="D72">
        <f>D$66+D$70*D$68</f>
        <v>30.58549278234851</v>
      </c>
    </row>
    <row r="73" spans="3:13" x14ac:dyDescent="0.3">
      <c r="C73" t="s">
        <v>78</v>
      </c>
      <c r="D73">
        <f>D$66-D$70*D$68</f>
        <v>30.555670861223696</v>
      </c>
    </row>
    <row r="74" spans="3:13" x14ac:dyDescent="0.3">
      <c r="C74" t="s">
        <v>80</v>
      </c>
      <c r="D74">
        <f>D$66+D$71*D$68</f>
        <v>30.600421300141033</v>
      </c>
    </row>
    <row r="75" spans="3:13" x14ac:dyDescent="0.3">
      <c r="C75" t="s">
        <v>79</v>
      </c>
      <c r="D75">
        <f>D$66-D$71*D$68</f>
        <v>30.540742343431173</v>
      </c>
    </row>
    <row r="88" spans="11:11" x14ac:dyDescent="0.3">
      <c r="K88" t="s">
        <v>83</v>
      </c>
    </row>
    <row r="104" spans="11:17" x14ac:dyDescent="0.3">
      <c r="K104" t="s">
        <v>84</v>
      </c>
      <c r="O104" t="s">
        <v>91</v>
      </c>
      <c r="P104" t="s">
        <v>90</v>
      </c>
    </row>
    <row r="105" spans="11:17" x14ac:dyDescent="0.3">
      <c r="N105">
        <v>1.2675190801863465</v>
      </c>
      <c r="O105">
        <f>_xlfn.NORM.S.INV((Q105-0.5)/10)</f>
        <v>-1.6448536269514726</v>
      </c>
      <c r="P105" cm="1">
        <f t="array" ref="P105:P114">_xlfn._xlws.SORT(N105:N114)</f>
        <v>-1.9909802755476207</v>
      </c>
      <c r="Q105">
        <v>1</v>
      </c>
    </row>
    <row r="106" spans="11:17" x14ac:dyDescent="0.3">
      <c r="N106">
        <v>-1.9909802755476207</v>
      </c>
      <c r="O106">
        <f>_xlfn.NORM.S.INV((Q106-0.5)/10)</f>
        <v>-1.0364333894937898</v>
      </c>
      <c r="P106">
        <v>-1.2801070472792162</v>
      </c>
      <c r="Q106">
        <v>2</v>
      </c>
    </row>
    <row r="107" spans="11:17" x14ac:dyDescent="0.3">
      <c r="N107">
        <v>0.46139359698682014</v>
      </c>
      <c r="O107">
        <f>_xlfn.NORM.S.INV((Q107-0.5)/10)</f>
        <v>-0.67448975019608193</v>
      </c>
      <c r="P107">
        <v>-1.2477946278124676</v>
      </c>
      <c r="Q107">
        <v>3</v>
      </c>
    </row>
    <row r="108" spans="11:17" x14ac:dyDescent="0.3">
      <c r="N108">
        <v>-1.2477946278124676</v>
      </c>
      <c r="O108">
        <f>_xlfn.NORM.S.INV((Q108-0.5)/10)</f>
        <v>-0.38532046640756784</v>
      </c>
      <c r="P108">
        <v>-8.7917533947859283E-2</v>
      </c>
      <c r="Q108">
        <v>4</v>
      </c>
    </row>
    <row r="109" spans="11:17" x14ac:dyDescent="0.3">
      <c r="N109">
        <v>0.7198929527207838</v>
      </c>
      <c r="O109">
        <f>_xlfn.NORM.S.INV((Q109-0.5)/10)</f>
        <v>-0.12566134685507402</v>
      </c>
      <c r="P109">
        <v>0.29983149965309153</v>
      </c>
      <c r="Q109">
        <v>5</v>
      </c>
    </row>
    <row r="110" spans="11:17" x14ac:dyDescent="0.3">
      <c r="N110">
        <v>0.81683021112102239</v>
      </c>
      <c r="O110">
        <f>_xlfn.NORM.S.INV((Q110-0.5)/10)</f>
        <v>0.12566134685507416</v>
      </c>
      <c r="P110">
        <v>0.46139359698682014</v>
      </c>
      <c r="Q110">
        <v>6</v>
      </c>
    </row>
    <row r="111" spans="11:17" x14ac:dyDescent="0.3">
      <c r="N111">
        <v>-8.7917533947859283E-2</v>
      </c>
      <c r="O111">
        <f>_xlfn.NORM.S.INV((Q111-0.5)/10)</f>
        <v>0.38532046640756784</v>
      </c>
      <c r="P111">
        <v>0.7198929527207838</v>
      </c>
      <c r="Q111">
        <v>7</v>
      </c>
    </row>
    <row r="112" spans="11:17" x14ac:dyDescent="0.3">
      <c r="N112">
        <v>0.29983149965309153</v>
      </c>
      <c r="O112">
        <f>_xlfn.NORM.S.INV((Q112-0.5)/10)</f>
        <v>0.67448975019608193</v>
      </c>
      <c r="P112">
        <v>0.81683021112102239</v>
      </c>
      <c r="Q112">
        <v>8</v>
      </c>
    </row>
    <row r="113" spans="11:17" x14ac:dyDescent="0.3">
      <c r="N113">
        <v>-1.2801070472792162</v>
      </c>
      <c r="O113">
        <f>_xlfn.NORM.S.INV((Q113-0.5)/10)</f>
        <v>1.0364333894937898</v>
      </c>
      <c r="P113">
        <v>1.0413321439191243</v>
      </c>
      <c r="Q113">
        <v>9</v>
      </c>
    </row>
    <row r="114" spans="11:17" ht="15" thickBot="1" x14ac:dyDescent="0.35">
      <c r="N114" s="3">
        <v>1.0413321439191243</v>
      </c>
      <c r="O114">
        <f>_xlfn.NORM.S.INV((Q114-0.5)/10)</f>
        <v>1.6448536269514715</v>
      </c>
      <c r="P114">
        <v>1.2675190801863465</v>
      </c>
      <c r="Q114">
        <v>10</v>
      </c>
    </row>
    <row r="122" spans="11:17" x14ac:dyDescent="0.3">
      <c r="K122" t="s">
        <v>85</v>
      </c>
      <c r="N122" t="s">
        <v>89</v>
      </c>
      <c r="O122" t="s">
        <v>43</v>
      </c>
    </row>
    <row r="123" spans="11:17" x14ac:dyDescent="0.3">
      <c r="K123" t="s">
        <v>86</v>
      </c>
      <c r="L123">
        <f>SUM(P123:P131)</f>
        <v>32.28867482223162</v>
      </c>
      <c r="N123">
        <v>1</v>
      </c>
      <c r="O123">
        <v>1.2675190801863465</v>
      </c>
      <c r="P123">
        <f>(O124-O123)^2</f>
        <v>10.617818051318679</v>
      </c>
    </row>
    <row r="124" spans="11:17" x14ac:dyDescent="0.3">
      <c r="K124" t="s">
        <v>87</v>
      </c>
      <c r="L124">
        <f>SUMSQ(O123:O132)</f>
        <v>11.346615125384085</v>
      </c>
      <c r="N124">
        <v>2</v>
      </c>
      <c r="O124">
        <v>-1.9909802755476207</v>
      </c>
      <c r="P124">
        <f>(O125-O124)^2</f>
        <v>6.0141376106895699</v>
      </c>
    </row>
    <row r="125" spans="11:17" x14ac:dyDescent="0.3">
      <c r="K125" t="s">
        <v>88</v>
      </c>
      <c r="L125">
        <f>L123/L124</f>
        <v>2.8456658188746524</v>
      </c>
      <c r="N125">
        <v>3</v>
      </c>
      <c r="O125">
        <v>0.46139359698682014</v>
      </c>
      <c r="P125">
        <f>(O126-O125)^2</f>
        <v>2.9213243877925406</v>
      </c>
    </row>
    <row r="126" spans="11:17" x14ac:dyDescent="0.3">
      <c r="N126">
        <v>4</v>
      </c>
      <c r="O126">
        <v>-1.2477946278124676</v>
      </c>
      <c r="P126">
        <f t="shared" ref="P126:P131" si="2">(O127-O126)^2</f>
        <v>3.8717944145848007</v>
      </c>
    </row>
    <row r="127" spans="11:17" x14ac:dyDescent="0.3">
      <c r="N127">
        <v>5</v>
      </c>
      <c r="O127">
        <v>0.7198929527207838</v>
      </c>
      <c r="P127">
        <f t="shared" si="2"/>
        <v>9.3968320661546277E-3</v>
      </c>
    </row>
    <row r="128" spans="11:17" x14ac:dyDescent="0.3">
      <c r="N128">
        <v>6</v>
      </c>
      <c r="O128">
        <v>0.81683021112102239</v>
      </c>
      <c r="P128">
        <f t="shared" si="2"/>
        <v>0.81856848220722611</v>
      </c>
    </row>
    <row r="129" spans="11:16" x14ac:dyDescent="0.3">
      <c r="N129">
        <v>7</v>
      </c>
      <c r="O129">
        <v>-8.7917533947859283E-2</v>
      </c>
      <c r="P129">
        <f t="shared" si="2"/>
        <v>0.15034931305847127</v>
      </c>
    </row>
    <row r="130" spans="11:16" x14ac:dyDescent="0.3">
      <c r="N130">
        <v>8</v>
      </c>
      <c r="O130">
        <v>0.29983149965309153</v>
      </c>
      <c r="P130">
        <f t="shared" si="2"/>
        <v>2.4962058120825721</v>
      </c>
    </row>
    <row r="131" spans="11:16" x14ac:dyDescent="0.3">
      <c r="N131">
        <v>9</v>
      </c>
      <c r="O131">
        <v>-1.2801070472792162</v>
      </c>
      <c r="P131">
        <f t="shared" si="2"/>
        <v>5.3890799184316052</v>
      </c>
    </row>
    <row r="132" spans="11:16" ht="15" thickBot="1" x14ac:dyDescent="0.35">
      <c r="N132">
        <v>10</v>
      </c>
      <c r="O132" s="3">
        <v>1.0413321439191243</v>
      </c>
    </row>
    <row r="141" spans="11:16" x14ac:dyDescent="0.3">
      <c r="K141" t="s">
        <v>92</v>
      </c>
    </row>
  </sheetData>
  <pageMargins left="0.7" right="0.7" top="0.75" bottom="0.75" header="0.3" footer="0.3"/>
  <drawing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1e6512f-615b-4290-9fb7-19bed735b77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F453EC1F82DDD34F98DE771826E1F5F5" ma:contentTypeVersion="9" ma:contentTypeDescription="Создание документа." ma:contentTypeScope="" ma:versionID="982d4be08cee06cde5b8d44682a805a1">
  <xsd:schema xmlns:xsd="http://www.w3.org/2001/XMLSchema" xmlns:xs="http://www.w3.org/2001/XMLSchema" xmlns:p="http://schemas.microsoft.com/office/2006/metadata/properties" xmlns:ns3="51e6512f-615b-4290-9fb7-19bed735b778" xmlns:ns4="9903af55-9d19-4320-835b-7c15e397fdc0" targetNamespace="http://schemas.microsoft.com/office/2006/metadata/properties" ma:root="true" ma:fieldsID="bfc89d1e62f67e1f0b037fb3b705df68" ns3:_="" ns4:_="">
    <xsd:import namespace="51e6512f-615b-4290-9fb7-19bed735b778"/>
    <xsd:import namespace="9903af55-9d19-4320-835b-7c15e397fd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e6512f-615b-4290-9fb7-19bed735b7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03af55-9d19-4320-835b-7c15e397fdc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A15322-36AD-41FB-B89D-503DD61222CC}">
  <ds:schemaRefs>
    <ds:schemaRef ds:uri="http://purl.org/dc/dcmitype/"/>
    <ds:schemaRef ds:uri="http://schemas.microsoft.com/office/2006/documentManagement/types"/>
    <ds:schemaRef ds:uri="51e6512f-615b-4290-9fb7-19bed735b778"/>
    <ds:schemaRef ds:uri="http://schemas.microsoft.com/office/2006/metadata/properties"/>
    <ds:schemaRef ds:uri="http://purl.org/dc/elements/1.1/"/>
    <ds:schemaRef ds:uri="http://purl.org/dc/terms/"/>
    <ds:schemaRef ds:uri="9903af55-9d19-4320-835b-7c15e397fdc0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3909195-CB82-4A09-9987-233AF2B296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8A1928-6D17-4798-9DC1-107E768D4C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e6512f-615b-4290-9fb7-19bed735b778"/>
    <ds:schemaRef ds:uri="9903af55-9d19-4320-835b-7c15e397fd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 Денис Сергеевич</dc:creator>
  <cp:lastModifiedBy>Дмитриев Денис Сергеевич</cp:lastModifiedBy>
  <dcterms:created xsi:type="dcterms:W3CDTF">2025-03-05T03:20:57Z</dcterms:created>
  <dcterms:modified xsi:type="dcterms:W3CDTF">2025-03-07T17:04:35Z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0x010100F453EC1F82DDD34F98DE771826E1F5F5</vt:lpwstr>
  </property>
</Properties>
</file>