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r\OneDrive\Документы\"/>
    </mc:Choice>
  </mc:AlternateContent>
  <xr:revisionPtr revIDLastSave="0" documentId="13_ncr:1_{C2EB285E-84A3-4E33-9461-9ADD045B2252}" xr6:coauthVersionLast="47" xr6:coauthVersionMax="47" xr10:uidLastSave="{00000000-0000-0000-0000-000000000000}"/>
  <bookViews>
    <workbookView xWindow="-108" yWindow="-108" windowWidth="23256" windowHeight="12456" xr2:uid="{458066D9-7F2B-4664-BB11-51D1E626B0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0" i="1" l="1"/>
  <c r="O89" i="1"/>
  <c r="N90" i="1"/>
  <c r="N89" i="1"/>
  <c r="K91" i="1"/>
  <c r="K90" i="1"/>
  <c r="M84" i="1"/>
  <c r="L80" i="1"/>
  <c r="K71" i="1"/>
  <c r="L79" i="1"/>
  <c r="K79" i="1"/>
  <c r="L75" i="1"/>
  <c r="D189" i="1"/>
  <c r="D187" i="1"/>
  <c r="D185" i="1"/>
  <c r="C194" i="1"/>
  <c r="C193" i="1"/>
  <c r="C192" i="1"/>
  <c r="C191" i="1"/>
  <c r="C190" i="1"/>
  <c r="C189" i="1"/>
  <c r="C188" i="1"/>
  <c r="C187" i="1"/>
  <c r="C186" i="1"/>
  <c r="C185" i="1"/>
  <c r="C167" i="1"/>
  <c r="C166" i="1"/>
  <c r="C165" i="1"/>
  <c r="C164" i="1"/>
  <c r="C163" i="1"/>
  <c r="C162" i="1"/>
  <c r="C161" i="1"/>
  <c r="C160" i="1"/>
  <c r="C159" i="1"/>
  <c r="C158" i="1"/>
  <c r="C157" i="1"/>
  <c r="D157" i="1" a="1"/>
  <c r="D157" i="1" s="1"/>
  <c r="E70" i="1" l="1"/>
  <c r="D70" i="1"/>
  <c r="C70" i="1"/>
  <c r="E69" i="1"/>
  <c r="D69" i="1"/>
  <c r="C69" i="1"/>
  <c r="B61" i="1"/>
  <c r="D63" i="1" s="1"/>
  <c r="E68" i="1"/>
  <c r="D68" i="1"/>
  <c r="C68" i="1"/>
  <c r="E67" i="1"/>
  <c r="D67" i="1"/>
  <c r="C67" i="1"/>
  <c r="F64" i="1"/>
  <c r="E64" i="1"/>
  <c r="D64" i="1"/>
  <c r="C64" i="1"/>
  <c r="F63" i="1"/>
  <c r="E63" i="1"/>
  <c r="C60" i="1"/>
  <c r="F59" i="1"/>
  <c r="E59" i="1"/>
  <c r="D59" i="1"/>
  <c r="C59" i="1"/>
  <c r="F58" i="1"/>
  <c r="E58" i="1"/>
  <c r="D58" i="1"/>
  <c r="C58" i="1"/>
  <c r="D56" i="1"/>
  <c r="E55" i="1"/>
  <c r="C56" i="1"/>
  <c r="D55" i="1"/>
  <c r="C55" i="1"/>
  <c r="C53" i="1"/>
  <c r="D53" i="1"/>
  <c r="B52" i="1"/>
  <c r="K63" i="1" a="1"/>
  <c r="K63" i="1" s="1"/>
  <c r="D51" i="1"/>
  <c r="C51" i="1"/>
  <c r="N49" i="1"/>
  <c r="M49" i="1"/>
  <c r="L49" i="1"/>
  <c r="B44" i="1" a="1"/>
  <c r="B44" i="1" s="1"/>
  <c r="C35" i="1" a="1"/>
  <c r="C35" i="1" s="1"/>
  <c r="C27" i="1" a="1"/>
  <c r="C27" i="1" s="1"/>
  <c r="C31" i="1" s="1" a="1"/>
  <c r="C31" i="1" s="1"/>
  <c r="C39" i="1" s="1" a="1"/>
  <c r="C39" i="1" s="1"/>
  <c r="C63" i="1" l="1"/>
  <c r="D60" i="1"/>
  <c r="E60" i="1"/>
  <c r="F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admir</author>
  </authors>
  <commentList>
    <comment ref="B44" authorId="0" shapeId="0" xr:uid="{CAB461A3-697F-4C92-A568-D1051C049FC6}">
      <text>
        <r>
          <rPr>
            <sz val="9"/>
            <color indexed="81"/>
            <rFont val="Tahoma"/>
            <family val="2"/>
            <charset val="204"/>
          </rPr>
          <t>Увеличение затрат на 9.04 кВт*ч при росте производства олова на 1 тонну</t>
        </r>
      </text>
    </comment>
    <comment ref="C44" authorId="0" shapeId="0" xr:uid="{8797C2C5-2F64-4F4B-AC20-BF94DCE67CAC}">
      <text>
        <r>
          <rPr>
            <b/>
            <sz val="9"/>
            <color indexed="81"/>
            <rFont val="Tahoma"/>
            <family val="2"/>
            <charset val="204"/>
          </rPr>
          <t xml:space="preserve">Увеличение затрат на 9.34 тыс. кВт*ч при росте производства меди на 1 тонну.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44" authorId="0" shapeId="0" xr:uid="{C7EB7D86-C4D5-4D92-851E-DC296D72740D}">
      <text>
        <r>
          <rPr>
            <sz val="9"/>
            <color indexed="81"/>
            <rFont val="Tahoma"/>
            <family val="2"/>
            <charset val="204"/>
          </rPr>
          <t xml:space="preserve">Уменьшение затрат на 1.27 тыс. кВт*ч при росте производства алюминия на 1 тонну.
</t>
        </r>
      </text>
    </comment>
    <comment ref="E44" authorId="0" shapeId="0" xr:uid="{973B1204-EFC4-4347-8C15-19DCCE0DC04B}">
      <text>
        <r>
          <rPr>
            <b/>
            <sz val="9"/>
            <color indexed="81"/>
            <rFont val="Tahoma"/>
            <family val="2"/>
            <charset val="204"/>
          </rPr>
          <t xml:space="preserve">Базовые затраты электроэнергии при нулевом объёме производства.
</t>
        </r>
      </text>
    </comment>
    <comment ref="K48" authorId="0" shapeId="0" xr:uid="{9CF889C3-EF97-492E-A7CC-740983949CA0}">
      <text>
        <r>
          <rPr>
            <b/>
            <sz val="9"/>
            <color indexed="81"/>
            <rFont val="Tahoma"/>
            <family val="2"/>
            <charset val="204"/>
          </rPr>
          <t xml:space="preserve">Исключаем алюминий так как он показывает коллинеарность с другими факторами
</t>
        </r>
      </text>
    </comment>
    <comment ref="B49" authorId="0" shapeId="0" xr:uid="{2B36504F-C484-4781-95B9-68BC99D83EA5}">
      <text>
        <r>
          <rPr>
            <sz val="9"/>
            <color indexed="81"/>
            <rFont val="Tahoma"/>
            <family val="2"/>
            <charset val="204"/>
          </rPr>
          <t xml:space="preserve">Выполним 5 задание из индивидуального и сделаем для средних прогнозирование, так как конкретных значений нет.
</t>
        </r>
      </text>
    </comment>
    <comment ref="L49" authorId="0" shapeId="0" xr:uid="{468E741F-F3BF-45E9-B491-AB3897E23BCC}">
      <text>
        <r>
          <rPr>
            <b/>
            <sz val="9"/>
            <color indexed="81"/>
            <rFont val="Tahoma"/>
            <family val="2"/>
            <charset val="204"/>
          </rPr>
          <t xml:space="preserve">коллинеарны
</t>
        </r>
      </text>
    </comment>
    <comment ref="M49" authorId="0" shapeId="0" xr:uid="{46958F7F-E200-41F1-9648-DC2E4FC1B375}">
      <text>
        <r>
          <rPr>
            <b/>
            <sz val="9"/>
            <color indexed="81"/>
            <rFont val="Tahoma"/>
            <family val="2"/>
            <charset val="204"/>
          </rPr>
          <t xml:space="preserve">неколлинеарны т.к |r| &lt; 0.7
</t>
        </r>
      </text>
    </comment>
    <comment ref="N49" authorId="0" shapeId="0" xr:uid="{984C4FFE-F331-49E9-A902-1391DA3D49C0}">
      <text>
        <r>
          <rPr>
            <b/>
            <sz val="9"/>
            <color indexed="81"/>
            <rFont val="Tahoma"/>
            <family val="2"/>
            <charset val="204"/>
          </rPr>
          <t xml:space="preserve">коллинеарны
алюминий показывает высокую коллинеарность с другими значениями =&gt; удалим именно его и будем рассматривать медь и олово
</t>
        </r>
      </text>
    </comment>
    <comment ref="C53" authorId="0" shapeId="0" xr:uid="{E57D2B31-BEA2-4BED-A2FE-C654D998FC8E}">
      <text>
        <r>
          <rPr>
            <b/>
            <sz val="9"/>
            <color indexed="81"/>
            <rFont val="Tahoma"/>
            <family val="2"/>
            <charset val="204"/>
          </rPr>
          <t xml:space="preserve">В среднем прогнозы отклоняются на 222.5 тыс. кВтч от реальных данных.  </t>
        </r>
      </text>
    </comment>
    <comment ref="D53" authorId="0" shapeId="0" xr:uid="{C632C337-E43E-40DC-9E93-EA49CD96BE95}">
      <text>
        <r>
          <rPr>
            <b/>
            <sz val="9"/>
            <color indexed="81"/>
            <rFont val="Tahoma"/>
            <family val="2"/>
            <charset val="204"/>
          </rPr>
          <t xml:space="preserve">Приемлимое соответствие регрессионной модели реальным данным, но невысокое
</t>
        </r>
      </text>
    </comment>
    <comment ref="B54" authorId="0" shapeId="0" xr:uid="{5BFC0F39-1368-4600-92B5-A429B2F573F8}">
      <text>
        <r>
          <rPr>
            <b/>
            <sz val="9"/>
            <color indexed="81"/>
            <rFont val="Tahoma"/>
            <family val="2"/>
            <charset val="204"/>
          </rPr>
          <t xml:space="preserve">Как мы видим, коэффициент регрессии не прошёл F-тест, это означает то что объяснительная способность может быть случайной или обусловленной малымо объёмом данных. Также уравнение регрессии не является адекватным данным генеральной совокупности.
</t>
        </r>
      </text>
    </comment>
    <comment ref="B59" authorId="0" shapeId="0" xr:uid="{F8AF3E42-CD88-48DD-B2D1-D6F17AC5327C}">
      <text>
        <r>
          <rPr>
            <b/>
            <sz val="9"/>
            <color indexed="81"/>
            <rFont val="Tahoma"/>
            <family val="2"/>
            <charset val="204"/>
          </rPr>
          <t xml:space="preserve">эти два способа показывают что коэффициенты незначимы.
</t>
        </r>
      </text>
    </comment>
    <comment ref="B67" authorId="0" shapeId="0" xr:uid="{39BB1891-62AA-4B9A-9E73-DE037554D814}">
      <text>
        <r>
          <rPr>
            <b/>
            <sz val="9"/>
            <color indexed="81"/>
            <rFont val="Tahoma"/>
            <family val="2"/>
            <charset val="204"/>
          </rPr>
          <t xml:space="preserve">влияние меди больше, влияние алюминия наименьшее, следовательно оно статистически незначимо
</t>
        </r>
      </text>
    </comment>
    <comment ref="B68" authorId="0" shapeId="0" xr:uid="{49A30359-8EFE-429B-9EE8-B363774BC565}">
      <text>
        <r>
          <rPr>
            <b/>
            <sz val="9"/>
            <color indexed="81"/>
            <rFont val="Tahoma"/>
            <family val="2"/>
            <charset val="204"/>
          </rPr>
          <t xml:space="preserve">Как мы видим, алюминий  опять наименьше всего влияет и медь наибольше всего.
</t>
        </r>
      </text>
    </comment>
    <comment ref="B69" authorId="0" shapeId="0" xr:uid="{C46C2B4C-0186-408E-9048-C926FAB45609}">
      <text>
        <r>
          <rPr>
            <b/>
            <sz val="9"/>
            <color indexed="81"/>
            <rFont val="Tahoma"/>
            <family val="2"/>
            <charset val="204"/>
          </rPr>
          <t>Здесь мы видим что опять медь сильнее всего влияет, ведь она ближе всего к 1, а алюминий меньше всего.</t>
        </r>
      </text>
    </comment>
    <comment ref="B70" authorId="0" shapeId="0" xr:uid="{90741A7A-855F-40C4-AAC0-6FCA8118442A}">
      <text>
        <r>
          <rPr>
            <b/>
            <sz val="9"/>
            <color indexed="81"/>
            <rFont val="Tahoma"/>
            <family val="2"/>
            <charset val="204"/>
          </rPr>
          <t xml:space="preserve">здесь опять же видно что если каждый фактор увеличить на 1 стандартное отклонение, алюминий будет незначительно влиять, а медь больше всего(также олово недалеко как и везде)
</t>
        </r>
      </text>
    </comment>
    <comment ref="B71" authorId="0" shapeId="0" xr:uid="{91495407-DECC-4197-B009-608D8A3E5E61}">
      <text>
        <r>
          <rPr>
            <b/>
            <sz val="9"/>
            <color indexed="81"/>
            <rFont val="Tahoma"/>
            <family val="2"/>
            <charset val="204"/>
          </rPr>
          <t xml:space="preserve">Результаты не совпали так как там все коэффициенты незначимые, но благодаря такому анализу стало понятно что алюминий является очень слабым в модели и если его отбросить то будет степень свободы побольше что может привести к значимости коэффициентов меди и олова.
</t>
        </r>
      </text>
    </comment>
    <comment ref="B72" authorId="0" shapeId="0" xr:uid="{BCF57C1E-B11F-415E-BE68-02195F12A18B}">
      <text>
        <r>
          <rPr>
            <b/>
            <sz val="9"/>
            <color indexed="81"/>
            <rFont val="Tahoma"/>
            <family val="2"/>
            <charset val="204"/>
          </rPr>
          <t xml:space="preserve">как мы видим из метода Регрессия, все наши подсчёты совпали с программными.
</t>
        </r>
      </text>
    </comment>
    <comment ref="K88" authorId="0" shapeId="0" xr:uid="{E08A0D28-3C03-4631-9037-FC867CFBD14D}">
      <text>
        <r>
          <rPr>
            <b/>
            <sz val="9"/>
            <color indexed="81"/>
            <rFont val="Tahoma"/>
            <family val="2"/>
            <charset val="204"/>
          </rPr>
          <t>Коэффициенты дают ответ: X1 - +8.23 единиц энергозатра, X2 - + 7.59 единиц энергозатрат</t>
        </r>
      </text>
    </comment>
    <comment ref="B112" authorId="0" shapeId="0" xr:uid="{2B18D52D-27B2-4814-A2E1-9254485FEB32}">
      <text>
        <r>
          <rPr>
            <b/>
            <sz val="9"/>
            <color indexed="81"/>
            <rFont val="Tahoma"/>
            <family val="2"/>
            <charset val="204"/>
          </rPr>
          <t xml:space="preserve">На графике есть сгущение близ 400, что свидетельствует о воронке, предпосылка не выполнена.
</t>
        </r>
      </text>
    </comment>
    <comment ref="B129" authorId="0" shapeId="0" xr:uid="{96840BE9-7113-47AC-8791-15731FD6F3C2}">
      <text>
        <r>
          <rPr>
            <b/>
            <sz val="9"/>
            <color indexed="81"/>
            <rFont val="Tahoma"/>
            <family val="2"/>
            <charset val="204"/>
          </rPr>
          <t xml:space="preserve">на графиках явно видны воронки, которые свидетельствует о гетероскедатичности, что нарушает предпосылку МНК
</t>
        </r>
      </text>
    </comment>
    <comment ref="B156" authorId="0" shapeId="0" xr:uid="{F69934A0-57FA-45F4-9197-9ED8A8D6671B}">
      <text>
        <r>
          <rPr>
            <sz val="9"/>
            <color indexed="81"/>
            <rFont val="Tahoma"/>
            <family val="2"/>
            <charset val="204"/>
          </rPr>
          <t xml:space="preserve">График явно представляет собой кривую с небольшим участком в котором есть намёк на нормальность, но в остальном этот график ближе к ненормальности данных. </t>
        </r>
      </text>
    </comment>
    <comment ref="B184" authorId="0" shapeId="0" xr:uid="{BA5A6C3C-2521-4E73-AB6E-7EC02B0D4EE2}">
      <text>
        <r>
          <rPr>
            <b/>
            <sz val="9"/>
            <color indexed="81"/>
            <rFont val="Tahoma"/>
            <family val="2"/>
            <charset val="204"/>
          </rPr>
          <t>Хоть DW ~ 2, что свидетельствует об отсутсвии автокорелляции, график последовательности остатков говорит об обратном и свидетельствует о зависимости.</t>
        </r>
      </text>
    </comment>
    <comment ref="D189" authorId="0" shapeId="0" xr:uid="{0CE0FCC4-57F7-4DCD-8226-8D3A5E4ABB04}">
      <text>
        <r>
          <rPr>
            <b/>
            <sz val="9"/>
            <color indexed="81"/>
            <rFont val="Tahoma"/>
            <family val="2"/>
            <charset val="204"/>
          </rPr>
          <t xml:space="preserve">Так как DW~2, то автокорелляция отсутствует, проверим также графиком.
</t>
        </r>
      </text>
    </comment>
    <comment ref="B212" authorId="0" shapeId="0" xr:uid="{F9691601-FC9E-450C-92E8-8049334DE477}">
      <text>
        <r>
          <rPr>
            <b/>
            <sz val="9"/>
            <color indexed="81"/>
            <rFont val="Tahoma"/>
            <family val="2"/>
            <charset val="204"/>
          </rPr>
          <t xml:space="preserve">Была сделана раннее и свидетельствовала о коллинеарности между факторами, в особенности с фактором алюминия. </t>
        </r>
      </text>
    </comment>
    <comment ref="B214" authorId="0" shapeId="0" xr:uid="{63B127D4-BD62-4F4F-B95E-587535A1FB06}">
      <text>
        <r>
          <rPr>
            <b/>
            <sz val="9"/>
            <color indexed="81"/>
            <rFont val="Tahoma"/>
            <family val="2"/>
            <charset val="204"/>
          </rPr>
          <t xml:space="preserve">По итогу мы видим:
a) Точность прогнозов ненадёжная из-за невыполненных предпосылок МНК и высокой стандартной ошибке регрессии
б) Модель неадекватна, так как нарушены предпосылки МНК 
в) Присутствует явная необходимость исключения фактора алюминия благодаря различным тестам по типу мультиколлинеарности, t-тестам и другим
г) Гетероскедастичность решается взвешенны МНК, использованием робастных стандартных ошибок и нормированием Y(например логарифмированием).
Ненормальность остатков решается непараметрическими методами, преобразованиями и исключениями выбросов
Автокорелляция решается использованием модели ARIMA или GARCH, а также лагами зависимых переменных 
Нелинейность связи решается добавлением квадратичных или полиномиальных членов, а также сплайнами и ядерными методами,
Также выбросы решаются удалением или использованием робастных методов. </t>
        </r>
      </text>
    </comment>
    <comment ref="B215" authorId="0" shapeId="0" xr:uid="{753FCEFD-F8E8-4AAF-8683-24A6F64868F6}">
      <text>
        <r>
          <rPr>
            <b/>
            <sz val="9"/>
            <color indexed="81"/>
            <rFont val="Tahoma"/>
            <family val="2"/>
            <charset val="204"/>
          </rPr>
          <t>Без фактора алюминия сделано в индивидуальном задании.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<sst xmlns="http://schemas.openxmlformats.org/spreadsheetml/2006/main" count="185" uniqueCount="136">
  <si>
    <t>Месяц</t>
  </si>
  <si>
    <t>алюминия</t>
  </si>
  <si>
    <t>меди</t>
  </si>
  <si>
    <t>олова</t>
  </si>
  <si>
    <t>Затраты электроэнергии                 
 (тыс. кВт*ч)</t>
  </si>
  <si>
    <t>Объём производства(тонн)</t>
  </si>
  <si>
    <t>Y</t>
  </si>
  <si>
    <t>X1</t>
  </si>
  <si>
    <t>X2</t>
  </si>
  <si>
    <t>X3</t>
  </si>
  <si>
    <t>X0</t>
  </si>
  <si>
    <t>b=(X^T *X) ^(−1)*X ^T* Y</t>
  </si>
  <si>
    <t>X^T*Y</t>
  </si>
  <si>
    <t>X^T*X</t>
  </si>
  <si>
    <t>(X^T*X)^(-1)*X^T*Y</t>
  </si>
  <si>
    <t>B0</t>
  </si>
  <si>
    <t>B1</t>
  </si>
  <si>
    <t>B2</t>
  </si>
  <si>
    <t>B3</t>
  </si>
  <si>
    <t>Обратная матрица (X^T*X)^-1</t>
  </si>
  <si>
    <t>2 С помощью функции  ЛИНЕЙН</t>
  </si>
  <si>
    <t>3 Словесная интерпретация B0, B1 B2 B3</t>
  </si>
  <si>
    <t>4 Расчёт прогнозируемого значения</t>
  </si>
  <si>
    <t>медь и алюм</t>
  </si>
  <si>
    <t>медь и олово</t>
  </si>
  <si>
    <t>алюм и олово</t>
  </si>
  <si>
    <t>Регрессия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</si>
  <si>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</si>
  <si>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</si>
  <si>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</si>
  <si>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</si>
  <si>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</si>
  <si>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</si>
  <si>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</si>
  <si>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</si>
  <si>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</si>
  <si>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</si>
  <si>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</si>
  <si>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</si>
  <si>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</si>
  <si>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</si>
  <si>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</si>
  <si>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</si>
  <si>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</si>
  <si>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</si>
  <si>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</si>
  <si>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</si>
  <si>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</si>
  <si>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</si>
  <si>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</si>
  <si>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</si>
  <si>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</si>
  <si>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</si>
  <si>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ВЫВОД ОСТАТКА</t>
  </si>
  <si>
    <t>Наблюдение</t>
  </si>
  <si>
    <t>Предсказанное Y</t>
  </si>
  <si>
    <t>Остатки</t>
  </si>
  <si>
    <t>Y = b0 + b2X2 + b3X3 (медь и олово)</t>
  </si>
  <si>
    <t>Среднее меди</t>
  </si>
  <si>
    <t xml:space="preserve">Расчёт коллинеарности </t>
  </si>
  <si>
    <t>Среднее олова</t>
  </si>
  <si>
    <t>Прогнозируемое значение:</t>
  </si>
  <si>
    <t>5 задание индивидуальное</t>
  </si>
  <si>
    <t>Построение регрессии с помощью метода</t>
  </si>
  <si>
    <t>1. Уравнение методом МНК</t>
  </si>
  <si>
    <t>5 Стандарт ошибка и коэфф детерминации</t>
  </si>
  <si>
    <t>Станд.ошиб</t>
  </si>
  <si>
    <t>Коэф.детерм</t>
  </si>
  <si>
    <t>6 значимость коэффициента регрессии</t>
  </si>
  <si>
    <t>F-стат</t>
  </si>
  <si>
    <t>F-крит</t>
  </si>
  <si>
    <t>7 стандартные ошибки</t>
  </si>
  <si>
    <t xml:space="preserve">B3 </t>
  </si>
  <si>
    <t xml:space="preserve">B2 </t>
  </si>
  <si>
    <t xml:space="preserve">8 Значимость коэффициентов </t>
  </si>
  <si>
    <t>t-критическое</t>
  </si>
  <si>
    <t>1 способ</t>
  </si>
  <si>
    <t>2 способ</t>
  </si>
  <si>
    <t>Доверительные интервалы</t>
  </si>
  <si>
    <t>нижняя  граница</t>
  </si>
  <si>
    <t>верхняя граница</t>
  </si>
  <si>
    <t>включает 0</t>
  </si>
  <si>
    <t>9 Определение сильнее всего влияющих</t>
  </si>
  <si>
    <t>Стандартизированные коэффициенты рег.</t>
  </si>
  <si>
    <t>ϐ3</t>
  </si>
  <si>
    <t>ϐ2</t>
  </si>
  <si>
    <t>ϐ1</t>
  </si>
  <si>
    <t>3 способ</t>
  </si>
  <si>
    <t>Парные коэффициенты корреляции</t>
  </si>
  <si>
    <t>4 способ</t>
  </si>
  <si>
    <t>Сравнение изменение прогноза</t>
  </si>
  <si>
    <t>10 Определение совпадение с п.8</t>
  </si>
  <si>
    <t>11 Регрессия</t>
  </si>
  <si>
    <t>12. Диагн.диаграмма и предпосылки МНК</t>
  </si>
  <si>
    <t xml:space="preserve"> 1 Проверка линейности</t>
  </si>
  <si>
    <t>2 Проверка гомоскедатичности</t>
  </si>
  <si>
    <t>3 Проверка нормальности остатков</t>
  </si>
  <si>
    <t>Сорт остат</t>
  </si>
  <si>
    <t>Квантили</t>
  </si>
  <si>
    <t>Нумерация</t>
  </si>
  <si>
    <t>4 Проверка автокорреляции</t>
  </si>
  <si>
    <t>Сумма квадратов разности</t>
  </si>
  <si>
    <t xml:space="preserve">Сумма квадратов </t>
  </si>
  <si>
    <t>Статистика Дарбина-Уотсена</t>
  </si>
  <si>
    <t>Z</t>
  </si>
  <si>
    <t xml:space="preserve">5 Проверка мультиколлинеарности </t>
  </si>
  <si>
    <t>По итогу 0/5 предпосылок МНК выполнено</t>
  </si>
  <si>
    <t>13. Обобщение результатов</t>
  </si>
  <si>
    <t>14. Вид нового уравнения</t>
  </si>
  <si>
    <t xml:space="preserve"> Y = -34.47 + 8.23X1 + 7.59X2 </t>
  </si>
  <si>
    <t>Оценим параметры</t>
  </si>
  <si>
    <t>t-стат</t>
  </si>
  <si>
    <t>p-знач</t>
  </si>
  <si>
    <t>Как мы видим, коэффициенты незначимы</t>
  </si>
  <si>
    <t>Стандартные ошибки высокие</t>
  </si>
  <si>
    <t xml:space="preserve">R^2 = </t>
  </si>
  <si>
    <t xml:space="preserve">что говорит об объяснении 54% изменчивости </t>
  </si>
  <si>
    <t>6 Проверим статистическую значимость</t>
  </si>
  <si>
    <t>F стат</t>
  </si>
  <si>
    <t>F крит</t>
  </si>
  <si>
    <t>t-критич</t>
  </si>
  <si>
    <t xml:space="preserve">F-тест пройден, уравнение </t>
  </si>
  <si>
    <t>t-тест не пройден, незначимы коэф</t>
  </si>
  <si>
    <t>7. Точность модели</t>
  </si>
  <si>
    <t>Модель объясняет 54% изменчивости</t>
  </si>
  <si>
    <t>Стандарт ошибка для коэффов высокая</t>
  </si>
  <si>
    <t>в особенности для b0</t>
  </si>
  <si>
    <t>Модель обладает невысокой точностью, но лучше чем с алюминием</t>
  </si>
  <si>
    <t>8 Технологические энергозатраты</t>
  </si>
  <si>
    <t>a) На одну тонну</t>
  </si>
  <si>
    <t>б) на один процент</t>
  </si>
  <si>
    <t>Медь</t>
  </si>
  <si>
    <t>Олово</t>
  </si>
  <si>
    <t>Металл</t>
  </si>
  <si>
    <t>на 1 тонну</t>
  </si>
  <si>
    <t>на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</si>
</sst>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04"/>
      <scheme val="minor"/>
    </font>
    <font>
      <b/>
      <sz val="12"/>
      <color rgb="FFF8FAFF"/>
      <name val="KaTeX_Main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5" fillId="0" borderId="0" xfId="0" applyFont="1"/>
    <xf numFmtId="0" fontId="4" fillId="0" borderId="0" xfId="0" applyFont="1" applyFill="1" applyBorder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Лист1!$L$51:$L$61</c:f>
              <c:numCache>
                <c:formatCode>General</c:formatCode>
                <c:ptCount val="11"/>
                <c:pt idx="0">
                  <c:v>42</c:v>
                </c:pt>
                <c:pt idx="1">
                  <c:v>32</c:v>
                </c:pt>
                <c:pt idx="2">
                  <c:v>36</c:v>
                </c:pt>
                <c:pt idx="3">
                  <c:v>43</c:v>
                </c:pt>
                <c:pt idx="4">
                  <c:v>59</c:v>
                </c:pt>
                <c:pt idx="5">
                  <c:v>63</c:v>
                </c:pt>
                <c:pt idx="6">
                  <c:v>42</c:v>
                </c:pt>
                <c:pt idx="7">
                  <c:v>34</c:v>
                </c:pt>
                <c:pt idx="8">
                  <c:v>26</c:v>
                </c:pt>
                <c:pt idx="9">
                  <c:v>75</c:v>
                </c:pt>
                <c:pt idx="10">
                  <c:v>56</c:v>
                </c:pt>
              </c:numCache>
            </c:numRef>
          </c:xVal>
          <c:yVal>
            <c:numRef>
              <c:f>Лист1!$R$74:$R$84</c:f>
              <c:numCache>
                <c:formatCode>General</c:formatCode>
                <c:ptCount val="11"/>
                <c:pt idx="0">
                  <c:v>-81.329469934690053</c:v>
                </c:pt>
                <c:pt idx="1">
                  <c:v>-62.758277053473648</c:v>
                </c:pt>
                <c:pt idx="2">
                  <c:v>-63.052933871513176</c:v>
                </c:pt>
                <c:pt idx="3">
                  <c:v>-140.01452209237385</c:v>
                </c:pt>
                <c:pt idx="4">
                  <c:v>-35.398993377895977</c:v>
                </c:pt>
                <c:pt idx="5">
                  <c:v>-356.23039253706429</c:v>
                </c:pt>
                <c:pt idx="6">
                  <c:v>336.2823049950797</c:v>
                </c:pt>
                <c:pt idx="7">
                  <c:v>-48.484290559486624</c:v>
                </c:pt>
                <c:pt idx="8">
                  <c:v>107.62560747792895</c:v>
                </c:pt>
                <c:pt idx="9">
                  <c:v>197.04300720280321</c:v>
                </c:pt>
                <c:pt idx="10">
                  <c:v>146.31795975068565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C3-45BD-BF92-B0662A1A1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376879"/>
        <c:axId val="777379279"/>
      </c:scatterChart>
      <c:valAx>
        <c:axId val="777376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379279"/>
        <c:crosses val="autoZero"/>
        <c:crossBetween val="midCat"/>
      </c:valAx>
      <c:valAx>
        <c:axId val="7773792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3768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Лист1!$M$51:$M$61</c:f>
              <c:numCache>
                <c:formatCode>General</c:formatCode>
                <c:ptCount val="11"/>
                <c:pt idx="0">
                  <c:v>7</c:v>
                </c:pt>
                <c:pt idx="1">
                  <c:v>27</c:v>
                </c:pt>
                <c:pt idx="2">
                  <c:v>14</c:v>
                </c:pt>
                <c:pt idx="3">
                  <c:v>18</c:v>
                </c:pt>
                <c:pt idx="4">
                  <c:v>26</c:v>
                </c:pt>
                <c:pt idx="5">
                  <c:v>48</c:v>
                </c:pt>
                <c:pt idx="6">
                  <c:v>23</c:v>
                </c:pt>
                <c:pt idx="7">
                  <c:v>7</c:v>
                </c:pt>
                <c:pt idx="8">
                  <c:v>27</c:v>
                </c:pt>
                <c:pt idx="9">
                  <c:v>36</c:v>
                </c:pt>
                <c:pt idx="10">
                  <c:v>43</c:v>
                </c:pt>
              </c:numCache>
            </c:numRef>
          </c:xVal>
          <c:yVal>
            <c:numRef>
              <c:f>Лист1!$R$74:$R$84</c:f>
              <c:numCache>
                <c:formatCode>General</c:formatCode>
                <c:ptCount val="11"/>
                <c:pt idx="0">
                  <c:v>-81.329469934690053</c:v>
                </c:pt>
                <c:pt idx="1">
                  <c:v>-62.758277053473648</c:v>
                </c:pt>
                <c:pt idx="2">
                  <c:v>-63.052933871513176</c:v>
                </c:pt>
                <c:pt idx="3">
                  <c:v>-140.01452209237385</c:v>
                </c:pt>
                <c:pt idx="4">
                  <c:v>-35.398993377895977</c:v>
                </c:pt>
                <c:pt idx="5">
                  <c:v>-356.23039253706429</c:v>
                </c:pt>
                <c:pt idx="6">
                  <c:v>336.2823049950797</c:v>
                </c:pt>
                <c:pt idx="7">
                  <c:v>-48.484290559486624</c:v>
                </c:pt>
                <c:pt idx="8">
                  <c:v>107.62560747792895</c:v>
                </c:pt>
                <c:pt idx="9">
                  <c:v>197.04300720280321</c:v>
                </c:pt>
                <c:pt idx="10">
                  <c:v>146.31795975068565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4A-41D9-B063-13EA52E1C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376879"/>
        <c:axId val="777379759"/>
      </c:scatterChart>
      <c:valAx>
        <c:axId val="777376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379759"/>
        <c:crosses val="autoZero"/>
        <c:crossBetween val="midCat"/>
      </c:valAx>
      <c:valAx>
        <c:axId val="7773797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3768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767816206518488"/>
          <c:y val="0.28939988005035444"/>
          <c:w val="0.80534673078839825"/>
          <c:h val="0.51891148748101856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Лист1!$C$3:$C$13</c:f>
              <c:numCache>
                <c:formatCode>General</c:formatCode>
                <c:ptCount val="11"/>
                <c:pt idx="0">
                  <c:v>68</c:v>
                </c:pt>
                <c:pt idx="1">
                  <c:v>45</c:v>
                </c:pt>
                <c:pt idx="2">
                  <c:v>59</c:v>
                </c:pt>
                <c:pt idx="3">
                  <c:v>62</c:v>
                </c:pt>
                <c:pt idx="4">
                  <c:v>72</c:v>
                </c:pt>
                <c:pt idx="5">
                  <c:v>128</c:v>
                </c:pt>
                <c:pt idx="6">
                  <c:v>78</c:v>
                </c:pt>
                <c:pt idx="7">
                  <c:v>42</c:v>
                </c:pt>
                <c:pt idx="8">
                  <c:v>52</c:v>
                </c:pt>
                <c:pt idx="9">
                  <c:v>96</c:v>
                </c:pt>
                <c:pt idx="10">
                  <c:v>122</c:v>
                </c:pt>
              </c:numCache>
            </c:numRef>
          </c:xVal>
          <c:yVal>
            <c:numRef>
              <c:f>Лист1!$D$99:$D$109</c:f>
              <c:numCache>
                <c:formatCode>General</c:formatCode>
                <c:ptCount val="11"/>
                <c:pt idx="0">
                  <c:v>-59.159078385928069</c:v>
                </c:pt>
                <c:pt idx="1">
                  <c:v>-87.812852976466615</c:v>
                </c:pt>
                <c:pt idx="2">
                  <c:v>-55.853271288231042</c:v>
                </c:pt>
                <c:pt idx="3">
                  <c:v>-142.56429050607051</c:v>
                </c:pt>
                <c:pt idx="4">
                  <c:v>-54.58248915003719</c:v>
                </c:pt>
                <c:pt idx="5">
                  <c:v>-340.77342213746465</c:v>
                </c:pt>
                <c:pt idx="6">
                  <c:v>347.86879357908634</c:v>
                </c:pt>
                <c:pt idx="7">
                  <c:v>-50.464383093580409</c:v>
                </c:pt>
                <c:pt idx="8">
                  <c:v>98.086524175924637</c:v>
                </c:pt>
                <c:pt idx="9">
                  <c:v>176.08247676614769</c:v>
                </c:pt>
                <c:pt idx="10">
                  <c:v>169.17199301662026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2-4FCA-90B9-4FD7F0A64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18255"/>
        <c:axId val="1518517775"/>
      </c:scatterChart>
      <c:valAx>
        <c:axId val="1518518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8517775"/>
        <c:crosses val="autoZero"/>
        <c:crossBetween val="midCat"/>
      </c:valAx>
      <c:valAx>
        <c:axId val="15185177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85182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Лист1!$D$3:$D$13</c:f>
              <c:numCache>
                <c:formatCode>General</c:formatCode>
                <c:ptCount val="11"/>
                <c:pt idx="0">
                  <c:v>42</c:v>
                </c:pt>
                <c:pt idx="1">
                  <c:v>32</c:v>
                </c:pt>
                <c:pt idx="2">
                  <c:v>36</c:v>
                </c:pt>
                <c:pt idx="3">
                  <c:v>43</c:v>
                </c:pt>
                <c:pt idx="4">
                  <c:v>59</c:v>
                </c:pt>
                <c:pt idx="5">
                  <c:v>63</c:v>
                </c:pt>
                <c:pt idx="6">
                  <c:v>42</c:v>
                </c:pt>
                <c:pt idx="7">
                  <c:v>34</c:v>
                </c:pt>
                <c:pt idx="8">
                  <c:v>26</c:v>
                </c:pt>
                <c:pt idx="9">
                  <c:v>75</c:v>
                </c:pt>
                <c:pt idx="10">
                  <c:v>56</c:v>
                </c:pt>
              </c:numCache>
            </c:numRef>
          </c:xVal>
          <c:yVal>
            <c:numRef>
              <c:f>Лист1!$D$99:$D$109</c:f>
              <c:numCache>
                <c:formatCode>General</c:formatCode>
                <c:ptCount val="11"/>
                <c:pt idx="0">
                  <c:v>-59.159078385928069</c:v>
                </c:pt>
                <c:pt idx="1">
                  <c:v>-87.812852976466615</c:v>
                </c:pt>
                <c:pt idx="2">
                  <c:v>-55.853271288231042</c:v>
                </c:pt>
                <c:pt idx="3">
                  <c:v>-142.56429050607051</c:v>
                </c:pt>
                <c:pt idx="4">
                  <c:v>-54.58248915003719</c:v>
                </c:pt>
                <c:pt idx="5">
                  <c:v>-340.77342213746465</c:v>
                </c:pt>
                <c:pt idx="6">
                  <c:v>347.86879357908634</c:v>
                </c:pt>
                <c:pt idx="7">
                  <c:v>-50.464383093580409</c:v>
                </c:pt>
                <c:pt idx="8">
                  <c:v>98.086524175924637</c:v>
                </c:pt>
                <c:pt idx="9">
                  <c:v>176.08247676614769</c:v>
                </c:pt>
                <c:pt idx="10">
                  <c:v>169.17199301662026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0A-4CF4-BD5C-5CFE84793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885695"/>
        <c:axId val="1445717327"/>
      </c:scatterChart>
      <c:valAx>
        <c:axId val="749885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5717327"/>
        <c:crosses val="autoZero"/>
        <c:crossBetween val="midCat"/>
      </c:valAx>
      <c:valAx>
        <c:axId val="14457173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98856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3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646552878890276"/>
          <c:y val="0.13263077940791357"/>
          <c:w val="0.80379281509652512"/>
          <c:h val="0.78475960219776675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Лист1!$E$3:$E$13</c:f>
              <c:numCache>
                <c:formatCode>General</c:formatCode>
                <c:ptCount val="11"/>
                <c:pt idx="0">
                  <c:v>7</c:v>
                </c:pt>
                <c:pt idx="1">
                  <c:v>27</c:v>
                </c:pt>
                <c:pt idx="2">
                  <c:v>14</c:v>
                </c:pt>
                <c:pt idx="3">
                  <c:v>18</c:v>
                </c:pt>
                <c:pt idx="4">
                  <c:v>26</c:v>
                </c:pt>
                <c:pt idx="5">
                  <c:v>48</c:v>
                </c:pt>
                <c:pt idx="6">
                  <c:v>23</c:v>
                </c:pt>
                <c:pt idx="7">
                  <c:v>7</c:v>
                </c:pt>
                <c:pt idx="8">
                  <c:v>27</c:v>
                </c:pt>
                <c:pt idx="9">
                  <c:v>36</c:v>
                </c:pt>
                <c:pt idx="10">
                  <c:v>43</c:v>
                </c:pt>
              </c:numCache>
            </c:numRef>
          </c:xVal>
          <c:yVal>
            <c:numRef>
              <c:f>Лист1!$D$99:$D$109</c:f>
              <c:numCache>
                <c:formatCode>General</c:formatCode>
                <c:ptCount val="11"/>
                <c:pt idx="0">
                  <c:v>-59.159078385928069</c:v>
                </c:pt>
                <c:pt idx="1">
                  <c:v>-87.812852976466615</c:v>
                </c:pt>
                <c:pt idx="2">
                  <c:v>-55.853271288231042</c:v>
                </c:pt>
                <c:pt idx="3">
                  <c:v>-142.56429050607051</c:v>
                </c:pt>
                <c:pt idx="4">
                  <c:v>-54.58248915003719</c:v>
                </c:pt>
                <c:pt idx="5">
                  <c:v>-340.77342213746465</c:v>
                </c:pt>
                <c:pt idx="6">
                  <c:v>347.86879357908634</c:v>
                </c:pt>
                <c:pt idx="7">
                  <c:v>-50.464383093580409</c:v>
                </c:pt>
                <c:pt idx="8">
                  <c:v>98.086524175924637</c:v>
                </c:pt>
                <c:pt idx="9">
                  <c:v>176.08247676614769</c:v>
                </c:pt>
                <c:pt idx="10">
                  <c:v>169.17199301662026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3B-48B7-B93A-CC30873DA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995727"/>
        <c:axId val="937992367"/>
      </c:scatterChart>
      <c:valAx>
        <c:axId val="937995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7992367"/>
        <c:crosses val="autoZero"/>
        <c:crossBetween val="midCat"/>
      </c:valAx>
      <c:valAx>
        <c:axId val="9379923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79957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Проверка</a:t>
            </a:r>
            <a:r>
              <a:rPr lang="ru-RU" baseline="0"/>
              <a:t> линейности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Лист1!$C$99:$C$109</c:f>
              <c:numCache>
                <c:formatCode>General</c:formatCode>
                <c:ptCount val="11"/>
                <c:pt idx="0">
                  <c:v>345.15907838592807</c:v>
                </c:pt>
                <c:pt idx="1">
                  <c:v>461.81285297646662</c:v>
                </c:pt>
                <c:pt idx="2">
                  <c:v>363.85327128823104</c:v>
                </c:pt>
                <c:pt idx="3">
                  <c:v>461.56429050607051</c:v>
                </c:pt>
                <c:pt idx="4">
                  <c:v>670.58248915003719</c:v>
                </c:pt>
                <c:pt idx="5">
                  <c:v>835.77342213746465</c:v>
                </c:pt>
                <c:pt idx="6">
                  <c:v>477.13120642091366</c:v>
                </c:pt>
                <c:pt idx="7">
                  <c:v>303.46438309358041</c:v>
                </c:pt>
                <c:pt idx="8">
                  <c:v>396.91347582407536</c:v>
                </c:pt>
                <c:pt idx="9">
                  <c:v>879.91752323385231</c:v>
                </c:pt>
                <c:pt idx="10">
                  <c:v>732.82800698337974</c:v>
                </c:pt>
              </c:numCache>
            </c:numRef>
          </c:xVal>
          <c:yVal>
            <c:numRef>
              <c:f>Лист1!$D$99:$D$109</c:f>
              <c:numCache>
                <c:formatCode>General</c:formatCode>
                <c:ptCount val="11"/>
                <c:pt idx="0">
                  <c:v>-59.159078385928069</c:v>
                </c:pt>
                <c:pt idx="1">
                  <c:v>-87.812852976466615</c:v>
                </c:pt>
                <c:pt idx="2">
                  <c:v>-55.853271288231042</c:v>
                </c:pt>
                <c:pt idx="3">
                  <c:v>-142.56429050607051</c:v>
                </c:pt>
                <c:pt idx="4">
                  <c:v>-54.58248915003719</c:v>
                </c:pt>
                <c:pt idx="5">
                  <c:v>-340.77342213746465</c:v>
                </c:pt>
                <c:pt idx="6">
                  <c:v>347.86879357908634</c:v>
                </c:pt>
                <c:pt idx="7">
                  <c:v>-50.464383093580409</c:v>
                </c:pt>
                <c:pt idx="8">
                  <c:v>98.086524175924637</c:v>
                </c:pt>
                <c:pt idx="9">
                  <c:v>176.08247676614769</c:v>
                </c:pt>
                <c:pt idx="10">
                  <c:v>169.17199301662026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9D-489D-BFBC-3556D02D9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5327"/>
        <c:axId val="7106287"/>
      </c:scatterChart>
      <c:valAx>
        <c:axId val="710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</a:t>
                </a:r>
                <a:r>
                  <a:rPr lang="ru-RU" baseline="0"/>
                  <a:t>предсказанное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06287"/>
        <c:crosses val="autoZero"/>
        <c:crossBetween val="midCat"/>
      </c:valAx>
      <c:valAx>
        <c:axId val="710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0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Q-Q</a:t>
            </a:r>
            <a:r>
              <a:rPr lang="ru-RU" baseline="0"/>
              <a:t> график</a:t>
            </a:r>
            <a:r>
              <a:rPr lang="en-US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Лист1!$C$157:$C$167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xVal>
          <c:yVal>
            <c:numRef>
              <c:f>Лист1!$D$157:$D$167</c:f>
              <c:numCache>
                <c:formatCode>General</c:formatCode>
                <c:ptCount val="11"/>
                <c:pt idx="0">
                  <c:v>-340.77342213746465</c:v>
                </c:pt>
                <c:pt idx="1">
                  <c:v>-142.56429050607051</c:v>
                </c:pt>
                <c:pt idx="2">
                  <c:v>-87.812852976466615</c:v>
                </c:pt>
                <c:pt idx="3">
                  <c:v>-59.159078385928069</c:v>
                </c:pt>
                <c:pt idx="4">
                  <c:v>-55.853271288231042</c:v>
                </c:pt>
                <c:pt idx="5">
                  <c:v>-54.58248915003719</c:v>
                </c:pt>
                <c:pt idx="6">
                  <c:v>-50.464383093580409</c:v>
                </c:pt>
                <c:pt idx="7">
                  <c:v>98.086524175924637</c:v>
                </c:pt>
                <c:pt idx="8">
                  <c:v>169.17199301662026</c:v>
                </c:pt>
                <c:pt idx="9">
                  <c:v>176.08247676614769</c:v>
                </c:pt>
                <c:pt idx="10">
                  <c:v>347.86879357908634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D1-45DB-8856-DF6CC5B9D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3663"/>
        <c:axId val="1839686543"/>
      </c:scatterChart>
      <c:valAx>
        <c:axId val="1839683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9686543"/>
        <c:crosses val="autoZero"/>
        <c:crossBetween val="midCat"/>
      </c:valAx>
      <c:valAx>
        <c:axId val="183968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968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последовательности остатков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Лист1!$A$185:$A$195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Лист1!$B$185:$B$195</c:f>
              <c:numCache>
                <c:formatCode>General</c:formatCode>
                <c:ptCount val="11"/>
                <c:pt idx="0">
                  <c:v>-59.159078385928069</c:v>
                </c:pt>
                <c:pt idx="1">
                  <c:v>-87.812852976466615</c:v>
                </c:pt>
                <c:pt idx="2">
                  <c:v>-55.853271288231042</c:v>
                </c:pt>
                <c:pt idx="3">
                  <c:v>-142.56429050607051</c:v>
                </c:pt>
                <c:pt idx="4">
                  <c:v>-54.58248915003719</c:v>
                </c:pt>
                <c:pt idx="5">
                  <c:v>-340.77342213746465</c:v>
                </c:pt>
                <c:pt idx="6">
                  <c:v>347.86879357908634</c:v>
                </c:pt>
                <c:pt idx="7">
                  <c:v>-50.464383093580409</c:v>
                </c:pt>
                <c:pt idx="8">
                  <c:v>98.086524175924637</c:v>
                </c:pt>
                <c:pt idx="9">
                  <c:v>176.08247676614769</c:v>
                </c:pt>
                <c:pt idx="10">
                  <c:v>169.17199301662026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A-4F8A-A524-957FFA7A2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988815"/>
        <c:axId val="1522987375"/>
      </c:scatterChart>
      <c:valAx>
        <c:axId val="152298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2987375"/>
        <c:crosses val="autoZero"/>
        <c:crossBetween val="midCat"/>
      </c:valAx>
      <c:valAx>
        <c:axId val="152298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298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411480</xdr:colOff>
      <xdr:row>11</xdr:row>
      <xdr:rowOff>175260</xdr:rowOff>
    </xdr:from>
    <xdr:to>
      <xdr:col>21</xdr:col>
      <xdr:colOff>411480</xdr:colOff>
      <xdr:row>22</xdr:row>
      <xdr:rowOff>15240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8C80E18-868F-3E09-1B7C-CF628531B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411480</xdr:colOff>
      <xdr:row>14</xdr:row>
      <xdr:rowOff>0</xdr:rowOff>
    </xdr:from>
    <xdr:to>
      <xdr:col>22</xdr:col>
      <xdr:colOff>411480</xdr:colOff>
      <xdr:row>24</xdr:row>
      <xdr:rowOff>15240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9BA728C-5AAF-BF9A-62BC-18110FE3D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322385</xdr:colOff>
      <xdr:row>129</xdr:row>
      <xdr:rowOff>87923</xdr:rowOff>
    </xdr:from>
    <xdr:to>
      <xdr:col>5</xdr:col>
      <xdr:colOff>146539</xdr:colOff>
      <xdr:row>154</xdr:row>
      <xdr:rowOff>58615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2EA5C98-1543-0C6C-4F9C-D7EA68FA2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310075</xdr:colOff>
      <xdr:row>127</xdr:row>
      <xdr:rowOff>162363</xdr:rowOff>
    </xdr:from>
    <xdr:to>
      <xdr:col>12</xdr:col>
      <xdr:colOff>322385</xdr:colOff>
      <xdr:row>154</xdr:row>
      <xdr:rowOff>102577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09A1697-D641-1CDA-4623-3C4BC6941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383344</xdr:colOff>
      <xdr:row>128</xdr:row>
      <xdr:rowOff>59786</xdr:rowOff>
    </xdr:from>
    <xdr:to>
      <xdr:col>20</xdr:col>
      <xdr:colOff>73269</xdr:colOff>
      <xdr:row>151</xdr:row>
      <xdr:rowOff>43960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46F658B0-06BE-11FE-7521-7EFE341F4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525780</xdr:colOff>
      <xdr:row>112</xdr:row>
      <xdr:rowOff>41910</xdr:rowOff>
    </xdr:from>
    <xdr:to>
      <xdr:col>4</xdr:col>
      <xdr:colOff>449580</xdr:colOff>
      <xdr:row>127</xdr:row>
      <xdr:rowOff>41910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85B7E0E-3668-72BC-F2AE-1E00B3C43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569206</xdr:colOff>
      <xdr:row>167</xdr:row>
      <xdr:rowOff>56002</xdr:rowOff>
    </xdr:from>
    <xdr:to>
      <xdr:col>4</xdr:col>
      <xdr:colOff>486579</xdr:colOff>
      <xdr:row>182</xdr:row>
      <xdr:rowOff>44985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372B1E92-A0EB-3300-13FC-2C4B0B2D0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195</xdr:row>
      <xdr:rowOff>46822</xdr:rowOff>
    </xdr:from>
    <xdr:to>
      <xdr:col>3</xdr:col>
      <xdr:colOff>697735</xdr:colOff>
      <xdr:row>210</xdr:row>
      <xdr:rowOff>35805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489679D8-61A4-D777-45E6-BE852B432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B208A-2B14-4057-BD71-15E5D0BE1BA6}" name="Таблица1" displayName="Таблица1" ref="M88:O90" totalsRowShown="0" headerRowDxfId="0">
  <autoFilter ref="M88:O90" xr:uid="{67FB208A-2B14-4057-BD71-15E5D0BE1BA6}"/>
  <tableColumns count="3">
    <tableColumn id="1" xr3:uid="{9A0F702D-8EED-49F1-8532-D8E361C8CF30}" name="Металл"/>
    <tableColumn id="2" xr3:uid="{16DDD590-CA61-4A37-99A9-0FB7AF6C4566}" name="на 1 тонну">
      <calculatedColumnFormula>K62</calculatedColumnFormula>
    </tableColumn>
    <tableColumn id="3" xr3:uid="{35CE58C1-82E6-4236-8B25-9AAAEC5B633A}" name="на 1%">
      <calculatedColumnFormula>K90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C6B25D-EA62-4723-A703-0B28FFB23687}">
  <we:reference id="wa200005271" version="2.5.5.0" store="ru-RU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58A3-BBA1-48AA-AC88-41C406AA5912}">
  <dimension ref="A1:X215"/>
  <sheetViews>
    <sheetView tabSelected="1" topLeftCell="A205" zoomScale="83" workbookViewId="0">
      <selection activeCell="F199" sqref="F199"/>
    </sheetView>
  </sheetViews>
  <sheetFormatPr defaultRowHeight="14.4"/>
  <cols>
    <col min="2" max="2" width="36.21875" customWidth="1"/>
    <col min="3" max="3" width="11.33203125" customWidth="1"/>
    <col min="4" max="4" width="11.44140625" customWidth="1"/>
    <col min="5" max="5" width="11.88671875" customWidth="1"/>
    <col min="7" max="7" width="10" customWidth="1"/>
    <col min="9" max="9" width="7" customWidth="1"/>
    <col min="10" max="10" width="8.88671875" hidden="1" customWidth="1"/>
    <col min="11" max="11" width="29.77734375" customWidth="1"/>
    <col min="13" max="13" width="10.5546875" customWidth="1"/>
    <col min="14" max="14" width="12.88671875" customWidth="1"/>
  </cols>
  <sheetData>
    <row r="1" spans="1:10">
      <c r="A1" s="1" t="s">
        <v>0</v>
      </c>
      <c r="B1" s="2" t="s">
        <v>4</v>
      </c>
      <c r="C1" s="1" t="s">
        <v>5</v>
      </c>
      <c r="D1" s="1"/>
      <c r="E1" s="1"/>
    </row>
    <row r="2" spans="1:10">
      <c r="A2" s="1"/>
      <c r="B2" s="1"/>
      <c r="C2" t="s">
        <v>1</v>
      </c>
      <c r="D2" t="s">
        <v>2</v>
      </c>
      <c r="E2" t="s">
        <v>3</v>
      </c>
    </row>
    <row r="3" spans="1:10">
      <c r="A3">
        <v>1</v>
      </c>
      <c r="B3">
        <v>286</v>
      </c>
      <c r="C3">
        <v>68</v>
      </c>
      <c r="D3">
        <v>42</v>
      </c>
      <c r="E3">
        <v>7</v>
      </c>
    </row>
    <row r="4" spans="1:10">
      <c r="A4">
        <v>2</v>
      </c>
      <c r="B4">
        <v>374</v>
      </c>
      <c r="C4">
        <v>45</v>
      </c>
      <c r="D4">
        <v>32</v>
      </c>
      <c r="E4">
        <v>27</v>
      </c>
    </row>
    <row r="5" spans="1:10">
      <c r="A5">
        <v>3</v>
      </c>
      <c r="B5">
        <v>308</v>
      </c>
      <c r="C5">
        <v>59</v>
      </c>
      <c r="D5">
        <v>36</v>
      </c>
      <c r="E5">
        <v>14</v>
      </c>
    </row>
    <row r="6" spans="1:10">
      <c r="A6">
        <v>4</v>
      </c>
      <c r="B6">
        <v>319</v>
      </c>
      <c r="C6">
        <v>62</v>
      </c>
      <c r="D6">
        <v>43</v>
      </c>
      <c r="E6">
        <v>18</v>
      </c>
    </row>
    <row r="7" spans="1:10">
      <c r="A7">
        <v>5</v>
      </c>
      <c r="B7">
        <v>616</v>
      </c>
      <c r="C7">
        <v>72</v>
      </c>
      <c r="D7">
        <v>59</v>
      </c>
      <c r="E7">
        <v>26</v>
      </c>
    </row>
    <row r="8" spans="1:10">
      <c r="A8">
        <v>6</v>
      </c>
      <c r="B8">
        <v>495</v>
      </c>
      <c r="C8">
        <v>128</v>
      </c>
      <c r="D8">
        <v>63</v>
      </c>
      <c r="E8">
        <v>48</v>
      </c>
    </row>
    <row r="9" spans="1:10">
      <c r="A9">
        <v>7</v>
      </c>
      <c r="B9">
        <v>825</v>
      </c>
      <c r="C9">
        <v>78</v>
      </c>
      <c r="D9">
        <v>42</v>
      </c>
      <c r="E9">
        <v>23</v>
      </c>
    </row>
    <row r="10" spans="1:10">
      <c r="A10">
        <v>8</v>
      </c>
      <c r="B10">
        <v>253</v>
      </c>
      <c r="C10">
        <v>42</v>
      </c>
      <c r="D10">
        <v>34</v>
      </c>
      <c r="E10">
        <v>7</v>
      </c>
    </row>
    <row r="11" spans="1:10">
      <c r="A11">
        <v>9</v>
      </c>
      <c r="B11">
        <v>495</v>
      </c>
      <c r="C11">
        <v>52</v>
      </c>
      <c r="D11">
        <v>26</v>
      </c>
      <c r="E11">
        <v>27</v>
      </c>
    </row>
    <row r="12" spans="1:10">
      <c r="A12">
        <v>10</v>
      </c>
      <c r="B12">
        <v>1056</v>
      </c>
      <c r="C12">
        <v>96</v>
      </c>
      <c r="D12">
        <v>75</v>
      </c>
      <c r="E12">
        <v>36</v>
      </c>
    </row>
    <row r="13" spans="1:10">
      <c r="A13">
        <v>11</v>
      </c>
      <c r="B13">
        <v>902</v>
      </c>
      <c r="C13">
        <v>122</v>
      </c>
      <c r="D13">
        <v>56</v>
      </c>
      <c r="E13">
        <v>43</v>
      </c>
    </row>
    <row r="14" spans="1:10">
      <c r="B14" t="s">
        <v>6</v>
      </c>
      <c r="C14" t="s">
        <v>10</v>
      </c>
      <c r="D14" t="s">
        <v>7</v>
      </c>
      <c r="E14" t="s">
        <v>8</v>
      </c>
      <c r="F14" t="s">
        <v>9</v>
      </c>
      <c r="G14" s="1" t="s">
        <v>64</v>
      </c>
      <c r="H14" s="1"/>
      <c r="I14" s="1"/>
      <c r="J14" s="1"/>
    </row>
    <row r="15" spans="1:10">
      <c r="B15">
        <v>286</v>
      </c>
      <c r="C15">
        <v>1</v>
      </c>
      <c r="D15">
        <v>68</v>
      </c>
      <c r="E15">
        <v>42</v>
      </c>
      <c r="F15">
        <v>7</v>
      </c>
    </row>
    <row r="16" spans="1:10">
      <c r="B16">
        <v>374</v>
      </c>
      <c r="C16">
        <v>1</v>
      </c>
      <c r="D16">
        <v>45</v>
      </c>
      <c r="E16">
        <v>32</v>
      </c>
      <c r="F16">
        <v>27</v>
      </c>
    </row>
    <row r="17" spans="2:6">
      <c r="B17">
        <v>308</v>
      </c>
      <c r="C17">
        <v>1</v>
      </c>
      <c r="D17">
        <v>59</v>
      </c>
      <c r="E17">
        <v>36</v>
      </c>
      <c r="F17">
        <v>14</v>
      </c>
    </row>
    <row r="18" spans="2:6">
      <c r="B18">
        <v>319</v>
      </c>
      <c r="C18">
        <v>1</v>
      </c>
      <c r="D18">
        <v>62</v>
      </c>
      <c r="E18">
        <v>43</v>
      </c>
      <c r="F18">
        <v>18</v>
      </c>
    </row>
    <row r="19" spans="2:6">
      <c r="B19">
        <v>616</v>
      </c>
      <c r="C19">
        <v>1</v>
      </c>
      <c r="D19">
        <v>72</v>
      </c>
      <c r="E19">
        <v>59</v>
      </c>
      <c r="F19">
        <v>26</v>
      </c>
    </row>
    <row r="20" spans="2:6">
      <c r="B20">
        <v>495</v>
      </c>
      <c r="C20">
        <v>1</v>
      </c>
      <c r="D20">
        <v>128</v>
      </c>
      <c r="E20">
        <v>63</v>
      </c>
      <c r="F20">
        <v>48</v>
      </c>
    </row>
    <row r="21" spans="2:6">
      <c r="B21">
        <v>825</v>
      </c>
      <c r="C21">
        <v>1</v>
      </c>
      <c r="D21">
        <v>78</v>
      </c>
      <c r="E21">
        <v>42</v>
      </c>
      <c r="F21">
        <v>23</v>
      </c>
    </row>
    <row r="22" spans="2:6">
      <c r="B22">
        <v>253</v>
      </c>
      <c r="C22">
        <v>1</v>
      </c>
      <c r="D22">
        <v>42</v>
      </c>
      <c r="E22">
        <v>34</v>
      </c>
      <c r="F22">
        <v>7</v>
      </c>
    </row>
    <row r="23" spans="2:6">
      <c r="B23">
        <v>495</v>
      </c>
      <c r="C23">
        <v>1</v>
      </c>
      <c r="D23">
        <v>52</v>
      </c>
      <c r="E23">
        <v>26</v>
      </c>
      <c r="F23">
        <v>27</v>
      </c>
    </row>
    <row r="24" spans="2:6">
      <c r="B24">
        <v>1056</v>
      </c>
      <c r="C24">
        <v>1</v>
      </c>
      <c r="D24">
        <v>96</v>
      </c>
      <c r="E24">
        <v>75</v>
      </c>
      <c r="F24">
        <v>36</v>
      </c>
    </row>
    <row r="25" spans="2:6">
      <c r="B25">
        <v>902</v>
      </c>
      <c r="C25">
        <v>1</v>
      </c>
      <c r="D25">
        <v>122</v>
      </c>
      <c r="E25">
        <v>56</v>
      </c>
      <c r="F25">
        <v>43</v>
      </c>
    </row>
    <row r="26" spans="2:6" ht="15.6">
      <c r="B26" s="3"/>
      <c r="C26" t="s">
        <v>13</v>
      </c>
    </row>
    <row r="27" spans="2:6">
      <c r="B27" t="s">
        <v>11</v>
      </c>
      <c r="C27" cm="1">
        <f t="array" ref="C27:F30">MMULT(TRANSPOSE(C15:F25),C15:F25)</f>
        <v>11</v>
      </c>
      <c r="D27">
        <v>824</v>
      </c>
      <c r="E27">
        <v>508</v>
      </c>
      <c r="F27">
        <v>276</v>
      </c>
    </row>
    <row r="28" spans="2:6">
      <c r="C28">
        <v>824</v>
      </c>
      <c r="D28">
        <v>70194</v>
      </c>
      <c r="E28">
        <v>41486</v>
      </c>
      <c r="F28">
        <v>23843</v>
      </c>
    </row>
    <row r="29" spans="2:6">
      <c r="C29">
        <v>508</v>
      </c>
      <c r="D29">
        <v>41486</v>
      </c>
      <c r="E29">
        <v>25740</v>
      </c>
      <c r="F29">
        <v>14008</v>
      </c>
    </row>
    <row r="30" spans="2:6">
      <c r="C30">
        <v>276</v>
      </c>
      <c r="D30">
        <v>23843</v>
      </c>
      <c r="E30">
        <v>14008</v>
      </c>
      <c r="F30">
        <v>8730</v>
      </c>
    </row>
    <row r="31" spans="2:6">
      <c r="B31" t="s">
        <v>19</v>
      </c>
      <c r="C31" cm="1">
        <f t="array" ref="C31:F34">MINVERSE(_xlfn.ANCHORARRAY(C27))</f>
        <v>1.0456424815435823</v>
      </c>
      <c r="D31">
        <v>-3.2035727329515914E-3</v>
      </c>
      <c r="E31">
        <v>-1.7703664007708737E-2</v>
      </c>
      <c r="F31">
        <v>4.0983259090171028E-3</v>
      </c>
    </row>
    <row r="32" spans="2:6">
      <c r="C32">
        <v>-3.2035727329516243E-3</v>
      </c>
      <c r="D32">
        <v>5.4123291358281335E-4</v>
      </c>
      <c r="E32">
        <v>-4.7146826157344813E-4</v>
      </c>
      <c r="F32">
        <v>-6.2040124583499486E-4</v>
      </c>
    </row>
    <row r="33" spans="2:19">
      <c r="C33">
        <v>-1.7703664007708682E-2</v>
      </c>
      <c r="D33">
        <v>-4.7146826157344911E-4</v>
      </c>
      <c r="E33">
        <v>1.1262623493768552E-3</v>
      </c>
      <c r="F33">
        <v>4.017709470244761E-5</v>
      </c>
    </row>
    <row r="34" spans="2:19">
      <c r="C34">
        <v>4.0983259090171887E-3</v>
      </c>
      <c r="D34">
        <v>-6.2040124583499475E-4</v>
      </c>
      <c r="E34">
        <v>4.0177094702445442E-5</v>
      </c>
      <c r="F34">
        <v>1.6149241936956676E-3</v>
      </c>
    </row>
    <row r="35" spans="2:19">
      <c r="B35" t="s">
        <v>12</v>
      </c>
      <c r="C35" cm="1">
        <f t="array" ref="C35:C38">MMULT(TRANSPOSE(C15:F25), B15:B25)</f>
        <v>5929</v>
      </c>
    </row>
    <row r="36" spans="2:19">
      <c r="C36">
        <v>494076</v>
      </c>
    </row>
    <row r="37" spans="2:19">
      <c r="C37">
        <v>302148</v>
      </c>
    </row>
    <row r="38" spans="2:19">
      <c r="B38" t="s">
        <v>14</v>
      </c>
      <c r="C38">
        <v>172843</v>
      </c>
    </row>
    <row r="39" spans="2:19">
      <c r="B39" t="s">
        <v>15</v>
      </c>
      <c r="C39" cm="1">
        <f t="array" ref="C39:C42">MMULT(_xlfn.ANCHORARRAY(C31),_xlfn.ANCHORARRAY(C35))</f>
        <v>-23.953856042827624</v>
      </c>
    </row>
    <row r="40" spans="2:19">
      <c r="B40" t="s">
        <v>16</v>
      </c>
      <c r="C40">
        <v>-1.2689945540803365</v>
      </c>
    </row>
    <row r="41" spans="2:19">
      <c r="B41" t="s">
        <v>17</v>
      </c>
      <c r="C41">
        <v>9.3360692123049827</v>
      </c>
    </row>
    <row r="42" spans="2:19">
      <c r="B42" t="s">
        <v>18</v>
      </c>
      <c r="C42">
        <v>9.0413795984867988</v>
      </c>
    </row>
    <row r="43" spans="2:19">
      <c r="B43" t="s">
        <v>20</v>
      </c>
      <c r="C43" s="1" t="s">
        <v>21</v>
      </c>
      <c r="D43" s="1"/>
      <c r="E43" s="1"/>
      <c r="F43" s="1"/>
    </row>
    <row r="44" spans="2:19">
      <c r="B44" cm="1">
        <f t="array" ref="B44:E48">LINEST(B15:B25,C3:E13,TRUE,TRUE)</f>
        <v>9.0413795984868486</v>
      </c>
      <c r="C44">
        <v>9.3360692123047482</v>
      </c>
      <c r="D44">
        <v>-1.2689945540803969</v>
      </c>
      <c r="E44">
        <v>-23.953856042812333</v>
      </c>
    </row>
    <row r="45" spans="2:19">
      <c r="B45">
        <v>8.9416902429014087</v>
      </c>
      <c r="C45">
        <v>7.4672954271016287</v>
      </c>
      <c r="D45">
        <v>5.1764932273251247</v>
      </c>
      <c r="E45">
        <v>227.52816282117871</v>
      </c>
    </row>
    <row r="46" spans="2:19">
      <c r="B46">
        <v>0.54723736033770787</v>
      </c>
      <c r="C46">
        <v>222.50693455612407</v>
      </c>
      <c r="D46" t="e">
        <v>#N/A</v>
      </c>
      <c r="E46" t="e">
        <v>#N/A</v>
      </c>
    </row>
    <row r="47" spans="2:19">
      <c r="B47">
        <v>2.8202132028246107</v>
      </c>
      <c r="C47">
        <v>7</v>
      </c>
      <c r="D47" t="e">
        <v>#N/A</v>
      </c>
      <c r="E47" t="e">
        <v>#N/A</v>
      </c>
    </row>
    <row r="48" spans="2:19">
      <c r="B48">
        <v>418880.6485210571</v>
      </c>
      <c r="C48">
        <v>346565.3514789429</v>
      </c>
      <c r="D48" t="e">
        <v>#N/A</v>
      </c>
      <c r="E48" t="e">
        <v>#N/A</v>
      </c>
      <c r="K48" t="s">
        <v>62</v>
      </c>
      <c r="L48" t="s">
        <v>23</v>
      </c>
      <c r="M48" t="s">
        <v>24</v>
      </c>
      <c r="N48" t="s">
        <v>25</v>
      </c>
      <c r="P48" s="1" t="s">
        <v>63</v>
      </c>
      <c r="Q48" s="1"/>
      <c r="R48" s="1"/>
      <c r="S48" s="1"/>
    </row>
    <row r="49" spans="1:24">
      <c r="B49" t="s">
        <v>22</v>
      </c>
      <c r="K49" t="s">
        <v>59</v>
      </c>
      <c r="L49">
        <f>CORREL(C3:C13,D3:D13)</f>
        <v>0.78113080081312547</v>
      </c>
      <c r="M49">
        <f>CORREL(D3:D13,E3:E13)</f>
        <v>0.62206580208129048</v>
      </c>
      <c r="N49">
        <f>CORREL(C3:C13,E3:E13)</f>
        <v>0.81031939447882617</v>
      </c>
      <c r="P49" t="s">
        <v>27</v>
      </c>
    </row>
    <row r="50" spans="1:24" ht="15" thickBot="1">
      <c r="B50" t="s">
        <v>57</v>
      </c>
      <c r="C50" t="s">
        <v>58</v>
      </c>
      <c r="D50" t="s">
        <v>60</v>
      </c>
      <c r="K50" t="s">
        <v>6</v>
      </c>
      <c r="L50" t="s">
        <v>7</v>
      </c>
      <c r="M50" t="s">
        <v>8</v>
      </c>
    </row>
    <row r="51" spans="1:24">
      <c r="B51" t="s">
        <v>61</v>
      </c>
      <c r="C51">
        <f>AVERAGE(D3:D13)</f>
        <v>46.18181818181818</v>
      </c>
      <c r="D51">
        <f>AVERAGE(E3:E13)</f>
        <v>25.09090909090909</v>
      </c>
      <c r="K51">
        <v>286</v>
      </c>
      <c r="L51">
        <v>42</v>
      </c>
      <c r="M51">
        <v>7</v>
      </c>
      <c r="P51" s="7" t="s">
        <v>28</v>
      </c>
      <c r="Q51" s="7"/>
    </row>
    <row r="52" spans="1:24">
      <c r="B52">
        <f>C39+C51*C41+D51*C42</f>
        <v>634.05922841474398</v>
      </c>
      <c r="C52" t="s">
        <v>66</v>
      </c>
      <c r="D52" t="s">
        <v>67</v>
      </c>
      <c r="K52">
        <v>374</v>
      </c>
      <c r="L52">
        <v>32</v>
      </c>
      <c r="M52">
        <v>27</v>
      </c>
      <c r="P52" s="4" t="s">
        <v>29</v>
      </c>
      <c r="Q52" s="4">
        <v>0.73712299155347949</v>
      </c>
    </row>
    <row r="53" spans="1:24">
      <c r="B53" t="s">
        <v>65</v>
      </c>
      <c r="C53">
        <f>C46</f>
        <v>222.50693455612407</v>
      </c>
      <c r="D53">
        <f>B46</f>
        <v>0.54723736033770787</v>
      </c>
      <c r="K53">
        <v>308</v>
      </c>
      <c r="L53">
        <v>36</v>
      </c>
      <c r="M53">
        <v>14</v>
      </c>
      <c r="P53" s="4" t="s">
        <v>30</v>
      </c>
      <c r="Q53" s="4">
        <v>0.54335030467675094</v>
      </c>
    </row>
    <row r="54" spans="1:24">
      <c r="B54" t="s">
        <v>68</v>
      </c>
      <c r="C54" t="s">
        <v>69</v>
      </c>
      <c r="D54" t="s">
        <v>70</v>
      </c>
      <c r="K54">
        <v>319</v>
      </c>
      <c r="L54">
        <v>43</v>
      </c>
      <c r="M54">
        <v>18</v>
      </c>
      <c r="P54" s="4" t="s">
        <v>31</v>
      </c>
      <c r="Q54" s="4">
        <v>0.42918788084593862</v>
      </c>
    </row>
    <row r="55" spans="1:24">
      <c r="C55">
        <f>B47</f>
        <v>2.8202132028246107</v>
      </c>
      <c r="D55">
        <f>FINV(0.05, 3, 7)</f>
        <v>4.3468313999078179</v>
      </c>
      <c r="E55" t="str">
        <f>IF(D55 &gt; C55,"Незначимо","Значимо")</f>
        <v>Незначимо</v>
      </c>
      <c r="K55">
        <v>616</v>
      </c>
      <c r="L55">
        <v>59</v>
      </c>
      <c r="M55">
        <v>26</v>
      </c>
      <c r="P55" s="4" t="s">
        <v>32</v>
      </c>
      <c r="Q55" s="4">
        <v>209.02771427683928</v>
      </c>
    </row>
    <row r="56" spans="1:24" ht="15" thickBot="1">
      <c r="C56">
        <f>_xlfn.F.DIST.RT(C55,3,7)</f>
        <v>0.11681832664869529</v>
      </c>
      <c r="D56" t="str">
        <f>IF(C56 &gt; 0.05,"Незначимо","Значимо")</f>
        <v>Незначимо</v>
      </c>
      <c r="K56">
        <v>495</v>
      </c>
      <c r="L56">
        <v>63</v>
      </c>
      <c r="M56">
        <v>48</v>
      </c>
      <c r="P56" s="5" t="s">
        <v>33</v>
      </c>
      <c r="Q56" s="5">
        <v>11</v>
      </c>
    </row>
    <row r="57" spans="1:24">
      <c r="B57" t="s">
        <v>71</v>
      </c>
      <c r="C57" t="s">
        <v>72</v>
      </c>
      <c r="D57" t="s">
        <v>73</v>
      </c>
      <c r="E57" t="s">
        <v>16</v>
      </c>
      <c r="F57" t="s">
        <v>15</v>
      </c>
      <c r="K57">
        <v>825</v>
      </c>
      <c r="L57">
        <v>42</v>
      </c>
      <c r="M57">
        <v>23</v>
      </c>
    </row>
    <row r="58" spans="1:24" ht="15" thickBot="1">
      <c r="C58">
        <f>B45</f>
        <v>8.9416902429014087</v>
      </c>
      <c r="D58">
        <f t="shared" ref="D58:F58" si="0">C45</f>
        <v>7.4672954271016287</v>
      </c>
      <c r="E58">
        <f t="shared" si="0"/>
        <v>5.1764932273251247</v>
      </c>
      <c r="F58">
        <f t="shared" si="0"/>
        <v>227.52816282117871</v>
      </c>
      <c r="K58">
        <v>253</v>
      </c>
      <c r="L58">
        <v>34</v>
      </c>
      <c r="M58">
        <v>7</v>
      </c>
      <c r="P58" t="s">
        <v>34</v>
      </c>
    </row>
    <row r="59" spans="1:24">
      <c r="B59" t="s">
        <v>74</v>
      </c>
      <c r="C59">
        <f>B44/C58</f>
        <v>1.0111488267740634</v>
      </c>
      <c r="D59">
        <f t="shared" ref="D59:F59" si="1">C44/D58</f>
        <v>1.2502611291392911</v>
      </c>
      <c r="E59">
        <f t="shared" si="1"/>
        <v>-0.24514560308545613</v>
      </c>
      <c r="F59">
        <f>E44/F58</f>
        <v>-0.10527864219445394</v>
      </c>
      <c r="K59">
        <v>495</v>
      </c>
      <c r="L59">
        <v>26</v>
      </c>
      <c r="M59">
        <v>27</v>
      </c>
      <c r="P59" s="6"/>
      <c r="Q59" s="6" t="s">
        <v>38</v>
      </c>
      <c r="R59" s="6" t="s">
        <v>39</v>
      </c>
      <c r="S59" s="6" t="s">
        <v>40</v>
      </c>
      <c r="T59" s="6" t="s">
        <v>41</v>
      </c>
      <c r="U59" s="6" t="s">
        <v>42</v>
      </c>
    </row>
    <row r="60" spans="1:24">
      <c r="B60" t="s">
        <v>75</v>
      </c>
      <c r="C60" t="str">
        <f>IF($B$61 &gt; C59, "Незначим","Значим")</f>
        <v>Незначим</v>
      </c>
      <c r="D60" t="str">
        <f t="shared" ref="D60:F60" si="2">IF($B$61 &gt; D59, "Незначим","Значим")</f>
        <v>Незначим</v>
      </c>
      <c r="E60" t="str">
        <f t="shared" si="2"/>
        <v>Незначим</v>
      </c>
      <c r="F60" t="str">
        <f t="shared" si="2"/>
        <v>Незначим</v>
      </c>
      <c r="K60">
        <v>1056</v>
      </c>
      <c r="L60">
        <v>75</v>
      </c>
      <c r="M60">
        <v>36</v>
      </c>
      <c r="P60" s="4" t="s">
        <v>26</v>
      </c>
      <c r="Q60" s="4">
        <v>2</v>
      </c>
      <c r="R60" s="4">
        <v>415905.31731360033</v>
      </c>
      <c r="S60" s="4">
        <v>207952.65865680017</v>
      </c>
      <c r="T60" s="4">
        <v>4.7594496196225782</v>
      </c>
      <c r="U60" s="4">
        <v>4.3484320585355285E-2</v>
      </c>
    </row>
    <row r="61" spans="1:24">
      <c r="A61" t="s">
        <v>76</v>
      </c>
      <c r="B61">
        <f>TINV(0.05,7)</f>
        <v>2.3646242515927849</v>
      </c>
      <c r="K61">
        <v>902</v>
      </c>
      <c r="L61">
        <v>56</v>
      </c>
      <c r="M61">
        <v>43</v>
      </c>
      <c r="P61" s="4" t="s">
        <v>35</v>
      </c>
      <c r="Q61" s="4">
        <v>8</v>
      </c>
      <c r="R61" s="4">
        <v>349540.68268639967</v>
      </c>
      <c r="S61" s="4">
        <v>43692.585335799959</v>
      </c>
      <c r="T61" s="4"/>
      <c r="U61" s="4"/>
    </row>
    <row r="62" spans="1:24" ht="15" thickBot="1">
      <c r="A62" t="s">
        <v>77</v>
      </c>
      <c r="B62" t="s">
        <v>78</v>
      </c>
      <c r="K62" t="s">
        <v>17</v>
      </c>
      <c r="L62" t="s">
        <v>16</v>
      </c>
      <c r="M62" t="s">
        <v>15</v>
      </c>
      <c r="P62" s="5" t="s">
        <v>36</v>
      </c>
      <c r="Q62" s="5">
        <v>10</v>
      </c>
      <c r="R62" s="5">
        <v>765446</v>
      </c>
      <c r="S62" s="5"/>
      <c r="T62" s="5"/>
      <c r="U62" s="5"/>
    </row>
    <row r="63" spans="1:24" ht="15" thickBot="1">
      <c r="B63" t="s">
        <v>79</v>
      </c>
      <c r="C63">
        <f>B44-$B$61*C58</f>
        <v>-12.102358000108403</v>
      </c>
      <c r="D63">
        <f t="shared" ref="D63:F63" si="3">C44-$B$61*D58</f>
        <v>-8.3212786484276666</v>
      </c>
      <c r="E63">
        <f t="shared" si="3"/>
        <v>-13.50945597761919</v>
      </c>
      <c r="F63">
        <f t="shared" si="3"/>
        <v>-561.97246777012333</v>
      </c>
      <c r="K63" cm="1">
        <f t="array" ref="K63:M67">LINEST(K51:K61,L51:M61,TRUE,TRUE)</f>
        <v>7.5867640668893941</v>
      </c>
      <c r="L63">
        <v>8.230647421900434</v>
      </c>
      <c r="M63">
        <v>-31.4650702533539</v>
      </c>
    </row>
    <row r="64" spans="1:24">
      <c r="B64" t="s">
        <v>80</v>
      </c>
      <c r="C64">
        <f>B45+$B$61*C59</f>
        <v>11.332677280660951</v>
      </c>
      <c r="D64">
        <f t="shared" ref="D64:F64" si="4">C45+$B$61*D59</f>
        <v>10.423693213888175</v>
      </c>
      <c r="E64">
        <f t="shared" si="4"/>
        <v>4.5968159890979159</v>
      </c>
      <c r="F64">
        <f t="shared" si="4"/>
        <v>227.27921839067093</v>
      </c>
      <c r="K64">
        <v>6.2839667085303219</v>
      </c>
      <c r="L64">
        <v>5.5915054654484804</v>
      </c>
      <c r="M64">
        <v>211.79783511224269</v>
      </c>
      <c r="P64" s="6"/>
      <c r="Q64" s="6" t="s">
        <v>43</v>
      </c>
      <c r="R64" s="6" t="s">
        <v>32</v>
      </c>
      <c r="S64" s="6" t="s">
        <v>44</v>
      </c>
      <c r="T64" s="6" t="s">
        <v>45</v>
      </c>
      <c r="U64" s="6" t="s">
        <v>46</v>
      </c>
      <c r="V64" s="6" t="s">
        <v>47</v>
      </c>
      <c r="W64" s="6" t="s">
        <v>48</v>
      </c>
      <c r="X64" s="6" t="s">
        <v>49</v>
      </c>
    </row>
    <row r="65" spans="1:24">
      <c r="C65" t="s">
        <v>81</v>
      </c>
      <c r="D65" t="s">
        <v>81</v>
      </c>
      <c r="E65" t="s">
        <v>81</v>
      </c>
      <c r="F65" t="s">
        <v>81</v>
      </c>
      <c r="K65">
        <v>0.54335030467675094</v>
      </c>
      <c r="L65">
        <v>209.02771427683928</v>
      </c>
      <c r="M65" t="e">
        <v>#N/A</v>
      </c>
      <c r="P65" s="4" t="s">
        <v>37</v>
      </c>
      <c r="Q65" s="4">
        <v>-31.4650702533539</v>
      </c>
      <c r="R65" s="4">
        <v>211.79783511224269</v>
      </c>
      <c r="S65" s="4">
        <v>-0.14856181243155259</v>
      </c>
      <c r="T65" s="4">
        <v>0.88557590303302958</v>
      </c>
      <c r="U65" s="4">
        <v>-519.87175384947591</v>
      </c>
      <c r="V65" s="4">
        <v>456.94161334276805</v>
      </c>
      <c r="W65" s="4">
        <v>-519.87175384947591</v>
      </c>
      <c r="X65" s="4">
        <v>456.94161334276805</v>
      </c>
    </row>
    <row r="66" spans="1:24">
      <c r="B66" t="s">
        <v>82</v>
      </c>
      <c r="C66" s="8" t="s">
        <v>86</v>
      </c>
      <c r="D66" t="s">
        <v>85</v>
      </c>
      <c r="E66" t="s">
        <v>84</v>
      </c>
      <c r="K66">
        <v>4.7594496196225782</v>
      </c>
      <c r="L66">
        <v>8</v>
      </c>
      <c r="M66" t="e">
        <v>#N/A</v>
      </c>
      <c r="P66" s="4" t="s">
        <v>50</v>
      </c>
      <c r="Q66" s="4">
        <v>8.230647421900434</v>
      </c>
      <c r="R66" s="4">
        <v>5.5915054654484804</v>
      </c>
      <c r="S66" s="4">
        <v>1.4719913040879546</v>
      </c>
      <c r="T66" s="4">
        <v>0.17923681943493106</v>
      </c>
      <c r="U66" s="4">
        <v>-4.6633873034404623</v>
      </c>
      <c r="V66" s="4">
        <v>21.12468214724133</v>
      </c>
      <c r="W66" s="4">
        <v>-4.6633873034404623</v>
      </c>
      <c r="X66" s="4">
        <v>21.12468214724133</v>
      </c>
    </row>
    <row r="67" spans="1:24" ht="15" thickBot="1">
      <c r="A67" t="s">
        <v>76</v>
      </c>
      <c r="B67" t="s">
        <v>83</v>
      </c>
      <c r="C67">
        <f>STDEV(C3:C13)/STDEV(B3:B13)*D44</f>
        <v>-0.13348000518570627</v>
      </c>
      <c r="D67">
        <f>STDEV(D3:D13)/STDEV(B3:B13)*C44</f>
        <v>0.50949458395648428</v>
      </c>
      <c r="E67">
        <f>STDEV(E3:E13)/STDEV(B3:B13)*B44</f>
        <v>0.43904101178707988</v>
      </c>
      <c r="K67">
        <v>415905.31731360033</v>
      </c>
      <c r="L67">
        <v>349540.68268639967</v>
      </c>
      <c r="M67" t="e">
        <v>#N/A</v>
      </c>
      <c r="P67" s="5" t="s">
        <v>51</v>
      </c>
      <c r="Q67" s="5">
        <v>7.5867640668893941</v>
      </c>
      <c r="R67" s="5">
        <v>6.2839667085303219</v>
      </c>
      <c r="S67" s="5">
        <v>1.2073208562022708</v>
      </c>
      <c r="T67" s="5">
        <v>0.2617899355596951</v>
      </c>
      <c r="U67" s="5">
        <v>-6.9040891484668467</v>
      </c>
      <c r="V67" s="5">
        <v>22.077617282245633</v>
      </c>
      <c r="W67" s="5">
        <v>-6.9040891484668467</v>
      </c>
      <c r="X67" s="5">
        <v>22.077617282245633</v>
      </c>
    </row>
    <row r="68" spans="1:24">
      <c r="A68" t="s">
        <v>77</v>
      </c>
      <c r="B68" t="s">
        <v>44</v>
      </c>
      <c r="C68">
        <f>ABS(E59)</f>
        <v>0.24514560308545613</v>
      </c>
      <c r="D68">
        <f>ABS(D59)</f>
        <v>1.2502611291392911</v>
      </c>
      <c r="E68">
        <f>ABS(C59)</f>
        <v>1.0111488267740634</v>
      </c>
      <c r="K68" t="s">
        <v>109</v>
      </c>
    </row>
    <row r="69" spans="1:24">
      <c r="A69" t="s">
        <v>87</v>
      </c>
      <c r="B69" t="s">
        <v>88</v>
      </c>
      <c r="C69">
        <f>CORREL($B3:$B13, C3:C13)</f>
        <v>0.62026535401285021</v>
      </c>
      <c r="D69">
        <f t="shared" ref="D69:E69" si="5">CORREL($B3:$B13, D3:D13)</f>
        <v>0.67834163975714457</v>
      </c>
      <c r="E69">
        <f t="shared" si="5"/>
        <v>0.64781873183493166</v>
      </c>
      <c r="K69" t="s">
        <v>110</v>
      </c>
      <c r="M69" t="s">
        <v>111</v>
      </c>
      <c r="N69" t="s">
        <v>112</v>
      </c>
    </row>
    <row r="70" spans="1:24">
      <c r="A70" t="s">
        <v>89</v>
      </c>
      <c r="B70" t="s">
        <v>90</v>
      </c>
      <c r="C70">
        <f>STDEV(C3:C13)*D44</f>
        <v>-36.929505625859122</v>
      </c>
      <c r="D70">
        <f>STDEV(D3:D13)*C44</f>
        <v>140.96031145929703</v>
      </c>
      <c r="E70">
        <f>STDEV(E3:E13)*B44</f>
        <v>121.46813668621346</v>
      </c>
      <c r="K70" t="s">
        <v>120</v>
      </c>
      <c r="L70" t="s">
        <v>15</v>
      </c>
      <c r="M70" s="4">
        <v>-0.14856181243155259</v>
      </c>
      <c r="N70" s="4">
        <v>0.88557590303302958</v>
      </c>
    </row>
    <row r="71" spans="1:24">
      <c r="B71" t="s">
        <v>91</v>
      </c>
      <c r="K71">
        <f>_xlfn.T.INV.2T(0.05,8)</f>
        <v>2.3060041352041671</v>
      </c>
      <c r="L71" t="s">
        <v>16</v>
      </c>
      <c r="M71" s="4">
        <v>1.4719913040879546</v>
      </c>
      <c r="N71" s="4">
        <v>0.17923681943493106</v>
      </c>
      <c r="P71" t="s">
        <v>53</v>
      </c>
    </row>
    <row r="72" spans="1:24" ht="15" thickBot="1">
      <c r="B72" t="s">
        <v>92</v>
      </c>
      <c r="L72" t="s">
        <v>17</v>
      </c>
      <c r="M72" s="5">
        <v>1.2073208562022708</v>
      </c>
      <c r="N72" s="5">
        <v>0.2617899355596951</v>
      </c>
    </row>
    <row r="73" spans="1:24">
      <c r="B73" t="s">
        <v>27</v>
      </c>
      <c r="K73" t="s">
        <v>113</v>
      </c>
      <c r="P73" s="6" t="s">
        <v>54</v>
      </c>
      <c r="Q73" s="6" t="s">
        <v>55</v>
      </c>
      <c r="R73" s="6" t="s">
        <v>56</v>
      </c>
    </row>
    <row r="74" spans="1:24" ht="15" thickBot="1">
      <c r="K74" t="s">
        <v>114</v>
      </c>
      <c r="P74" s="4">
        <v>1</v>
      </c>
      <c r="Q74" s="4">
        <v>367.32946993469005</v>
      </c>
      <c r="R74" s="4">
        <v>-81.329469934690053</v>
      </c>
    </row>
    <row r="75" spans="1:24">
      <c r="B75" s="7" t="s">
        <v>28</v>
      </c>
      <c r="C75" s="7"/>
      <c r="K75" t="s">
        <v>115</v>
      </c>
      <c r="L75">
        <f>K65</f>
        <v>0.54335030467675094</v>
      </c>
      <c r="P75" s="4">
        <v>2</v>
      </c>
      <c r="Q75" s="4">
        <v>436.75827705347365</v>
      </c>
      <c r="R75" s="4">
        <v>-62.758277053473648</v>
      </c>
    </row>
    <row r="76" spans="1:24">
      <c r="B76" s="4" t="s">
        <v>29</v>
      </c>
      <c r="C76" s="4">
        <v>0.73975493262141068</v>
      </c>
      <c r="K76" t="s">
        <v>116</v>
      </c>
      <c r="P76" s="4">
        <v>3</v>
      </c>
      <c r="Q76" s="4">
        <v>371.05293387151318</v>
      </c>
      <c r="R76" s="4">
        <v>-63.052933871513176</v>
      </c>
    </row>
    <row r="77" spans="1:24">
      <c r="B77" s="4" t="s">
        <v>30</v>
      </c>
      <c r="C77" s="4">
        <v>0.54723736033770787</v>
      </c>
      <c r="K77" t="s">
        <v>117</v>
      </c>
      <c r="P77" s="4">
        <v>4</v>
      </c>
      <c r="Q77" s="4">
        <v>459.01452209237385</v>
      </c>
      <c r="R77" s="4">
        <v>-140.01452209237385</v>
      </c>
    </row>
    <row r="78" spans="1:24">
      <c r="B78" s="4" t="s">
        <v>31</v>
      </c>
      <c r="C78" s="4">
        <v>0.35319622905386844</v>
      </c>
      <c r="K78" t="s">
        <v>118</v>
      </c>
      <c r="L78" t="s">
        <v>119</v>
      </c>
      <c r="P78" s="4">
        <v>5</v>
      </c>
      <c r="Q78" s="4">
        <v>651.39899337789598</v>
      </c>
      <c r="R78" s="4">
        <v>-35.398993377895977</v>
      </c>
    </row>
    <row r="79" spans="1:24">
      <c r="B79" s="4" t="s">
        <v>32</v>
      </c>
      <c r="C79" s="4">
        <v>222.50693455612407</v>
      </c>
      <c r="K79">
        <f>K66</f>
        <v>4.7594496196225782</v>
      </c>
      <c r="L79">
        <f>FINV(0.05,2,8)</f>
        <v>4.4589701075245118</v>
      </c>
      <c r="P79" s="4">
        <v>6</v>
      </c>
      <c r="Q79" s="4">
        <v>851.23039253706429</v>
      </c>
      <c r="R79" s="4">
        <v>-356.23039253706429</v>
      </c>
    </row>
    <row r="80" spans="1:24" ht="15" thickBot="1">
      <c r="B80" s="5" t="s">
        <v>33</v>
      </c>
      <c r="C80" s="5">
        <v>11</v>
      </c>
      <c r="K80" t="s">
        <v>121</v>
      </c>
      <c r="L80" t="str">
        <f>IF(K79&gt;L79,"Значимо","Незначимо")</f>
        <v>Значимо</v>
      </c>
      <c r="P80" s="4">
        <v>7</v>
      </c>
      <c r="Q80" s="4">
        <v>488.7176950049203</v>
      </c>
      <c r="R80" s="4">
        <v>336.2823049950797</v>
      </c>
    </row>
    <row r="81" spans="2:18">
      <c r="K81" t="s">
        <v>122</v>
      </c>
      <c r="P81" s="4">
        <v>8</v>
      </c>
      <c r="Q81" s="4">
        <v>301.48429055948662</v>
      </c>
      <c r="R81" s="4">
        <v>-48.484290559486624</v>
      </c>
    </row>
    <row r="82" spans="2:18" ht="15" thickBot="1">
      <c r="B82" t="s">
        <v>34</v>
      </c>
      <c r="K82" t="s">
        <v>123</v>
      </c>
      <c r="P82" s="4">
        <v>9</v>
      </c>
      <c r="Q82" s="4">
        <v>387.37439252207105</v>
      </c>
      <c r="R82" s="4">
        <v>107.62560747792895</v>
      </c>
    </row>
    <row r="83" spans="2:18">
      <c r="B83" s="6"/>
      <c r="C83" s="6" t="s">
        <v>38</v>
      </c>
      <c r="D83" s="6" t="s">
        <v>39</v>
      </c>
      <c r="E83" s="6" t="s">
        <v>40</v>
      </c>
      <c r="F83" s="6" t="s">
        <v>41</v>
      </c>
      <c r="G83" s="6" t="s">
        <v>42</v>
      </c>
      <c r="K83" t="s">
        <v>124</v>
      </c>
      <c r="P83" s="4">
        <v>10</v>
      </c>
      <c r="Q83" s="4">
        <v>858.95699279719679</v>
      </c>
      <c r="R83" s="4">
        <v>197.04300720280321</v>
      </c>
    </row>
    <row r="84" spans="2:18" ht="15" thickBot="1">
      <c r="B84" s="4" t="s">
        <v>26</v>
      </c>
      <c r="C84" s="4">
        <v>3</v>
      </c>
      <c r="D84" s="4">
        <v>418880.6485210571</v>
      </c>
      <c r="E84" s="4">
        <v>139626.88284035237</v>
      </c>
      <c r="F84" s="4">
        <v>2.8202132028246107</v>
      </c>
      <c r="G84" s="4">
        <v>0.11681832664869529</v>
      </c>
      <c r="K84" t="s">
        <v>125</v>
      </c>
      <c r="M84">
        <f>Q55</f>
        <v>209.02771427683928</v>
      </c>
      <c r="P84" s="5">
        <v>11</v>
      </c>
      <c r="Q84" s="5">
        <v>755.68204024931435</v>
      </c>
      <c r="R84" s="5">
        <v>146.31795975068565</v>
      </c>
    </row>
    <row r="85" spans="2:18">
      <c r="B85" s="4" t="s">
        <v>35</v>
      </c>
      <c r="C85" s="4">
        <v>7</v>
      </c>
      <c r="D85" s="4">
        <v>346565.3514789429</v>
      </c>
      <c r="E85" s="4">
        <v>49509.335925563275</v>
      </c>
      <c r="F85" s="4"/>
      <c r="G85" s="4"/>
      <c r="K85" t="s">
        <v>126</v>
      </c>
    </row>
    <row r="86" spans="2:18" ht="15" thickBot="1">
      <c r="B86" s="5" t="s">
        <v>36</v>
      </c>
      <c r="C86" s="5">
        <v>10</v>
      </c>
      <c r="D86" s="5">
        <v>765446</v>
      </c>
      <c r="E86" s="5"/>
      <c r="F86" s="5"/>
      <c r="G86" s="5"/>
      <c r="K86" t="s">
        <v>127</v>
      </c>
    </row>
    <row r="87" spans="2:18" ht="15" thickBot="1">
      <c r="K87" t="s">
        <v>128</v>
      </c>
    </row>
    <row r="88" spans="2:18">
      <c r="B88" s="6"/>
      <c r="C88" s="6" t="s">
        <v>43</v>
      </c>
      <c r="D88" s="6" t="s">
        <v>32</v>
      </c>
      <c r="E88" s="6" t="s">
        <v>44</v>
      </c>
      <c r="F88" s="6" t="s">
        <v>45</v>
      </c>
      <c r="G88" s="6" t="s">
        <v>46</v>
      </c>
      <c r="H88" s="6" t="s">
        <v>47</v>
      </c>
      <c r="I88" s="6" t="s">
        <v>48</v>
      </c>
      <c r="J88" s="6" t="s">
        <v>49</v>
      </c>
      <c r="K88" s="9" t="s">
        <v>129</v>
      </c>
      <c r="M88" s="9" t="s">
        <v>133</v>
      </c>
      <c r="N88" s="9" t="s">
        <v>134</v>
      </c>
      <c r="O88" s="9" t="s">
        <v>135</v>
      </c>
    </row>
    <row r="89" spans="2:18">
      <c r="B89" s="4" t="s">
        <v>37</v>
      </c>
      <c r="C89" s="4">
        <v>-23.953856042812333</v>
      </c>
      <c r="D89" s="4">
        <v>227.52816282117871</v>
      </c>
      <c r="E89" s="4">
        <v>-0.10527864219445394</v>
      </c>
      <c r="F89" s="4">
        <v>0.91910797654179155</v>
      </c>
      <c r="G89" s="4">
        <v>-561.97246777012333</v>
      </c>
      <c r="H89" s="4">
        <v>514.06475568449878</v>
      </c>
      <c r="I89" s="4">
        <v>-561.97246777012333</v>
      </c>
      <c r="J89" s="4">
        <v>514.06475568449878</v>
      </c>
      <c r="K89" t="s">
        <v>130</v>
      </c>
      <c r="M89" t="s">
        <v>131</v>
      </c>
      <c r="N89" s="10">
        <f>L63</f>
        <v>8.230647421900434</v>
      </c>
      <c r="O89">
        <f>K90</f>
        <v>3.8007636363636363</v>
      </c>
    </row>
    <row r="90" spans="2:18">
      <c r="B90" s="4" t="s">
        <v>50</v>
      </c>
      <c r="C90" s="4">
        <v>-1.2689945540803969</v>
      </c>
      <c r="D90" s="4">
        <v>5.1764932273251247</v>
      </c>
      <c r="E90" s="4">
        <v>-0.24514560308545613</v>
      </c>
      <c r="F90" s="4">
        <v>0.81337528766246969</v>
      </c>
      <c r="G90" s="4">
        <v>-13.50945597761919</v>
      </c>
      <c r="H90" s="4">
        <v>10.971466869458396</v>
      </c>
      <c r="I90" s="4">
        <v>-13.50945597761919</v>
      </c>
      <c r="J90" s="4">
        <v>10.971466869458396</v>
      </c>
      <c r="K90">
        <f>8.23*AVERAGE(L51:L61)*0.01</f>
        <v>3.8007636363636363</v>
      </c>
      <c r="M90" t="s">
        <v>132</v>
      </c>
      <c r="N90">
        <f>K63</f>
        <v>7.5867640668893941</v>
      </c>
      <c r="O90">
        <f>K91</f>
        <v>1.9044000000000001</v>
      </c>
    </row>
    <row r="91" spans="2:18">
      <c r="B91" s="4" t="s">
        <v>51</v>
      </c>
      <c r="C91" s="4">
        <v>9.3360692123047482</v>
      </c>
      <c r="D91" s="4">
        <v>7.4672954271016287</v>
      </c>
      <c r="E91" s="4">
        <v>1.2502611291392911</v>
      </c>
      <c r="F91" s="4">
        <v>0.25137809994028898</v>
      </c>
      <c r="G91" s="4">
        <v>-8.3212786484276666</v>
      </c>
      <c r="H91" s="4">
        <v>26.993417073037165</v>
      </c>
      <c r="I91" s="4">
        <v>-8.3212786484276666</v>
      </c>
      <c r="J91" s="4">
        <v>26.993417073037165</v>
      </c>
      <c r="K91">
        <f>7.59*AVERAGE(M51:M61)*0.01</f>
        <v>1.9044000000000001</v>
      </c>
    </row>
    <row r="92" spans="2:18" ht="15" thickBot="1">
      <c r="B92" s="5" t="s">
        <v>52</v>
      </c>
      <c r="C92" s="5">
        <v>9.0413795984868486</v>
      </c>
      <c r="D92" s="5">
        <v>8.9416902429014087</v>
      </c>
      <c r="E92" s="5">
        <v>1.0111488267740634</v>
      </c>
      <c r="F92" s="5">
        <v>0.34561266559671977</v>
      </c>
      <c r="G92" s="5">
        <v>-12.102358000108403</v>
      </c>
      <c r="H92" s="5">
        <v>30.1851171970821</v>
      </c>
      <c r="I92" s="5">
        <v>-12.102358000108403</v>
      </c>
      <c r="J92" s="5">
        <v>30.1851171970821</v>
      </c>
    </row>
    <row r="96" spans="2:18">
      <c r="B96" t="s">
        <v>53</v>
      </c>
    </row>
    <row r="97" spans="2:4" ht="15" thickBot="1"/>
    <row r="98" spans="2:4">
      <c r="B98" s="6" t="s">
        <v>54</v>
      </c>
      <c r="C98" s="6" t="s">
        <v>55</v>
      </c>
      <c r="D98" s="6" t="s">
        <v>56</v>
      </c>
    </row>
    <row r="99" spans="2:4">
      <c r="B99" s="4">
        <v>1</v>
      </c>
      <c r="C99" s="4">
        <v>345.15907838592807</v>
      </c>
      <c r="D99" s="4">
        <v>-59.159078385928069</v>
      </c>
    </row>
    <row r="100" spans="2:4">
      <c r="B100" s="4">
        <v>2</v>
      </c>
      <c r="C100" s="4">
        <v>461.81285297646662</v>
      </c>
      <c r="D100" s="4">
        <v>-87.812852976466615</v>
      </c>
    </row>
    <row r="101" spans="2:4">
      <c r="B101" s="4">
        <v>3</v>
      </c>
      <c r="C101" s="4">
        <v>363.85327128823104</v>
      </c>
      <c r="D101" s="4">
        <v>-55.853271288231042</v>
      </c>
    </row>
    <row r="102" spans="2:4">
      <c r="B102" s="4">
        <v>4</v>
      </c>
      <c r="C102" s="4">
        <v>461.56429050607051</v>
      </c>
      <c r="D102" s="4">
        <v>-142.56429050607051</v>
      </c>
    </row>
    <row r="103" spans="2:4">
      <c r="B103" s="4">
        <v>5</v>
      </c>
      <c r="C103" s="4">
        <v>670.58248915003719</v>
      </c>
      <c r="D103" s="4">
        <v>-54.58248915003719</v>
      </c>
    </row>
    <row r="104" spans="2:4">
      <c r="B104" s="4">
        <v>6</v>
      </c>
      <c r="C104" s="4">
        <v>835.77342213746465</v>
      </c>
      <c r="D104" s="4">
        <v>-340.77342213746465</v>
      </c>
    </row>
    <row r="105" spans="2:4">
      <c r="B105" s="4">
        <v>7</v>
      </c>
      <c r="C105" s="4">
        <v>477.13120642091366</v>
      </c>
      <c r="D105" s="4">
        <v>347.86879357908634</v>
      </c>
    </row>
    <row r="106" spans="2:4">
      <c r="B106" s="4">
        <v>8</v>
      </c>
      <c r="C106" s="4">
        <v>303.46438309358041</v>
      </c>
      <c r="D106" s="4">
        <v>-50.464383093580409</v>
      </c>
    </row>
    <row r="107" spans="2:4">
      <c r="B107" s="4">
        <v>9</v>
      </c>
      <c r="C107" s="4">
        <v>396.91347582407536</v>
      </c>
      <c r="D107" s="4">
        <v>98.086524175924637</v>
      </c>
    </row>
    <row r="108" spans="2:4">
      <c r="B108" s="4">
        <v>10</v>
      </c>
      <c r="C108" s="4">
        <v>879.91752323385231</v>
      </c>
      <c r="D108" s="4">
        <v>176.08247676614769</v>
      </c>
    </row>
    <row r="109" spans="2:4" ht="15" thickBot="1">
      <c r="B109" s="5">
        <v>11</v>
      </c>
      <c r="C109" s="5">
        <v>732.82800698337974</v>
      </c>
      <c r="D109" s="5">
        <v>169.17199301662026</v>
      </c>
    </row>
    <row r="111" spans="2:4">
      <c r="B111" t="s">
        <v>93</v>
      </c>
    </row>
    <row r="112" spans="2:4">
      <c r="B112" t="s">
        <v>94</v>
      </c>
    </row>
    <row r="129" spans="2:2">
      <c r="B129" t="s">
        <v>95</v>
      </c>
    </row>
    <row r="156" spans="2:5">
      <c r="B156" t="s">
        <v>96</v>
      </c>
      <c r="C156" t="s">
        <v>98</v>
      </c>
      <c r="D156" t="s">
        <v>97</v>
      </c>
      <c r="E156" t="s">
        <v>99</v>
      </c>
    </row>
    <row r="157" spans="2:5">
      <c r="B157" s="4">
        <v>-59.159078385928069</v>
      </c>
      <c r="C157">
        <f>_xlfn.NORM.S.INV((E157-0.5)/11)</f>
        <v>-1.6906216295848977</v>
      </c>
      <c r="D157" cm="1">
        <f t="array" ref="D157:D167">_xlfn._xlws.SORT(B157:B167)</f>
        <v>-340.77342213746465</v>
      </c>
      <c r="E157">
        <v>1</v>
      </c>
    </row>
    <row r="158" spans="2:5">
      <c r="B158" s="4">
        <v>-87.812852976466615</v>
      </c>
      <c r="C158">
        <f>_xlfn.NORM.S.INV((E158-0.5)/11)</f>
        <v>-1.096803562093513</v>
      </c>
      <c r="D158">
        <v>-142.56429050607051</v>
      </c>
      <c r="E158">
        <v>2</v>
      </c>
    </row>
    <row r="159" spans="2:5">
      <c r="B159" s="4">
        <v>-55.853271288231042</v>
      </c>
      <c r="C159">
        <f>_xlfn.NORM.S.INV((E159-0.5)/11)</f>
        <v>-0.74785859476330196</v>
      </c>
      <c r="D159">
        <v>-87.812852976466615</v>
      </c>
      <c r="E159">
        <v>3</v>
      </c>
    </row>
    <row r="160" spans="2:5">
      <c r="B160" s="4">
        <v>-142.56429050607051</v>
      </c>
      <c r="C160">
        <f>_xlfn.NORM.S.INV((E160-0.5)/11)</f>
        <v>-0.47278912099226744</v>
      </c>
      <c r="D160">
        <v>-59.159078385928069</v>
      </c>
      <c r="E160">
        <v>4</v>
      </c>
    </row>
    <row r="161" spans="2:5">
      <c r="B161" s="4">
        <v>-54.58248915003719</v>
      </c>
      <c r="C161">
        <f>_xlfn.NORM.S.INV((E161-0.5)/11)</f>
        <v>-0.22988411757923208</v>
      </c>
      <c r="D161">
        <v>-55.853271288231042</v>
      </c>
      <c r="E161">
        <v>5</v>
      </c>
    </row>
    <row r="162" spans="2:5">
      <c r="B162" s="4">
        <v>-340.77342213746465</v>
      </c>
      <c r="C162">
        <f>_xlfn.NORM.S.INV((E162-0.5)/11)</f>
        <v>0</v>
      </c>
      <c r="D162">
        <v>-54.58248915003719</v>
      </c>
      <c r="E162">
        <v>6</v>
      </c>
    </row>
    <row r="163" spans="2:5">
      <c r="B163" s="4">
        <v>347.86879357908634</v>
      </c>
      <c r="C163">
        <f>_xlfn.NORM.S.INV((E163-0.5)/11)</f>
        <v>0.22988411757923222</v>
      </c>
      <c r="D163">
        <v>-50.464383093580409</v>
      </c>
      <c r="E163">
        <v>7</v>
      </c>
    </row>
    <row r="164" spans="2:5">
      <c r="B164" s="4">
        <v>-50.464383093580409</v>
      </c>
      <c r="C164">
        <f>_xlfn.NORM.S.INV((E164-0.5)/11)</f>
        <v>0.47278912099226728</v>
      </c>
      <c r="D164">
        <v>98.086524175924637</v>
      </c>
      <c r="E164">
        <v>8</v>
      </c>
    </row>
    <row r="165" spans="2:5">
      <c r="B165" s="4">
        <v>98.086524175924637</v>
      </c>
      <c r="C165">
        <f>_xlfn.NORM.S.INV((E165-0.5)/11)</f>
        <v>0.74785859476330196</v>
      </c>
      <c r="D165">
        <v>169.17199301662026</v>
      </c>
      <c r="E165">
        <v>9</v>
      </c>
    </row>
    <row r="166" spans="2:5">
      <c r="B166" s="4">
        <v>176.08247676614769</v>
      </c>
      <c r="C166">
        <f>_xlfn.NORM.S.INV((E166-0.5)/11)</f>
        <v>1.096803562093513</v>
      </c>
      <c r="D166">
        <v>176.08247676614769</v>
      </c>
      <c r="E166">
        <v>10</v>
      </c>
    </row>
    <row r="167" spans="2:5" ht="15" thickBot="1">
      <c r="B167" s="5">
        <v>169.17199301662026</v>
      </c>
      <c r="C167">
        <f>_xlfn.NORM.S.INV((E167-0.5)/11)</f>
        <v>1.6906216295848984</v>
      </c>
      <c r="D167">
        <v>347.86879357908634</v>
      </c>
      <c r="E167">
        <v>11</v>
      </c>
    </row>
    <row r="184" spans="1:4">
      <c r="A184" t="s">
        <v>104</v>
      </c>
      <c r="B184" t="s">
        <v>100</v>
      </c>
      <c r="D184" t="s">
        <v>101</v>
      </c>
    </row>
    <row r="185" spans="1:4">
      <c r="A185">
        <v>1</v>
      </c>
      <c r="B185" s="4">
        <v>-59.159078385928069</v>
      </c>
      <c r="C185">
        <f>(B186-B185)^2</f>
        <v>821.03879828539243</v>
      </c>
      <c r="D185">
        <f>SUM(C185:C194)</f>
        <v>760103.21836967615</v>
      </c>
    </row>
    <row r="186" spans="1:4">
      <c r="A186">
        <v>2</v>
      </c>
      <c r="B186" s="4">
        <v>-87.812852976466615</v>
      </c>
      <c r="C186">
        <f t="shared" ref="C186:C194" si="6">(B187-B186)^2</f>
        <v>1021.4148616870026</v>
      </c>
      <c r="D186" t="s">
        <v>102</v>
      </c>
    </row>
    <row r="187" spans="1:4">
      <c r="A187">
        <v>3</v>
      </c>
      <c r="B187" s="4">
        <v>-55.853271288231042</v>
      </c>
      <c r="C187">
        <f t="shared" si="6"/>
        <v>7518.8008537965252</v>
      </c>
      <c r="D187">
        <f>SUMSQ(B185:B195)</f>
        <v>346565.35147894279</v>
      </c>
    </row>
    <row r="188" spans="1:4">
      <c r="A188">
        <v>4</v>
      </c>
      <c r="B188" s="4">
        <v>-142.56429050607051</v>
      </c>
      <c r="C188">
        <f t="shared" si="6"/>
        <v>7740.7973698525057</v>
      </c>
      <c r="D188" t="s">
        <v>103</v>
      </c>
    </row>
    <row r="189" spans="1:4">
      <c r="A189">
        <v>5</v>
      </c>
      <c r="B189" s="4">
        <v>-54.58248915003719</v>
      </c>
      <c r="C189">
        <f t="shared" si="6"/>
        <v>81905.250124214188</v>
      </c>
      <c r="D189">
        <f>D185/D187</f>
        <v>2.1932464256048396</v>
      </c>
    </row>
    <row r="190" spans="1:4">
      <c r="A190">
        <v>6</v>
      </c>
      <c r="B190" s="4">
        <v>-340.77342213746465</v>
      </c>
      <c r="C190">
        <f t="shared" si="6"/>
        <v>474228.10126700066</v>
      </c>
    </row>
    <row r="191" spans="1:4">
      <c r="A191">
        <v>7</v>
      </c>
      <c r="B191" s="4">
        <v>347.86879357908634</v>
      </c>
      <c r="C191">
        <f t="shared" si="6"/>
        <v>158669.31963813794</v>
      </c>
    </row>
    <row r="192" spans="1:4">
      <c r="A192">
        <v>8</v>
      </c>
      <c r="B192" s="4">
        <v>-50.464383093580409</v>
      </c>
      <c r="C192">
        <f t="shared" si="6"/>
        <v>22067.372050593087</v>
      </c>
    </row>
    <row r="193" spans="1:3">
      <c r="A193">
        <v>9</v>
      </c>
      <c r="B193" s="4">
        <v>98.086524175924637</v>
      </c>
      <c r="C193">
        <f t="shared" si="6"/>
        <v>6083.3686204563228</v>
      </c>
    </row>
    <row r="194" spans="1:3">
      <c r="A194">
        <v>10</v>
      </c>
      <c r="B194" s="4">
        <v>176.08247676614769</v>
      </c>
      <c r="C194">
        <f t="shared" si="6"/>
        <v>47.754785652482681</v>
      </c>
    </row>
    <row r="195" spans="1:3" ht="15" thickBot="1">
      <c r="A195">
        <v>11</v>
      </c>
      <c r="B195" s="5">
        <v>169.17199301662026</v>
      </c>
    </row>
    <row r="212" spans="2:2">
      <c r="B212" t="s">
        <v>105</v>
      </c>
    </row>
    <row r="213" spans="2:2">
      <c r="B213" t="s">
        <v>106</v>
      </c>
    </row>
    <row r="214" spans="2:2">
      <c r="B214" t="s">
        <v>107</v>
      </c>
    </row>
    <row r="215" spans="2:2">
      <c r="B215" t="s">
        <v>108</v>
      </c>
    </row>
  </sheetData>
  <mergeCells count="6">
    <mergeCell ref="P48:S48"/>
    <mergeCell ref="A1:A2"/>
    <mergeCell ref="B1:B2"/>
    <mergeCell ref="C1:E1"/>
    <mergeCell ref="G14:J14"/>
    <mergeCell ref="C43:F43"/>
  </mergeCells>
  <pageMargins left="0.7" right="0.7" top="0.75" bottom="0.75" header="0.3" footer="0.3"/>
  <drawing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453EC1F82DDD34F98DE771826E1F5F5" ma:contentTypeVersion="9" ma:contentTypeDescription="Создание документа." ma:contentTypeScope="" ma:versionID="982d4be08cee06cde5b8d44682a805a1">
  <xsd:schema xmlns:xsd="http://www.w3.org/2001/XMLSchema" xmlns:xs="http://www.w3.org/2001/XMLSchema" xmlns:p="http://schemas.microsoft.com/office/2006/metadata/properties" xmlns:ns3="51e6512f-615b-4290-9fb7-19bed735b778" xmlns:ns4="9903af55-9d19-4320-835b-7c15e397fdc0" targetNamespace="http://schemas.microsoft.com/office/2006/metadata/properties" ma:root="true" ma:fieldsID="bfc89d1e62f67e1f0b037fb3b705df68" ns3:_="" ns4:_="">
    <xsd:import namespace="51e6512f-615b-4290-9fb7-19bed735b778"/>
    <xsd:import namespace="9903af55-9d19-4320-835b-7c15e397fd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6512f-615b-4290-9fb7-19bed735b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3af55-9d19-4320-835b-7c15e397fd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e6512f-615b-4290-9fb7-19bed735b778" xsi:nil="true"/>
  </documentManagement>
</p:properties>
</file>

<file path=customXml/itemProps1.xml><?xml version="1.0" encoding="utf-8"?>
<ds:datastoreItem xmlns:ds="http://schemas.openxmlformats.org/officeDocument/2006/customXml" ds:itemID="{79023F85-07BB-4239-899D-07FF65E80E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e6512f-615b-4290-9fb7-19bed735b778"/>
    <ds:schemaRef ds:uri="9903af55-9d19-4320-835b-7c15e397fd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EF5704-CDB0-420E-995A-6277ED10EC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80220A-AD85-4E28-B618-62CA1CB29567}">
  <ds:schemaRefs>
    <ds:schemaRef ds:uri="51e6512f-615b-4290-9fb7-19bed735b778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903af55-9d19-4320-835b-7c15e397fdc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Денис Сергеевич</dc:creator>
  <cp:lastModifiedBy>Дмитриев Денис Сергеевич</cp:lastModifiedBy>
  <dcterms:created xsi:type="dcterms:W3CDTF">2025-03-06T00:49:41Z</dcterms:created>
  <dcterms:modified xsi:type="dcterms:W3CDTF">2025-03-07T15:34:51Z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0x010100F453EC1F82DDD34F98DE771826E1F5F5</vt:lpwstr>
  </property>
</Properties>
</file>