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Statistics/"/>
    </mc:Choice>
  </mc:AlternateContent>
  <xr:revisionPtr revIDLastSave="1501" documentId="14_{B28D2053-CB32-4743-BB3C-5471F3613DB2}" xr6:coauthVersionLast="47" xr6:coauthVersionMax="47" xr10:uidLastSave="{E5584AD2-25E7-4445-B7C0-81F44B898A8D}"/>
  <bookViews>
    <workbookView xWindow="14400" yWindow="0" windowWidth="14400" windowHeight="15600" xr2:uid="{FA1E8EB6-3543-4AE5-946A-56E23F9F1102}"/>
  </bookViews>
  <sheets>
    <sheet name="Multiple Regression" sheetId="13" r:id="rId1"/>
    <sheet name="Regression" sheetId="11" r:id="rId2"/>
    <sheet name="Two-Test Hypothesis" sheetId="10" r:id="rId3"/>
    <sheet name="Hypothesis Testing" sheetId="9" r:id="rId4"/>
    <sheet name="Two-Sample" sheetId="8" r:id="rId5"/>
    <sheet name="Margin of Error" sheetId="7" r:id="rId6"/>
    <sheet name="CLT" sheetId="6" r:id="rId7"/>
    <sheet name="Area Left" sheetId="1" r:id="rId8"/>
    <sheet name="Area Right" sheetId="2" r:id="rId9"/>
    <sheet name="Area Between" sheetId="3" r:id="rId10"/>
    <sheet name="Area in Tails" sheetId="4" r:id="rId11"/>
    <sheet name="Reverse Z-Score" sheetId="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3" l="1"/>
  <c r="M9" i="11" l="1"/>
  <c r="M8" i="11"/>
  <c r="M7" i="11"/>
  <c r="J7" i="11"/>
  <c r="J6" i="11"/>
  <c r="G4" i="11"/>
  <c r="G6" i="11"/>
  <c r="G9" i="11" s="1"/>
  <c r="M10" i="11" s="1"/>
  <c r="G5" i="11"/>
  <c r="P45" i="10"/>
  <c r="U46" i="10"/>
  <c r="T46" i="10"/>
  <c r="S46" i="10"/>
  <c r="P50" i="10"/>
  <c r="P51" i="10" s="1"/>
  <c r="P47" i="10"/>
  <c r="N56" i="10" s="1"/>
  <c r="B50" i="10"/>
  <c r="B49" i="10"/>
  <c r="B48" i="10"/>
  <c r="K52" i="10"/>
  <c r="K51" i="10"/>
  <c r="K44" i="10"/>
  <c r="K45" i="10"/>
  <c r="K46" i="10"/>
  <c r="K47" i="10"/>
  <c r="K48" i="10"/>
  <c r="K49" i="10"/>
  <c r="K50" i="10"/>
  <c r="T14" i="10"/>
  <c r="W5" i="10" s="1"/>
  <c r="W10" i="10"/>
  <c r="K15" i="10"/>
  <c r="N6" i="10" s="1"/>
  <c r="K14" i="10"/>
  <c r="N5" i="10" s="1"/>
  <c r="N10" i="10"/>
  <c r="G5" i="10"/>
  <c r="G11" i="10" s="1"/>
  <c r="E10" i="10"/>
  <c r="F5" i="10"/>
  <c r="E11" i="10" s="1"/>
  <c r="E5" i="10"/>
  <c r="B14" i="10"/>
  <c r="E6" i="10" s="1"/>
  <c r="E8" i="10" s="1"/>
  <c r="O9" i="9"/>
  <c r="P6" i="9"/>
  <c r="E10" i="9"/>
  <c r="Z5" i="9"/>
  <c r="U14" i="9"/>
  <c r="U13" i="9"/>
  <c r="U8" i="9"/>
  <c r="U11" i="9" s="1"/>
  <c r="Y6" i="9" s="1"/>
  <c r="Y7" i="9" s="1"/>
  <c r="Y5" i="9"/>
  <c r="X5" i="9"/>
  <c r="Q5" i="9"/>
  <c r="Q9" i="9" s="1"/>
  <c r="P13" i="9" s="1"/>
  <c r="P5" i="9"/>
  <c r="O5" i="9"/>
  <c r="K11" i="9"/>
  <c r="O6" i="9" s="1"/>
  <c r="O7" i="9" s="1"/>
  <c r="G5" i="9"/>
  <c r="G10" i="9" s="1"/>
  <c r="F5" i="9"/>
  <c r="E5" i="9"/>
  <c r="B11" i="9"/>
  <c r="E6" i="9" s="1"/>
  <c r="E8" i="9" s="1"/>
  <c r="J42" i="8"/>
  <c r="J40" i="8"/>
  <c r="B31" i="8"/>
  <c r="B30" i="8"/>
  <c r="B29" i="8"/>
  <c r="C10" i="11" l="1"/>
  <c r="D10" i="11" s="1"/>
  <c r="C11" i="11"/>
  <c r="D11" i="11" s="1"/>
  <c r="C8" i="11"/>
  <c r="D8" i="11" s="1"/>
  <c r="C9" i="11"/>
  <c r="D9" i="11" s="1"/>
  <c r="C7" i="11"/>
  <c r="D7" i="11" s="1"/>
  <c r="C2" i="11"/>
  <c r="D2" i="11" s="1"/>
  <c r="C3" i="11"/>
  <c r="D3" i="11" s="1"/>
  <c r="C5" i="11"/>
  <c r="D5" i="11" s="1"/>
  <c r="C6" i="11"/>
  <c r="D6" i="11" s="1"/>
  <c r="C4" i="11"/>
  <c r="D4" i="11" s="1"/>
  <c r="J9" i="11"/>
  <c r="G10" i="11"/>
  <c r="G11" i="11" s="1"/>
  <c r="G12" i="11" s="1"/>
  <c r="P6" i="10"/>
  <c r="P8" i="10" s="1"/>
  <c r="P48" i="10"/>
  <c r="N57" i="10" s="1"/>
  <c r="S51" i="10"/>
  <c r="P46" i="10"/>
  <c r="N55" i="10" s="1"/>
  <c r="N54" i="10"/>
  <c r="P52" i="10"/>
  <c r="B53" i="10"/>
  <c r="O5" i="10"/>
  <c r="N11" i="10" s="1"/>
  <c r="O13" i="10" s="1"/>
  <c r="P5" i="10"/>
  <c r="P11" i="10" s="1"/>
  <c r="N15" i="10" s="1"/>
  <c r="O6" i="10"/>
  <c r="O8" i="10" s="1"/>
  <c r="X5" i="10"/>
  <c r="W11" i="10" s="1"/>
  <c r="X13" i="10" s="1"/>
  <c r="T15" i="10"/>
  <c r="Y6" i="10" s="1"/>
  <c r="Y8" i="10" s="1"/>
  <c r="Y5" i="10"/>
  <c r="Y11" i="10" s="1"/>
  <c r="W15" i="10" s="1"/>
  <c r="N8" i="10"/>
  <c r="F15" i="10"/>
  <c r="E15" i="10"/>
  <c r="G6" i="10"/>
  <c r="G8" i="10" s="1"/>
  <c r="E13" i="10"/>
  <c r="F13" i="10"/>
  <c r="F6" i="10"/>
  <c r="F8" i="10" s="1"/>
  <c r="P11" i="9"/>
  <c r="F12" i="9"/>
  <c r="Z9" i="9"/>
  <c r="Y13" i="9" s="1"/>
  <c r="Z6" i="9"/>
  <c r="Z7" i="9" s="1"/>
  <c r="X9" i="9"/>
  <c r="X6" i="9"/>
  <c r="X7" i="9" s="1"/>
  <c r="O13" i="9"/>
  <c r="Q6" i="9"/>
  <c r="Q7" i="9" s="1"/>
  <c r="P7" i="9"/>
  <c r="O11" i="9"/>
  <c r="G6" i="9"/>
  <c r="F14" i="9"/>
  <c r="E14" i="9"/>
  <c r="G8" i="9"/>
  <c r="E12" i="9"/>
  <c r="F6" i="9"/>
  <c r="F8" i="9" s="1"/>
  <c r="C50" i="8"/>
  <c r="C43" i="8"/>
  <c r="C44" i="8"/>
  <c r="C45" i="8"/>
  <c r="C46" i="8"/>
  <c r="C47" i="8"/>
  <c r="C48" i="8"/>
  <c r="C49" i="8"/>
  <c r="C51" i="8"/>
  <c r="C42" i="8"/>
  <c r="S15" i="8"/>
  <c r="S13" i="8"/>
  <c r="J17" i="8"/>
  <c r="S6" i="8"/>
  <c r="J35" i="8"/>
  <c r="J37" i="8"/>
  <c r="J41" i="8"/>
  <c r="J13" i="8"/>
  <c r="J16" i="8"/>
  <c r="J15" i="8"/>
  <c r="B17" i="8"/>
  <c r="B16" i="8"/>
  <c r="B15" i="8"/>
  <c r="F26" i="7"/>
  <c r="I22" i="7" s="1"/>
  <c r="O11" i="7"/>
  <c r="O13" i="7" s="1"/>
  <c r="F29" i="7"/>
  <c r="B28" i="7"/>
  <c r="B27" i="7"/>
  <c r="I13" i="7"/>
  <c r="I12" i="7"/>
  <c r="F11" i="7"/>
  <c r="F13" i="7" s="1"/>
  <c r="B10" i="7"/>
  <c r="B8" i="7"/>
  <c r="B7" i="7"/>
  <c r="G25" i="6"/>
  <c r="G28" i="6" s="1"/>
  <c r="E31" i="6" s="1"/>
  <c r="G26" i="6"/>
  <c r="G9" i="6"/>
  <c r="G11" i="6"/>
  <c r="B16" i="6" s="1"/>
  <c r="F4" i="2"/>
  <c r="C2" i="2"/>
  <c r="B25" i="5"/>
  <c r="B24" i="5"/>
  <c r="B17" i="5"/>
  <c r="B16" i="5"/>
  <c r="B21" i="5"/>
  <c r="B20" i="5"/>
  <c r="B13" i="5"/>
  <c r="B12" i="5"/>
  <c r="B9" i="5"/>
  <c r="B8" i="5"/>
  <c r="B6" i="5"/>
  <c r="B5" i="5"/>
  <c r="B2" i="5"/>
  <c r="B3" i="5"/>
  <c r="G5" i="5"/>
  <c r="E24" i="1"/>
  <c r="E23" i="1"/>
  <c r="E20" i="1"/>
  <c r="E19" i="1"/>
  <c r="B21" i="1"/>
  <c r="B20" i="1"/>
  <c r="B18" i="1"/>
  <c r="F6" i="4"/>
  <c r="B6" i="4"/>
  <c r="B4" i="4"/>
  <c r="B2" i="4"/>
  <c r="F5" i="4"/>
  <c r="F5" i="3"/>
  <c r="B6" i="3"/>
  <c r="B5" i="3"/>
  <c r="B4" i="3"/>
  <c r="B2" i="3"/>
  <c r="C8" i="2"/>
  <c r="C5" i="2"/>
  <c r="E3" i="1"/>
  <c r="C8" i="1"/>
  <c r="C5" i="1"/>
  <c r="C2" i="1"/>
  <c r="M4" i="11" l="1"/>
  <c r="M5" i="11" s="1"/>
  <c r="M11" i="11" s="1"/>
  <c r="M14" i="11" s="1"/>
  <c r="N13" i="10"/>
  <c r="T47" i="10"/>
  <c r="T49" i="10" s="1"/>
  <c r="S47" i="10"/>
  <c r="S49" i="10" s="1"/>
  <c r="U47" i="10"/>
  <c r="U49" i="10" s="1"/>
  <c r="S52" i="10"/>
  <c r="T54" i="10" s="1"/>
  <c r="U52" i="10"/>
  <c r="T56" i="10" s="1"/>
  <c r="B51" i="10"/>
  <c r="F46" i="10" s="1"/>
  <c r="E51" i="10" s="1"/>
  <c r="F53" i="10" s="1"/>
  <c r="O15" i="10"/>
  <c r="W6" i="10"/>
  <c r="W8" i="10" s="1"/>
  <c r="X6" i="10"/>
  <c r="X8" i="10" s="1"/>
  <c r="X15" i="10"/>
  <c r="W13" i="10"/>
  <c r="X13" i="9"/>
  <c r="Y11" i="9"/>
  <c r="X11" i="9"/>
  <c r="M31" i="8"/>
  <c r="M29" i="8"/>
  <c r="J38" i="8"/>
  <c r="J36" i="8"/>
  <c r="B34" i="8"/>
  <c r="S16" i="8"/>
  <c r="S17" i="8"/>
  <c r="J18" i="8"/>
  <c r="J20" i="8" s="1"/>
  <c r="B18" i="8"/>
  <c r="B21" i="8" s="1"/>
  <c r="F27" i="7"/>
  <c r="B29" i="7"/>
  <c r="B31" i="7" s="1"/>
  <c r="B9" i="7"/>
  <c r="G12" i="6"/>
  <c r="E32" i="6"/>
  <c r="E33" i="6" s="1"/>
  <c r="B31" i="6"/>
  <c r="B32" i="6"/>
  <c r="E16" i="6"/>
  <c r="B15" i="6"/>
  <c r="B17" i="6" s="1"/>
  <c r="E15" i="6"/>
  <c r="F3" i="2"/>
  <c r="F5" i="2" s="1"/>
  <c r="E25" i="1"/>
  <c r="B22" i="1"/>
  <c r="F7" i="4"/>
  <c r="M13" i="11" l="1"/>
  <c r="S54" i="10"/>
  <c r="S56" i="10"/>
  <c r="G47" i="10"/>
  <c r="G49" i="10" s="1"/>
  <c r="E46" i="10"/>
  <c r="G46" i="10"/>
  <c r="G51" i="10" s="1"/>
  <c r="F55" i="10" s="1"/>
  <c r="E47" i="10"/>
  <c r="E49" i="10" s="1"/>
  <c r="F47" i="10"/>
  <c r="F49" i="10" s="1"/>
  <c r="E53" i="10"/>
  <c r="J45" i="8"/>
  <c r="M32" i="8"/>
  <c r="M30" i="8"/>
  <c r="B35" i="8"/>
  <c r="B36" i="8" s="1"/>
  <c r="S18" i="8"/>
  <c r="S21" i="8" s="1"/>
  <c r="J21" i="8"/>
  <c r="B20" i="8"/>
  <c r="I23" i="7"/>
  <c r="F28" i="7"/>
  <c r="F30" i="7" s="1"/>
  <c r="F33" i="7" s="1"/>
  <c r="B32" i="7"/>
  <c r="B13" i="7"/>
  <c r="B12" i="7"/>
  <c r="B33" i="6"/>
  <c r="E17" i="6"/>
  <c r="E55" i="10" l="1"/>
  <c r="J44" i="8"/>
  <c r="B39" i="8"/>
  <c r="B38" i="8"/>
  <c r="S20" i="8"/>
  <c r="I33" i="7"/>
  <c r="I32" i="7"/>
  <c r="F32" i="7"/>
</calcChain>
</file>

<file path=xl/sharedStrings.xml><?xml version="1.0" encoding="utf-8"?>
<sst xmlns="http://schemas.openxmlformats.org/spreadsheetml/2006/main" count="502" uniqueCount="268">
  <si>
    <t>A</t>
  </si>
  <si>
    <t>B</t>
  </si>
  <si>
    <t>C</t>
  </si>
  <si>
    <t>z-score:</t>
  </si>
  <si>
    <t>Area left:</t>
  </si>
  <si>
    <t>z:</t>
  </si>
  <si>
    <t>Area right:</t>
  </si>
  <si>
    <t>Between:</t>
  </si>
  <si>
    <t>x1 (bigger):</t>
  </si>
  <si>
    <t>x2 (smaller):</t>
  </si>
  <si>
    <t>Outside:</t>
  </si>
  <si>
    <t>Sum:</t>
  </si>
  <si>
    <t>X</t>
  </si>
  <si>
    <t>Mu</t>
  </si>
  <si>
    <t>Sigma</t>
  </si>
  <si>
    <t>Z-Score</t>
  </si>
  <si>
    <t>Area Left</t>
  </si>
  <si>
    <t>Area Right</t>
  </si>
  <si>
    <t>x1 (bigger)</t>
  </si>
  <si>
    <t>x2 (smaller)</t>
  </si>
  <si>
    <t>Between</t>
  </si>
  <si>
    <t>Outside</t>
  </si>
  <si>
    <t>z1</t>
  </si>
  <si>
    <t>z2</t>
  </si>
  <si>
    <t>Sum</t>
  </si>
  <si>
    <t>Z-score</t>
  </si>
  <si>
    <t xml:space="preserve"> =NORM.S.INV(0.239)</t>
  </si>
  <si>
    <t xml:space="preserve"> =NORM.INV(0.239,52,3)</t>
  </si>
  <si>
    <t>Value</t>
  </si>
  <si>
    <t>Find:</t>
  </si>
  <si>
    <t>Formula:</t>
  </si>
  <si>
    <t xml:space="preserve"> =NORM.S.INV(0.8)</t>
  </si>
  <si>
    <t xml:space="preserve"> =NORM.INV(0.8,52,3)</t>
  </si>
  <si>
    <t xml:space="preserve"> =NORM.S.INV(1-0.963)</t>
  </si>
  <si>
    <t xml:space="preserve"> =NORM.INV(1-0.963,52,3)</t>
  </si>
  <si>
    <t>Left Z</t>
  </si>
  <si>
    <t>Right Z</t>
  </si>
  <si>
    <t>Left Value</t>
  </si>
  <si>
    <t>Right Value</t>
  </si>
  <si>
    <t xml:space="preserve"> =NORM.S.INV(0.1/2)</t>
  </si>
  <si>
    <t xml:space="preserve"> =NORM.S.INV(0.95)</t>
  </si>
  <si>
    <t xml:space="preserve"> =NORM.INV(0.05,52,3)</t>
  </si>
  <si>
    <t xml:space="preserve"> =NORM.INV(0.95,52,3)</t>
  </si>
  <si>
    <t>Tails</t>
  </si>
  <si>
    <t xml:space="preserve"> =NORM.S.INV(0.1)</t>
  </si>
  <si>
    <t xml:space="preserve"> =NORM.S.INV(0.9)</t>
  </si>
  <si>
    <t xml:space="preserve"> =NORM.INV(0.1,52,3)</t>
  </si>
  <si>
    <t xml:space="preserve"> =NORM.INV(0.9,52,3)</t>
  </si>
  <si>
    <t>Z-Score for sampling data:</t>
  </si>
  <si>
    <t>z = (x̄ - μ) / (σ / √n)</t>
  </si>
  <si>
    <t>where x̄ is the sample mean </t>
  </si>
  <si>
    <t>μ is the population mean</t>
  </si>
  <si>
    <t>σ is the population standard deviation</t>
  </si>
  <si>
    <t>and n is the sample size.</t>
  </si>
  <si>
    <t>Probabilities are found the same.</t>
  </si>
  <si>
    <t>x̄:</t>
  </si>
  <si>
    <t>μ:</t>
  </si>
  <si>
    <t>σ:</t>
  </si>
  <si>
    <t>n:</t>
  </si>
  <si>
    <t>Standard Error:</t>
  </si>
  <si>
    <t>Differs By Less (Between):</t>
  </si>
  <si>
    <t>Differs By More (In Tails):</t>
  </si>
  <si>
    <t>z = (p̂ - p) / sqrt(p(1-p)/n)</t>
  </si>
  <si>
    <t>The CLT for Sample Proportions</t>
  </si>
  <si>
    <t>p̂ is the sample proportion. </t>
  </si>
  <si>
    <t>n is the sample size. </t>
  </si>
  <si>
    <t>sqrt(p(1-p)/n) is the standard error of the sample proportion. </t>
  </si>
  <si>
    <t>p is the population proportion. </t>
  </si>
  <si>
    <t>Finding Z-Score</t>
  </si>
  <si>
    <t>p:</t>
  </si>
  <si>
    <t>p̂</t>
  </si>
  <si>
    <t>Area Right:</t>
  </si>
  <si>
    <t>Area Left:</t>
  </si>
  <si>
    <t>Standard Dev:</t>
  </si>
  <si>
    <t>The CLT for Sample Means</t>
  </si>
  <si>
    <t>Critical Value:</t>
  </si>
  <si>
    <t>Lower Limit:</t>
  </si>
  <si>
    <t>Upper Limit:</t>
  </si>
  <si>
    <t>Confidence Level:</t>
  </si>
  <si>
    <t>Means (σ known) (8.1)</t>
  </si>
  <si>
    <t>CONFIDENCE.NORM:</t>
  </si>
  <si>
    <t>Minimum Sample Size for Estimating a Population Mean</t>
  </si>
  <si>
    <r>
      <t>where </t>
    </r>
    <r>
      <rPr>
        <sz val="14"/>
        <color rgb="FF4D4D4D"/>
        <rFont val="STIXMathJax_Main-italic"/>
      </rPr>
      <t>z</t>
    </r>
    <r>
      <rPr>
        <sz val="7"/>
        <color rgb="FF4D4D4D"/>
        <rFont val="STIXMathJax_Main-italic"/>
      </rPr>
      <t>α</t>
    </r>
    <r>
      <rPr>
        <sz val="7"/>
        <color rgb="FF4D4D4D"/>
        <rFont val="STIXMathJax_Main"/>
      </rPr>
      <t>2</t>
    </r>
    <r>
      <rPr>
        <sz val="14"/>
        <color rgb="FF4D4D4D"/>
        <rFont val="STIXMathJax_Main"/>
      </rPr>
      <t>/</t>
    </r>
    <r>
      <rPr>
        <sz val="13"/>
        <color rgb="FF4D4D4D"/>
        <rFont val="Times New Roman"/>
        <family val="1"/>
      </rPr>
      <t>zα2 is the critical value for the level of confidence</t>
    </r>
  </si>
  <si>
    <r>
      <t>σ</t>
    </r>
    <r>
      <rPr>
        <sz val="13"/>
        <color rgb="FF4D4D4D"/>
        <rFont val="Times New Roman"/>
        <family val="1"/>
      </rPr>
      <t> is the population standard deviation</t>
    </r>
  </si>
  <si>
    <r>
      <t>E</t>
    </r>
    <r>
      <rPr>
        <sz val="13"/>
        <color rgb="FF4D4D4D"/>
        <rFont val="Times New Roman"/>
        <family val="1"/>
      </rPr>
      <t> is the desired maximum margin of error.</t>
    </r>
  </si>
  <si>
    <r>
      <t>n</t>
    </r>
    <r>
      <rPr>
        <sz val="14"/>
        <color rgb="FF4D4D4D"/>
        <rFont val="STIXMathJax_Main"/>
      </rPr>
      <t>=</t>
    </r>
    <r>
      <rPr>
        <sz val="14"/>
        <color rgb="FF4D4D4D"/>
        <rFont val="STIXMathJax_Size2"/>
      </rPr>
      <t>(</t>
    </r>
    <r>
      <rPr>
        <sz val="14"/>
        <color rgb="FF4D4D4D"/>
        <rFont val="STIXMathJax_Main-italic"/>
      </rPr>
      <t>zα</t>
    </r>
    <r>
      <rPr>
        <sz val="14"/>
        <color rgb="FF4D4D4D"/>
        <rFont val="STIXMathJax_Main"/>
      </rPr>
      <t>2*</t>
    </r>
    <r>
      <rPr>
        <sz val="14"/>
        <color rgb="FF4D4D4D"/>
        <rFont val="STIXMathJax_Main-italic"/>
      </rPr>
      <t>σ/E</t>
    </r>
    <r>
      <rPr>
        <sz val="14"/>
        <color rgb="FF4D4D4D"/>
        <rFont val="STIXMathJax_Size2"/>
      </rPr>
      <t>)</t>
    </r>
    <r>
      <rPr>
        <sz val="14"/>
        <color rgb="FF4D4D4D"/>
        <rFont val="STIXMathJax_Main"/>
      </rPr>
      <t>2</t>
    </r>
  </si>
  <si>
    <t>Maximum Error:</t>
  </si>
  <si>
    <t>Population SD (σ):</t>
  </si>
  <si>
    <t>E:</t>
  </si>
  <si>
    <t>X-Bar:</t>
  </si>
  <si>
    <t>Sample Size (n):</t>
  </si>
  <si>
    <t>Sample Mean (x-bar):</t>
  </si>
  <si>
    <t>Confidence Level (c):</t>
  </si>
  <si>
    <t>Critical Value (zα2):</t>
  </si>
  <si>
    <t>Margin of Error (E):</t>
  </si>
  <si>
    <t>Means (σ unknown) (8.3)</t>
  </si>
  <si>
    <t>E= (tα2)(s/sqrt(n))</t>
  </si>
  <si>
    <t>Where tα2 is the student's critical t-score</t>
  </si>
  <si>
    <t>s is the sample standard deviation</t>
  </si>
  <si>
    <t>and n is the sample size</t>
  </si>
  <si>
    <t>Critical Value (tα2):</t>
  </si>
  <si>
    <t>Sample SD (s):</t>
  </si>
  <si>
    <r>
      <t>where </t>
    </r>
    <r>
      <rPr>
        <sz val="14"/>
        <color rgb="FF4D4D4D"/>
        <rFont val="STIXMathJax_Main-italic"/>
      </rPr>
      <t>z</t>
    </r>
    <r>
      <rPr>
        <sz val="7"/>
        <color rgb="FF4D4D4D"/>
        <rFont val="STIXMathJax_Main-italic"/>
      </rPr>
      <t>α</t>
    </r>
    <r>
      <rPr>
        <sz val="7"/>
        <color rgb="FF4D4D4D"/>
        <rFont val="STIXMathJax_Main"/>
      </rPr>
      <t>2</t>
    </r>
    <r>
      <rPr>
        <sz val="13"/>
        <color rgb="FF4D4D4D"/>
        <rFont val="Times New Roman"/>
        <family val="1"/>
      </rPr>
      <t> is the critical value for the level of confidence</t>
    </r>
  </si>
  <si>
    <r>
      <t>p-hat</t>
    </r>
    <r>
      <rPr>
        <sz val="13"/>
        <color rgb="FF4D4D4D"/>
        <rFont val="Times New Roman"/>
        <family val="1"/>
      </rPr>
      <t> is the sample proportion</t>
    </r>
  </si>
  <si>
    <r>
      <t>n</t>
    </r>
    <r>
      <rPr>
        <sz val="13"/>
        <color rgb="FF4D4D4D"/>
        <rFont val="Times New Roman"/>
        <family val="1"/>
      </rPr>
      <t> is the sample size</t>
    </r>
  </si>
  <si>
    <r>
      <t>E</t>
    </r>
    <r>
      <rPr>
        <sz val="14"/>
        <color rgb="FF4D4D4D"/>
        <rFont val="STIXMathJax_Main"/>
      </rPr>
      <t>=</t>
    </r>
    <r>
      <rPr>
        <sz val="14"/>
        <color rgb="FF4D4D4D"/>
        <rFont val="STIXMathJax_Main-italic"/>
      </rPr>
      <t>z</t>
    </r>
    <r>
      <rPr>
        <sz val="11"/>
        <color rgb="FF4D4D4D"/>
        <rFont val="STIXMathJax_Main-italic"/>
      </rPr>
      <t>α</t>
    </r>
    <r>
      <rPr>
        <sz val="11"/>
        <color rgb="FF4D4D4D"/>
        <rFont val="STIXMathJax_Main"/>
      </rPr>
      <t>2*Sqrt(</t>
    </r>
    <r>
      <rPr>
        <sz val="14"/>
        <color rgb="FF4D4D4D"/>
        <rFont val="STIXMathJax_Main-italic"/>
      </rPr>
      <t>p-hat</t>
    </r>
    <r>
      <rPr>
        <sz val="14"/>
        <color rgb="FF4D4D4D"/>
        <rFont val="STIXMathJax_Size1"/>
      </rPr>
      <t>(1-p-hat)/n)</t>
    </r>
  </si>
  <si>
    <t>Observed, x:</t>
  </si>
  <si>
    <t>Sample Size, n:</t>
  </si>
  <si>
    <t>Confidence Level, c:</t>
  </si>
  <si>
    <t>Margin of Error, E:</t>
  </si>
  <si>
    <t>p-hat:</t>
  </si>
  <si>
    <t>q-hat:</t>
  </si>
  <si>
    <t>n*p-hat:</t>
  </si>
  <si>
    <t>n*q-hat:</t>
  </si>
  <si>
    <t>Estimating Population Proportions (8.4)</t>
  </si>
  <si>
    <t>Minimum Sample Size for Estimating a Population Propotion</t>
  </si>
  <si>
    <t>n=p(1−p)(zα2/E)^2</t>
  </si>
  <si>
    <t>where p is the population proportion</t>
  </si>
  <si>
    <t>zα2 is the critical value for the level of confidence</t>
  </si>
  <si>
    <t>Lower Limit p-hat:</t>
  </si>
  <si>
    <t>Upper Limit p-hat:</t>
  </si>
  <si>
    <t>Lower Limit q-hat:</t>
  </si>
  <si>
    <t>Upper Limit q-hat:</t>
  </si>
  <si>
    <t>Comparing Population Means (Sigma Known) (9.1)</t>
  </si>
  <si>
    <t>Mean 1:</t>
  </si>
  <si>
    <t>SD 1:</t>
  </si>
  <si>
    <t>n 1:</t>
  </si>
  <si>
    <t>Mean 2:</t>
  </si>
  <si>
    <t>SD 2:</t>
  </si>
  <si>
    <t>n 2:</t>
  </si>
  <si>
    <t>Point Estimate:</t>
  </si>
  <si>
    <t>Margine of Error:</t>
  </si>
  <si>
    <t>Standard Error of Difference:</t>
  </si>
  <si>
    <r>
      <t>E</t>
    </r>
    <r>
      <rPr>
        <sz val="14"/>
        <color rgb="FF4D4D4D"/>
        <rFont val="STIXMathJax_Main"/>
      </rPr>
      <t>=</t>
    </r>
    <r>
      <rPr>
        <sz val="14"/>
        <color rgb="FF4D4D4D"/>
        <rFont val="STIXMathJax_Main-italic"/>
      </rPr>
      <t>zα</t>
    </r>
    <r>
      <rPr>
        <sz val="14"/>
        <color rgb="FF4D4D4D"/>
        <rFont val="STIXMathJax_Main"/>
      </rPr>
      <t>2*√(</t>
    </r>
    <r>
      <rPr>
        <sz val="14"/>
        <color rgb="FF4D4D4D"/>
        <rFont val="STIXMathJax_Main-italic"/>
      </rPr>
      <t>σ1^2/n</t>
    </r>
    <r>
      <rPr>
        <sz val="14"/>
        <color rgb="FF4D4D4D"/>
        <rFont val="STIXMathJax_Main"/>
      </rPr>
      <t>1)+(</t>
    </r>
    <r>
      <rPr>
        <sz val="14"/>
        <color rgb="FF4D4D4D"/>
        <rFont val="STIXMathJax_Main-italic"/>
      </rPr>
      <t>σ</t>
    </r>
    <r>
      <rPr>
        <sz val="14"/>
        <color rgb="FF4D4D4D"/>
        <rFont val="STIXMathJax_Main"/>
      </rPr>
      <t>2^2/</t>
    </r>
    <r>
      <rPr>
        <sz val="14"/>
        <color rgb="FF4D4D4D"/>
        <rFont val="STIXMathJax_Main-italic"/>
      </rPr>
      <t>n</t>
    </r>
    <r>
      <rPr>
        <sz val="14"/>
        <color rgb="FF4D4D4D"/>
        <rFont val="STIXMathJax_Main"/>
      </rPr>
      <t>2)</t>
    </r>
  </si>
  <si>
    <r>
      <t>((</t>
    </r>
    <r>
      <rPr>
        <sz val="14"/>
        <color rgb="FF4D4D4D"/>
        <rFont val="STIXMathJax_Main-italic"/>
      </rPr>
      <t>x</t>
    </r>
    <r>
      <rPr>
        <sz val="10"/>
        <color rgb="FF4D4D4D"/>
        <rFont val="STIXMathJax_Main"/>
      </rPr>
      <t>1</t>
    </r>
    <r>
      <rPr>
        <sz val="14"/>
        <color rgb="FF4D4D4D"/>
        <rFont val="STIXMathJax_Main"/>
      </rPr>
      <t>−</t>
    </r>
    <r>
      <rPr>
        <sz val="14"/>
        <color rgb="FF4D4D4D"/>
        <rFont val="STIXMathJax_Main-italic"/>
      </rPr>
      <t>x</t>
    </r>
    <r>
      <rPr>
        <sz val="10"/>
        <color rgb="FF4D4D4D"/>
        <rFont val="STIXMathJax_Main"/>
      </rPr>
      <t>2</t>
    </r>
    <r>
      <rPr>
        <sz val="14"/>
        <color rgb="FF4D4D4D"/>
        <rFont val="STIXMathJax_Main"/>
      </rPr>
      <t>)−</t>
    </r>
    <r>
      <rPr>
        <sz val="14"/>
        <color rgb="FF4D4D4D"/>
        <rFont val="STIXMathJax_Main-italic"/>
      </rPr>
      <t>E</t>
    </r>
    <r>
      <rPr>
        <sz val="14"/>
        <color rgb="FF4D4D4D"/>
        <rFont val="STIXMathJax_Main"/>
      </rPr>
      <t>, (</t>
    </r>
    <r>
      <rPr>
        <sz val="14"/>
        <color rgb="FF4D4D4D"/>
        <rFont val="STIXMathJax_Main-italic"/>
      </rPr>
      <t>x</t>
    </r>
    <r>
      <rPr>
        <sz val="10"/>
        <color rgb="FF4D4D4D"/>
        <rFont val="STIXMathJax_Main"/>
      </rPr>
      <t>1</t>
    </r>
    <r>
      <rPr>
        <sz val="14"/>
        <color rgb="FF4D4D4D"/>
        <rFont val="STIXMathJax_Main"/>
      </rPr>
      <t>−x</t>
    </r>
    <r>
      <rPr>
        <sz val="10"/>
        <color rgb="FF4D4D4D"/>
        <rFont val="STIXMathJax_Main"/>
      </rPr>
      <t>2</t>
    </r>
    <r>
      <rPr>
        <sz val="14"/>
        <color rgb="FF4D4D4D"/>
        <rFont val="STIXMathJax_Main"/>
      </rPr>
      <t>)+</t>
    </r>
    <r>
      <rPr>
        <sz val="14"/>
        <color rgb="FF4D4D4D"/>
        <rFont val="STIXMathJax_Main-italic"/>
      </rPr>
      <t>E</t>
    </r>
    <r>
      <rPr>
        <sz val="14"/>
        <color rgb="FF4D4D4D"/>
        <rFont val="STIXMathJax_Main"/>
      </rPr>
      <t>)</t>
    </r>
  </si>
  <si>
    <t>Comparing Population Means (Sigma Unknown, Unequal Variances) (9.2)</t>
  </si>
  <si>
    <t>Degrees of Freedom:</t>
  </si>
  <si>
    <t>Sample SD 1:</t>
  </si>
  <si>
    <t>Sample SD 2:</t>
  </si>
  <si>
    <t>Comparing Population Means (Sigma Unknown, Equal Variances) (9.2.2)</t>
  </si>
  <si>
    <t>df = n1 + n2 - 2</t>
  </si>
  <si>
    <r>
      <t>E</t>
    </r>
    <r>
      <rPr>
        <sz val="12"/>
        <color rgb="FF4D4D4D"/>
        <rFont val="STIXMathJax_Main"/>
      </rPr>
      <t>=</t>
    </r>
    <r>
      <rPr>
        <sz val="12"/>
        <color rgb="FF4D4D4D"/>
        <rFont val="STIXMathJax_Main-italic"/>
      </rPr>
      <t>tα</t>
    </r>
    <r>
      <rPr>
        <sz val="12"/>
        <color rgb="FF4D4D4D"/>
        <rFont val="STIXMathJax_Main"/>
      </rPr>
      <t>2√((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1−1)</t>
    </r>
    <r>
      <rPr>
        <sz val="12"/>
        <color rgb="FF4D4D4D"/>
        <rFont val="STIXMathJax_Main-italic"/>
      </rPr>
      <t>s</t>
    </r>
    <r>
      <rPr>
        <sz val="12"/>
        <color rgb="FF4D4D4D"/>
        <rFont val="STIXMathJax_Main"/>
      </rPr>
      <t>1^2+(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2−1)</t>
    </r>
    <r>
      <rPr>
        <sz val="12"/>
        <color rgb="FF4D4D4D"/>
        <rFont val="STIXMathJax_Main-italic"/>
      </rPr>
      <t>s</t>
    </r>
    <r>
      <rPr>
        <sz val="12"/>
        <color rgb="FF4D4D4D"/>
        <rFont val="STIXMathJax_Main"/>
      </rPr>
      <t>2^2 / (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1+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2−2)*</t>
    </r>
    <r>
      <rPr>
        <sz val="12"/>
        <color rgb="FF4D4D4D"/>
        <rFont val="STIXMathJax_Size3"/>
      </rPr>
      <t>√(</t>
    </r>
    <r>
      <rPr>
        <sz val="12"/>
        <color rgb="FF4D4D4D"/>
        <rFont val="STIXMathJax_Main"/>
      </rPr>
      <t>1/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1)+(1/</t>
    </r>
    <r>
      <rPr>
        <sz val="12"/>
        <color rgb="FF4D4D4D"/>
        <rFont val="STIXMathJax_Main-italic"/>
      </rPr>
      <t>n</t>
    </r>
    <r>
      <rPr>
        <sz val="12"/>
        <color rgb="FF4D4D4D"/>
        <rFont val="STIXMathJax_Main"/>
      </rPr>
      <t>2)</t>
    </r>
  </si>
  <si>
    <t>df = smallest n - 1</t>
  </si>
  <si>
    <t>E=tα2*√(σ1^2/n1)+(σ2^2/n2)</t>
  </si>
  <si>
    <t>Critical T-Value:</t>
  </si>
  <si>
    <t>Comparing Two Population Means (Sigma Unknown, Dependent Samples) (9.3)</t>
  </si>
  <si>
    <t>Mean of Difference:</t>
  </si>
  <si>
    <t>SD of Difference:</t>
  </si>
  <si>
    <t>Margin of Error:</t>
  </si>
  <si>
    <t>Difference</t>
  </si>
  <si>
    <t>9.4 Comparing Two Population Proportions (9.4)</t>
  </si>
  <si>
    <t>A Number Favorable:</t>
  </si>
  <si>
    <t>A Total Number:</t>
  </si>
  <si>
    <t>B Number Favorable:</t>
  </si>
  <si>
    <t>B Total Number:</t>
  </si>
  <si>
    <t>A p-hat:</t>
  </si>
  <si>
    <t>A q-hat:</t>
  </si>
  <si>
    <t>B p-hat:</t>
  </si>
  <si>
    <t>B q-hat:</t>
  </si>
  <si>
    <t>n1p1:</t>
  </si>
  <si>
    <t>n1q1:</t>
  </si>
  <si>
    <t>n2p2:</t>
  </si>
  <si>
    <t>n2q2:</t>
  </si>
  <si>
    <t>First Temp</t>
  </si>
  <si>
    <t>Second Temp</t>
  </si>
  <si>
    <t>Hypothesized Mean (mu):</t>
  </si>
  <si>
    <t>Population SD (sigma):</t>
  </si>
  <si>
    <t>Alpha:</t>
  </si>
  <si>
    <t>Z-Score:</t>
  </si>
  <si>
    <t>Critical Values:</t>
  </si>
  <si>
    <t>p-value:</t>
  </si>
  <si>
    <t>Conclusion:</t>
  </si>
  <si>
    <t>Hypothesis Testing for Population Means (σ known) (10.2)</t>
  </si>
  <si>
    <t>Left-Tailed</t>
  </si>
  <si>
    <t>Right-Tailed</t>
  </si>
  <si>
    <t>Two-Tailed</t>
  </si>
  <si>
    <t>1-Tailed Interval:</t>
  </si>
  <si>
    <t>2-Tailed Interval:</t>
  </si>
  <si>
    <t>10.3 Hypothesis Testing for Population Means (Sigma Unknown)</t>
  </si>
  <si>
    <t>Hypothesized Mean:</t>
  </si>
  <si>
    <t>Sample Mean:</t>
  </si>
  <si>
    <t>Sample SD:</t>
  </si>
  <si>
    <t>Sample Size:</t>
  </si>
  <si>
    <t>t-Score:</t>
  </si>
  <si>
    <t>p-Value:</t>
  </si>
  <si>
    <t>1-tailed Interval:</t>
  </si>
  <si>
    <t>Left</t>
  </si>
  <si>
    <t>Right</t>
  </si>
  <si>
    <t>2-Tailed</t>
  </si>
  <si>
    <t>2-tailed Inverval:</t>
  </si>
  <si>
    <t>10.4 Hypothesis Testing for Population Proportions</t>
  </si>
  <si>
    <t>x:</t>
  </si>
  <si>
    <t>Observed Proportion, p-hat:</t>
  </si>
  <si>
    <t>Hypothesized Proportion, p:</t>
  </si>
  <si>
    <t>z-Score:</t>
  </si>
  <si>
    <t>2-tailed Interval:</t>
  </si>
  <si>
    <t>np:</t>
  </si>
  <si>
    <t>n(1-p):</t>
  </si>
  <si>
    <t>11.1 Hypothesis Testing for Means (Sigma Known)</t>
  </si>
  <si>
    <t>Hypothesized Difference:</t>
  </si>
  <si>
    <t>11.2.2 Hypothesis Testing for 2 Sample Means (Sigma Unkown) - Equal Variances</t>
  </si>
  <si>
    <t>11.2.1 Hypothesis Testing For 2 Sample Means (Sigma Unknown) - Unequal Variances</t>
  </si>
  <si>
    <t>Alternative:</t>
  </si>
  <si>
    <t>Hpothesized Difference:</t>
  </si>
  <si>
    <t>T-Score:</t>
  </si>
  <si>
    <t>&gt;</t>
  </si>
  <si>
    <t>x1:</t>
  </si>
  <si>
    <t>n1:</t>
  </si>
  <si>
    <t>x2:</t>
  </si>
  <si>
    <t>n2:</t>
  </si>
  <si>
    <t>Hyp. Difference:</t>
  </si>
  <si>
    <t>Conditions</t>
  </si>
  <si>
    <t>p1-hat:</t>
  </si>
  <si>
    <t>q1-hat:</t>
  </si>
  <si>
    <t>p2-hat:</t>
  </si>
  <si>
    <t>q2-hat:</t>
  </si>
  <si>
    <t>p-bar:</t>
  </si>
  <si>
    <t>1 - p-bar:</t>
  </si>
  <si>
    <t>11.3 Hypothesis Testing for Means (Sigma unknown)</t>
  </si>
  <si>
    <t>11.4 Hypthesis Testing for 2 Proportions</t>
  </si>
  <si>
    <t>r-squared:</t>
  </si>
  <si>
    <t>r:</t>
  </si>
  <si>
    <t>12.1 Hypothesis Testing</t>
  </si>
  <si>
    <t>alpha:</t>
  </si>
  <si>
    <t>degrees of freedom:</t>
  </si>
  <si>
    <t>t-score:</t>
  </si>
  <si>
    <t>Slope b1:</t>
  </si>
  <si>
    <t>Intercept b0:</t>
  </si>
  <si>
    <t>Given x:</t>
  </si>
  <si>
    <t>Predicted y:</t>
  </si>
  <si>
    <t>SSE:</t>
  </si>
  <si>
    <t>SE:</t>
  </si>
  <si>
    <t>Mean of x:</t>
  </si>
  <si>
    <t>Sum of x:</t>
  </si>
  <si>
    <t>Sum of Squares of x:</t>
  </si>
  <si>
    <t>Age</t>
  </si>
  <si>
    <t>Reading Level</t>
  </si>
  <si>
    <t>y-hat</t>
  </si>
  <si>
    <t>Residual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</si>
  <si>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</si>
  <si>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</si>
  <si>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</si>
  <si>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</si>
  <si>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</si>
  <si>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</si>
  <si>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</si>
  <si>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</si>
  <si>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</si>
  <si>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</si>
  <si>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</si>
  <si>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</si>
  <si>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</si>
  <si>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</si>
  <si>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</si>
  <si>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</si>
  <si>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</si>
  <si>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</si>
  <si>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</si>
  <si>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</si>
  <si>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</si>
  <si>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</si>
  <si>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</si>
  <si>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x1</t>
  </si>
  <si>
    <t>x2</t>
  </si>
  <si>
    <t>x3</t>
  </si>
  <si>
    <t>Predicted X:</t>
  </si>
  <si>
    <t>GPA</t>
  </si>
  <si>
    <t>Number of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</si>
</sst>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rgb="FF001D35"/>
      <name val="Arial"/>
      <family val="2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4D4D4D"/>
      <name val="STIXMathJax_Main-italic"/>
    </font>
    <font>
      <sz val="14"/>
      <color rgb="FF4D4D4D"/>
      <name val="STIXMathJax_Main"/>
    </font>
    <font>
      <sz val="14"/>
      <color rgb="FF4D4D4D"/>
      <name val="STIXMathJax_Size2"/>
    </font>
    <font>
      <sz val="7"/>
      <color rgb="FF4D4D4D"/>
      <name val="STIXMathJax_Main-italic"/>
    </font>
    <font>
      <sz val="7"/>
      <color rgb="FF4D4D4D"/>
      <name val="STIXMathJax_Main"/>
    </font>
    <font>
      <sz val="13"/>
      <color rgb="FF4D4D4D"/>
      <name val="Times New Roman"/>
      <family val="1"/>
    </font>
    <font>
      <i/>
      <sz val="13"/>
      <color rgb="FF4D4D4D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4D4D4D"/>
      <name val="STIXMathJax_Size1"/>
    </font>
    <font>
      <sz val="11"/>
      <color rgb="FF4D4D4D"/>
      <name val="STIXMathJax_Main-italic"/>
    </font>
    <font>
      <sz val="11"/>
      <color rgb="FF4D4D4D"/>
      <name val="STIXMathJax_Main"/>
    </font>
    <font>
      <sz val="10"/>
      <color rgb="FF4D4D4D"/>
      <name val="STIXMathJax_Main"/>
    </font>
    <font>
      <sz val="12"/>
      <color rgb="FF4D4D4D"/>
      <name val="STIXMathJax_Main-italic"/>
    </font>
    <font>
      <sz val="12"/>
      <color rgb="FF4D4D4D"/>
      <name val="STIXMathJax_Main"/>
    </font>
    <font>
      <sz val="12"/>
      <color rgb="FF4D4D4D"/>
      <name val="STIXMathJax_Size3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262626"/>
      <name val="Times New Roman"/>
      <family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/>
    </xf>
    <xf numFmtId="0" fontId="0" fillId="3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horizontal="center"/>
    </xf>
    <xf numFmtId="0" fontId="5" fillId="2" borderId="0" xfId="0" applyFont="1" applyFill="1"/>
    <xf numFmtId="164" fontId="0" fillId="5" borderId="0" xfId="0" applyNumberFormat="1" applyFill="1"/>
    <xf numFmtId="0" fontId="6" fillId="0" borderId="0" xfId="0" applyFont="1" applyAlignment="1">
      <alignment horizontal="centerContinuous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0" fontId="7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6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16</xdr:row>
      <xdr:rowOff>9525</xdr:rowOff>
    </xdr:from>
    <xdr:to>
      <xdr:col>12</xdr:col>
      <xdr:colOff>86711</xdr:colOff>
      <xdr:row>36</xdr:row>
      <xdr:rowOff>114846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A92FA-96A1-B9B5-C594-3F04A3A8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3067050"/>
          <a:ext cx="7068536" cy="3915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17</xdr:row>
      <xdr:rowOff>1</xdr:rowOff>
    </xdr:from>
    <xdr:to>
      <xdr:col>15</xdr:col>
      <xdr:colOff>941061</xdr:colOff>
      <xdr:row>39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E53A5-38B2-E0CA-2FE3-E0AE37A9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3286126"/>
          <a:ext cx="7322811" cy="41910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24</xdr:col>
      <xdr:colOff>266700</xdr:colOff>
      <xdr:row>39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C6BAD-9D1E-57DF-0460-E5B5CA117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78400" y="3286125"/>
          <a:ext cx="7210425" cy="421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9525</xdr:rowOff>
    </xdr:from>
    <xdr:to>
      <xdr:col>6</xdr:col>
      <xdr:colOff>1025777</xdr:colOff>
      <xdr:row>79</xdr:row>
      <xdr:rowOff>19051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4EDED9-DB26-5A0F-2142-6F91BDE8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63275"/>
          <a:ext cx="7550402" cy="420052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9525</xdr:rowOff>
    </xdr:from>
    <xdr:to>
      <xdr:col>21</xdr:col>
      <xdr:colOff>9525</xdr:colOff>
      <xdr:row>81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65915B-0C2C-D556-ED8D-CA2462DA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5300" y="11153775"/>
          <a:ext cx="9677400" cy="438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9525</xdr:rowOff>
    </xdr:from>
    <xdr:to>
      <xdr:col>6</xdr:col>
      <xdr:colOff>932110</xdr:colOff>
      <xdr:row>36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85C3F-0906-93D5-6387-20ABD5F35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4650"/>
          <a:ext cx="7123360" cy="40195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14</xdr:row>
      <xdr:rowOff>180975</xdr:rowOff>
    </xdr:from>
    <xdr:to>
      <xdr:col>16</xdr:col>
      <xdr:colOff>923925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B2652-7607-CED6-D0B4-B022B8056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2475" y="2895600"/>
          <a:ext cx="7505700" cy="405765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19049</xdr:colOff>
      <xdr:row>14</xdr:row>
      <xdr:rowOff>171450</xdr:rowOff>
    </xdr:from>
    <xdr:to>
      <xdr:col>27</xdr:col>
      <xdr:colOff>0</xdr:colOff>
      <xdr:row>36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575D02-9FF2-81F2-989C-3E8D35179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73574" y="2886075"/>
          <a:ext cx="8201026" cy="4057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76B6-80EF-4B85-9927-746F5893CFF1}">
  <dimension ref="A1:N27"/>
  <sheetViews>
    <sheetView tabSelected="1" workbookViewId="0">
      <selection activeCell="F29" sqref="F29"/>
    </sheetView>
  </sheetViews>
  <sheetFormatPr defaultRowHeight="15"/>
  <cols>
    <col min="1" max="1" width="14.85546875" customWidth="1"/>
    <col min="2" max="2" width="19.85546875" bestFit="1" customWidth="1"/>
    <col min="3" max="3" width="13.5703125" customWidth="1"/>
    <col min="4" max="4" width="13.42578125" bestFit="1" customWidth="1"/>
    <col min="6" max="6" width="19.5703125" bestFit="1" customWidth="1"/>
    <col min="7" max="7" width="12.7109375" bestFit="1" customWidth="1"/>
    <col min="8" max="8" width="14.7109375" bestFit="1" customWidth="1"/>
    <col min="9" max="9" width="12.7109375" bestFit="1" customWidth="1"/>
    <col min="10" max="10" width="12" bestFit="1" customWidth="1"/>
    <col min="11" max="11" width="13.7109375" bestFit="1" customWidth="1"/>
    <col min="12" max="12" width="12.7109375" bestFit="1" customWidth="1"/>
    <col min="13" max="14" width="12.85546875" bestFit="1" customWidth="1"/>
  </cols>
  <sheetData>
    <row r="1" spans="1:14">
      <c r="A1" s="56" t="s">
        <v>235</v>
      </c>
      <c r="B1" s="56" t="s">
        <v>266</v>
      </c>
      <c r="C1" s="56" t="s">
        <v>267</v>
      </c>
      <c r="D1" s="56"/>
      <c r="F1" t="s">
        <v>239</v>
      </c>
    </row>
    <row r="2" spans="1:14" ht="15.75" thickBot="1">
      <c r="A2" s="56">
        <v>17</v>
      </c>
      <c r="B2" s="56">
        <v>2</v>
      </c>
      <c r="C2" s="56">
        <v>0</v>
      </c>
      <c r="D2" s="56"/>
    </row>
    <row r="3" spans="1:14">
      <c r="A3" s="56">
        <v>18</v>
      </c>
      <c r="B3" s="56">
        <v>2</v>
      </c>
      <c r="C3" s="56">
        <v>0</v>
      </c>
      <c r="D3" s="56"/>
      <c r="F3" s="60" t="s">
        <v>240</v>
      </c>
      <c r="G3" s="60"/>
    </row>
    <row r="4" spans="1:14">
      <c r="A4" s="56">
        <v>18</v>
      </c>
      <c r="B4" s="56">
        <v>3</v>
      </c>
      <c r="C4" s="56">
        <v>2</v>
      </c>
      <c r="D4" s="56"/>
      <c r="F4" s="57" t="s">
        <v>241</v>
      </c>
      <c r="G4" s="57">
        <v>0.98016439283101608</v>
      </c>
    </row>
    <row r="5" spans="1:14">
      <c r="A5" s="56">
        <v>19</v>
      </c>
      <c r="B5" s="56">
        <v>3</v>
      </c>
      <c r="C5" s="56">
        <v>4</v>
      </c>
      <c r="D5" s="56"/>
      <c r="F5" s="57" t="s">
        <v>242</v>
      </c>
      <c r="G5" s="57">
        <v>0.96072223697379433</v>
      </c>
    </row>
    <row r="6" spans="1:14">
      <c r="A6" s="56">
        <v>19</v>
      </c>
      <c r="B6" s="56">
        <v>3</v>
      </c>
      <c r="C6" s="56">
        <v>4</v>
      </c>
      <c r="D6" s="56"/>
      <c r="F6" s="57" t="s">
        <v>243</v>
      </c>
      <c r="G6" s="57">
        <v>0.94762964929839244</v>
      </c>
    </row>
    <row r="7" spans="1:14">
      <c r="A7" s="56">
        <v>21</v>
      </c>
      <c r="B7" s="56">
        <v>3</v>
      </c>
      <c r="C7" s="56">
        <v>4</v>
      </c>
      <c r="D7" s="56"/>
      <c r="F7" s="57" t="s">
        <v>244</v>
      </c>
      <c r="G7" s="57">
        <v>0.64163006927137689</v>
      </c>
    </row>
    <row r="8" spans="1:14" ht="15.75" thickBot="1">
      <c r="A8" s="56">
        <v>21</v>
      </c>
      <c r="B8" s="56">
        <v>4</v>
      </c>
      <c r="C8" s="56">
        <v>7</v>
      </c>
      <c r="D8" s="56"/>
      <c r="F8" s="58" t="s">
        <v>245</v>
      </c>
      <c r="G8" s="58">
        <v>9</v>
      </c>
    </row>
    <row r="9" spans="1:14">
      <c r="A9" s="56">
        <v>21</v>
      </c>
      <c r="B9" s="56">
        <v>4</v>
      </c>
      <c r="C9" s="56">
        <v>7</v>
      </c>
      <c r="D9" s="56"/>
    </row>
    <row r="10" spans="1:14" ht="15.75" thickBot="1">
      <c r="A10" s="56">
        <v>24</v>
      </c>
      <c r="B10" s="56">
        <v>4</v>
      </c>
      <c r="C10" s="56">
        <v>7</v>
      </c>
      <c r="D10" s="56"/>
      <c r="F10" t="s">
        <v>246</v>
      </c>
    </row>
    <row r="11" spans="1:14">
      <c r="A11" s="56"/>
      <c r="B11" s="56"/>
      <c r="C11" s="56"/>
      <c r="D11" s="56"/>
      <c r="F11" s="59"/>
      <c r="G11" s="59" t="s">
        <v>250</v>
      </c>
      <c r="H11" s="59" t="s">
        <v>251</v>
      </c>
      <c r="I11" s="59" t="s">
        <v>252</v>
      </c>
      <c r="J11" s="59" t="s">
        <v>253</v>
      </c>
      <c r="K11" s="59" t="s">
        <v>254</v>
      </c>
    </row>
    <row r="12" spans="1:14">
      <c r="F12" s="57" t="s">
        <v>247</v>
      </c>
      <c r="G12" s="57">
        <v>2</v>
      </c>
      <c r="H12" s="57">
        <v>60.418754014129739</v>
      </c>
      <c r="I12" s="57">
        <v>30.20937700706487</v>
      </c>
      <c r="J12" s="57">
        <v>73.379095163806568</v>
      </c>
      <c r="K12" s="57">
        <v>6.0595480937583071E-5</v>
      </c>
    </row>
    <row r="13" spans="1:14">
      <c r="F13" s="57" t="s">
        <v>238</v>
      </c>
      <c r="G13" s="57">
        <v>6</v>
      </c>
      <c r="H13" s="57">
        <v>2.4701348747591516</v>
      </c>
      <c r="I13" s="57">
        <v>0.41168914579319194</v>
      </c>
      <c r="J13" s="57"/>
      <c r="K13" s="57"/>
    </row>
    <row r="14" spans="1:14" ht="15.75" thickBot="1">
      <c r="F14" s="58" t="s">
        <v>248</v>
      </c>
      <c r="G14" s="58">
        <v>8</v>
      </c>
      <c r="H14" s="58">
        <v>62.888888888888893</v>
      </c>
      <c r="I14" s="58"/>
      <c r="J14" s="58"/>
      <c r="K14" s="58"/>
    </row>
    <row r="15" spans="1:14" ht="15.75" thickBot="1"/>
    <row r="16" spans="1:14">
      <c r="F16" s="59"/>
      <c r="G16" s="59" t="s">
        <v>255</v>
      </c>
      <c r="H16" s="59" t="s">
        <v>244</v>
      </c>
      <c r="I16" s="59" t="s">
        <v>256</v>
      </c>
      <c r="J16" s="59" t="s">
        <v>257</v>
      </c>
      <c r="K16" s="59" t="s">
        <v>258</v>
      </c>
      <c r="L16" s="59" t="s">
        <v>259</v>
      </c>
      <c r="M16" s="59" t="s">
        <v>260</v>
      </c>
      <c r="N16" s="59" t="s">
        <v>261</v>
      </c>
    </row>
    <row r="17" spans="1:14">
      <c r="F17" s="57" t="s">
        <v>249</v>
      </c>
      <c r="G17" s="57">
        <v>-9.678227360308286</v>
      </c>
      <c r="H17" s="57">
        <v>2.5365196451949048</v>
      </c>
      <c r="I17" s="57">
        <v>-3.8155538746338453</v>
      </c>
      <c r="J17" s="57">
        <v>8.8062804226538092E-3</v>
      </c>
      <c r="K17" s="57">
        <v>-15.884867340797733</v>
      </c>
      <c r="L17" s="57">
        <v>-3.4715873798188399</v>
      </c>
      <c r="M17" s="57">
        <v>-15.884867340797733</v>
      </c>
      <c r="N17" s="57">
        <v>-3.4715873798188399</v>
      </c>
    </row>
    <row r="18" spans="1:14">
      <c r="F18" s="57" t="s">
        <v>235</v>
      </c>
      <c r="G18" s="57">
        <v>0.21194605009633913</v>
      </c>
      <c r="H18" s="57">
        <v>0.1868217207054928</v>
      </c>
      <c r="I18" s="57">
        <v>1.1344829139565229</v>
      </c>
      <c r="J18" s="57">
        <v>0.29987358574274492</v>
      </c>
      <c r="K18" s="57">
        <v>-0.24519023234922679</v>
      </c>
      <c r="L18" s="57">
        <v>0.66908233254190508</v>
      </c>
      <c r="M18" s="57">
        <v>-0.24519023234922679</v>
      </c>
      <c r="N18" s="57">
        <v>0.66908233254190508</v>
      </c>
    </row>
    <row r="19" spans="1:14" ht="15.75" thickBot="1">
      <c r="F19" s="58" t="s">
        <v>266</v>
      </c>
      <c r="G19" s="58">
        <v>3.0134874759152219</v>
      </c>
      <c r="H19" s="58">
        <v>0.51779682090758494</v>
      </c>
      <c r="I19" s="58">
        <v>5.8198261446125441</v>
      </c>
      <c r="J19" s="58">
        <v>1.1311756935662369E-3</v>
      </c>
      <c r="K19" s="58">
        <v>1.746484298351263</v>
      </c>
      <c r="L19" s="58">
        <v>4.2804906534791805</v>
      </c>
      <c r="M19" s="58">
        <v>1.746484298351263</v>
      </c>
      <c r="N19" s="58">
        <v>4.2804906534791805</v>
      </c>
    </row>
    <row r="24" spans="1:14">
      <c r="A24" s="3" t="s">
        <v>262</v>
      </c>
      <c r="B24" s="3" t="s">
        <v>263</v>
      </c>
      <c r="C24" s="3" t="s">
        <v>264</v>
      </c>
    </row>
    <row r="25" spans="1:14">
      <c r="A25" s="2">
        <v>10</v>
      </c>
      <c r="B25" s="2">
        <v>7</v>
      </c>
      <c r="C25" s="2">
        <v>14.2</v>
      </c>
    </row>
    <row r="27" spans="1:14">
      <c r="A27" s="4" t="s">
        <v>265</v>
      </c>
      <c r="B27" s="2">
        <f>G17+G18*A25+G19*B25+G20*C25</f>
        <v>13.535645472061658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A127-A39C-427E-A2C3-F6F3FFA51F8E}">
  <dimension ref="A1:M16"/>
  <sheetViews>
    <sheetView workbookViewId="0">
      <selection activeCell="P1" sqref="P1"/>
    </sheetView>
  </sheetViews>
  <sheetFormatPr defaultRowHeight="15"/>
  <cols>
    <col min="2" max="3" width="14.5703125" customWidth="1"/>
    <col min="4" max="4" width="14.42578125" customWidth="1"/>
    <col min="5" max="5" width="12.42578125" customWidth="1"/>
    <col min="6" max="6" width="20.28515625" customWidth="1"/>
    <col min="7" max="7" width="18.28515625" customWidth="1"/>
    <col min="8" max="8" width="13.85546875" customWidth="1"/>
    <col min="9" max="9" width="14.28515625" customWidth="1"/>
    <col min="12" max="12" width="19.85546875" customWidth="1"/>
    <col min="13" max="13" width="14.42578125" customWidth="1"/>
  </cols>
  <sheetData>
    <row r="1" spans="1:13">
      <c r="A1" s="56" t="s">
        <v>235</v>
      </c>
      <c r="B1" s="56" t="s">
        <v>236</v>
      </c>
      <c r="C1" s="1" t="s">
        <v>237</v>
      </c>
      <c r="D1" s="1" t="s">
        <v>238</v>
      </c>
      <c r="F1" s="38" t="s">
        <v>222</v>
      </c>
      <c r="G1" s="38"/>
      <c r="H1" s="38"/>
      <c r="I1" s="38"/>
      <c r="J1" s="38"/>
      <c r="K1" s="38"/>
      <c r="L1" s="38"/>
      <c r="M1" s="38"/>
    </row>
    <row r="2" spans="1:13">
      <c r="A2" s="56">
        <v>1</v>
      </c>
      <c r="B2" s="56">
        <v>5</v>
      </c>
      <c r="C2">
        <f>$J$6+$J$7*A2</f>
        <v>5.7128712871287135</v>
      </c>
      <c r="D2">
        <f>B2-C2</f>
        <v>-0.7128712871287135</v>
      </c>
      <c r="F2" s="39"/>
      <c r="G2" s="39"/>
      <c r="H2" s="39"/>
      <c r="I2" s="39"/>
      <c r="J2" s="39"/>
      <c r="K2" s="39"/>
      <c r="L2" s="39"/>
      <c r="M2" s="39"/>
    </row>
    <row r="3" spans="1:13">
      <c r="A3" s="56">
        <v>4</v>
      </c>
      <c r="B3" s="56">
        <v>1</v>
      </c>
      <c r="C3">
        <f t="shared" ref="C3:C17" si="0">$J$6+$J$7*A3</f>
        <v>2.6980198019801982</v>
      </c>
      <c r="D3">
        <f t="shared" ref="D3:D17" si="1">B3-C3</f>
        <v>-1.6980198019801982</v>
      </c>
      <c r="F3" s="39"/>
      <c r="G3" s="39"/>
      <c r="H3" s="39"/>
      <c r="I3" s="39"/>
      <c r="J3" s="39"/>
      <c r="K3" s="39"/>
      <c r="L3" s="39"/>
      <c r="M3" s="39"/>
    </row>
    <row r="4" spans="1:13">
      <c r="A4" s="56">
        <v>7</v>
      </c>
      <c r="B4" s="56">
        <v>0</v>
      </c>
      <c r="C4">
        <f t="shared" si="0"/>
        <v>-0.31683168316831711</v>
      </c>
      <c r="D4">
        <f t="shared" si="1"/>
        <v>0.31683168316831711</v>
      </c>
      <c r="F4" s="25" t="s">
        <v>221</v>
      </c>
      <c r="G4" s="36">
        <f>CORREL(A:A,B:B)</f>
        <v>-0.8782284765766426</v>
      </c>
      <c r="I4" s="4" t="s">
        <v>228</v>
      </c>
      <c r="J4" s="37">
        <v>2</v>
      </c>
      <c r="L4" s="4" t="s">
        <v>230</v>
      </c>
      <c r="M4" s="36">
        <f>SUMSQ(D:D)</f>
        <v>12.099009900990099</v>
      </c>
    </row>
    <row r="5" spans="1:13">
      <c r="A5" s="56">
        <v>3</v>
      </c>
      <c r="B5" s="56">
        <v>3</v>
      </c>
      <c r="C5">
        <f>$J$6+$J$7*A5</f>
        <v>3.7029702970297036</v>
      </c>
      <c r="D5">
        <f t="shared" si="1"/>
        <v>-0.70297029702970359</v>
      </c>
      <c r="F5" s="25" t="s">
        <v>220</v>
      </c>
      <c r="G5" s="36">
        <f>RSQ(B:B,A:A)</f>
        <v>0.77128525707013063</v>
      </c>
      <c r="L5" s="4" t="s">
        <v>231</v>
      </c>
      <c r="M5" s="36">
        <f>SQRT(M4/G9)</f>
        <v>1.2297870700343871</v>
      </c>
    </row>
    <row r="6" spans="1:13">
      <c r="A6" s="56">
        <v>2</v>
      </c>
      <c r="B6" s="56">
        <v>5</v>
      </c>
      <c r="C6">
        <f t="shared" si="0"/>
        <v>4.707920792079209</v>
      </c>
      <c r="D6">
        <f t="shared" si="1"/>
        <v>0.29207920792079101</v>
      </c>
      <c r="F6" s="25" t="s">
        <v>58</v>
      </c>
      <c r="G6" s="36">
        <f>COUNT(A:A)</f>
        <v>10</v>
      </c>
      <c r="I6" s="4" t="s">
        <v>227</v>
      </c>
      <c r="J6" s="36">
        <f>INTERCEPT(B:B,A:A)</f>
        <v>6.7178217821782189</v>
      </c>
      <c r="L6" s="4"/>
      <c r="M6" s="1"/>
    </row>
    <row r="7" spans="1:13">
      <c r="A7" s="56">
        <v>2</v>
      </c>
      <c r="B7" s="56">
        <v>4</v>
      </c>
      <c r="C7">
        <f t="shared" si="0"/>
        <v>4.707920792079209</v>
      </c>
      <c r="D7">
        <f t="shared" si="1"/>
        <v>-0.70792079207920899</v>
      </c>
      <c r="F7" s="25" t="s">
        <v>223</v>
      </c>
      <c r="G7" s="37">
        <v>0.05</v>
      </c>
      <c r="I7" s="4" t="s">
        <v>226</v>
      </c>
      <c r="J7" s="36">
        <f>SLOPE(B:B,A:A)</f>
        <v>-1.0049504950495052</v>
      </c>
      <c r="L7" s="4" t="s">
        <v>232</v>
      </c>
      <c r="M7" s="36">
        <f>AVERAGE(A:A)</f>
        <v>3.6</v>
      </c>
    </row>
    <row r="8" spans="1:13">
      <c r="A8" s="56">
        <v>5</v>
      </c>
      <c r="B8" s="56">
        <v>1</v>
      </c>
      <c r="C8">
        <f t="shared" si="0"/>
        <v>1.6930693069306928</v>
      </c>
      <c r="D8">
        <f t="shared" si="1"/>
        <v>-0.6930693069306928</v>
      </c>
      <c r="F8" s="25"/>
      <c r="G8" s="1"/>
      <c r="L8" s="4" t="s">
        <v>233</v>
      </c>
      <c r="M8" s="36">
        <f>SUM(A:A)</f>
        <v>36</v>
      </c>
    </row>
    <row r="9" spans="1:13">
      <c r="A9" s="56">
        <v>5</v>
      </c>
      <c r="B9" s="56">
        <v>2</v>
      </c>
      <c r="C9">
        <f t="shared" si="0"/>
        <v>1.6930693069306928</v>
      </c>
      <c r="D9">
        <f t="shared" si="1"/>
        <v>0.3069306930693072</v>
      </c>
      <c r="F9" s="25" t="s">
        <v>224</v>
      </c>
      <c r="G9" s="36">
        <f>G6-2</f>
        <v>8</v>
      </c>
      <c r="I9" s="4" t="s">
        <v>229</v>
      </c>
      <c r="J9" s="36">
        <f>J6+J7*J4</f>
        <v>4.707920792079209</v>
      </c>
      <c r="L9" s="4" t="s">
        <v>234</v>
      </c>
      <c r="M9" s="36">
        <f>SUMSQ(A:A)</f>
        <v>170</v>
      </c>
    </row>
    <row r="10" spans="1:13">
      <c r="A10" s="56">
        <v>1</v>
      </c>
      <c r="B10" s="56">
        <v>8</v>
      </c>
      <c r="C10">
        <f t="shared" si="0"/>
        <v>5.7128712871287135</v>
      </c>
      <c r="D10">
        <f t="shared" si="1"/>
        <v>2.2871287128712865</v>
      </c>
      <c r="F10" s="25" t="s">
        <v>225</v>
      </c>
      <c r="G10" s="36">
        <f>G4*SQRT(G9)/SQRT(1-G5)</f>
        <v>-5.1940416574928321</v>
      </c>
      <c r="L10" s="4" t="s">
        <v>75</v>
      </c>
      <c r="M10" s="36">
        <f>_xlfn.T.INV.2T(G7,G9)</f>
        <v>2.3060041352041671</v>
      </c>
    </row>
    <row r="11" spans="1:13">
      <c r="A11" s="56">
        <v>6</v>
      </c>
      <c r="B11" s="56">
        <v>2</v>
      </c>
      <c r="C11">
        <f t="shared" si="0"/>
        <v>0.68811881188118829</v>
      </c>
      <c r="D11">
        <f t="shared" si="1"/>
        <v>1.3118811881188117</v>
      </c>
      <c r="F11" s="25" t="s">
        <v>170</v>
      </c>
      <c r="G11" s="36">
        <f>_xlfn.T.DIST.2T(ABS(G10),G9)</f>
        <v>8.2840847785472637E-4</v>
      </c>
      <c r="L11" s="4" t="s">
        <v>148</v>
      </c>
      <c r="M11" s="36">
        <f>M10*M5*SQRT(1+1/G6+(G6*(J4-M7)^2)/(G6*M9-M8^2))</f>
        <v>3.0587800624116026</v>
      </c>
    </row>
    <row r="12" spans="1:13">
      <c r="A12" s="34"/>
      <c r="B12" s="34"/>
      <c r="F12" s="25" t="s">
        <v>171</v>
      </c>
      <c r="G12" s="35" t="str">
        <f>IF(G11&lt;G7,"Significant","Not Significant")</f>
        <v>Significant</v>
      </c>
      <c r="L12" s="4"/>
      <c r="M12" s="1"/>
    </row>
    <row r="13" spans="1:13">
      <c r="A13" s="34"/>
      <c r="B13" s="34"/>
      <c r="L13" s="4" t="s">
        <v>76</v>
      </c>
      <c r="M13" s="32">
        <f>J9-M11</f>
        <v>1.6491407296676064</v>
      </c>
    </row>
    <row r="14" spans="1:13">
      <c r="A14" s="34"/>
      <c r="B14" s="34"/>
      <c r="L14" s="4" t="s">
        <v>77</v>
      </c>
      <c r="M14" s="32">
        <f>J9+M11</f>
        <v>7.7667008544908116</v>
      </c>
    </row>
    <row r="15" spans="1:13" ht="15.75" customHeight="1">
      <c r="A15" s="34"/>
      <c r="B15" s="34"/>
    </row>
    <row r="16" spans="1:13">
      <c r="A16" s="34"/>
      <c r="B16" s="34"/>
    </row>
  </sheetData>
  <mergeCells count="2">
    <mergeCell ref="F1:M1"/>
    <mergeCell ref="F2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793B-4F61-49DF-A058-B5FD068E7962}">
  <dimension ref="A1:Y57"/>
  <sheetViews>
    <sheetView zoomScaleNormal="100" workbookViewId="0">
      <selection activeCell="S52" sqref="S52"/>
    </sheetView>
  </sheetViews>
  <sheetFormatPr defaultRowHeight="15"/>
  <cols>
    <col min="1" max="1" width="25.42578125" customWidth="1"/>
    <col min="2" max="2" width="15.28515625" customWidth="1"/>
    <col min="4" max="4" width="16.140625" bestFit="1" customWidth="1"/>
    <col min="5" max="5" width="16.28515625" customWidth="1"/>
    <col min="6" max="6" width="15.5703125" customWidth="1"/>
    <col min="7" max="7" width="15.42578125" customWidth="1"/>
    <col min="10" max="10" width="24.5703125" customWidth="1"/>
    <col min="11" max="11" width="13.5703125" customWidth="1"/>
    <col min="13" max="13" width="16.42578125" customWidth="1"/>
    <col min="14" max="14" width="16.140625" customWidth="1"/>
    <col min="15" max="15" width="15.7109375" customWidth="1"/>
    <col min="16" max="16" width="14.140625" customWidth="1"/>
    <col min="18" max="18" width="16.140625" bestFit="1" customWidth="1"/>
    <col min="19" max="19" width="24.5703125" customWidth="1"/>
    <col min="20" max="20" width="16.5703125" customWidth="1"/>
    <col min="21" max="21" width="16.140625" customWidth="1"/>
    <col min="22" max="22" width="17.85546875" customWidth="1"/>
    <col min="23" max="23" width="14.5703125" customWidth="1"/>
    <col min="24" max="24" width="14.42578125" customWidth="1"/>
    <col min="25" max="25" width="14.7109375" customWidth="1"/>
  </cols>
  <sheetData>
    <row r="1" spans="1:25" ht="18.75">
      <c r="A1" s="40" t="s">
        <v>198</v>
      </c>
      <c r="B1" s="40"/>
      <c r="C1" s="40"/>
      <c r="D1" s="40"/>
      <c r="E1" s="40"/>
      <c r="F1" s="40"/>
      <c r="G1" s="40"/>
      <c r="J1" s="40" t="s">
        <v>201</v>
      </c>
      <c r="K1" s="40"/>
      <c r="L1" s="40"/>
      <c r="M1" s="40"/>
      <c r="N1" s="40"/>
      <c r="O1" s="40"/>
      <c r="P1" s="40"/>
      <c r="S1" s="40" t="s">
        <v>200</v>
      </c>
      <c r="T1" s="40"/>
      <c r="U1" s="40"/>
      <c r="V1" s="40"/>
      <c r="W1" s="40"/>
      <c r="X1" s="40"/>
      <c r="Y1" s="40"/>
    </row>
    <row r="2" spans="1:25">
      <c r="A2" s="39"/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S2" s="39"/>
      <c r="T2" s="39"/>
      <c r="U2" s="39"/>
      <c r="V2" s="39"/>
      <c r="W2" s="39"/>
      <c r="X2" s="39"/>
      <c r="Y2" s="39"/>
    </row>
    <row r="3" spans="1:25">
      <c r="A3" s="39"/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S3" s="39"/>
      <c r="T3" s="39"/>
      <c r="U3" s="39"/>
      <c r="V3" s="39"/>
      <c r="W3" s="39"/>
      <c r="X3" s="39"/>
      <c r="Y3" s="39"/>
    </row>
    <row r="4" spans="1:25">
      <c r="E4" s="3" t="s">
        <v>173</v>
      </c>
      <c r="F4" s="3" t="s">
        <v>174</v>
      </c>
      <c r="G4" s="3" t="s">
        <v>175</v>
      </c>
      <c r="N4" s="3" t="s">
        <v>173</v>
      </c>
      <c r="O4" s="3" t="s">
        <v>174</v>
      </c>
      <c r="P4" s="3" t="s">
        <v>175</v>
      </c>
      <c r="W4" s="3" t="s">
        <v>173</v>
      </c>
      <c r="X4" s="3" t="s">
        <v>174</v>
      </c>
      <c r="Y4" s="3" t="s">
        <v>175</v>
      </c>
    </row>
    <row r="5" spans="1:25">
      <c r="A5" s="4" t="s">
        <v>124</v>
      </c>
      <c r="B5">
        <v>21.8</v>
      </c>
      <c r="D5" s="4" t="s">
        <v>169</v>
      </c>
      <c r="E5" s="2">
        <f>_xlfn.NORM.S.INV(B12)</f>
        <v>-1.6448536269514726</v>
      </c>
      <c r="F5" s="2">
        <f>_xlfn.NORM.S.INV(1-B12)</f>
        <v>1.6448536269514715</v>
      </c>
      <c r="G5" s="2">
        <f>_xlfn.NORM.S.INV(1-B12/2)</f>
        <v>1.9599639845400536</v>
      </c>
      <c r="J5" s="4" t="s">
        <v>124</v>
      </c>
      <c r="K5">
        <v>309.63</v>
      </c>
      <c r="M5" s="4" t="s">
        <v>169</v>
      </c>
      <c r="N5" s="2">
        <f>_xlfn.T.INV(K12,K14)</f>
        <v>-1.3450303744546506</v>
      </c>
      <c r="O5" s="2">
        <f>_xlfn.T.INV(1-K12,K14)</f>
        <v>1.3450303744546506</v>
      </c>
      <c r="P5" s="2">
        <f>_xlfn.T.INV.2T(K12,K14)</f>
        <v>1.7613101357748921</v>
      </c>
      <c r="S5" s="4" t="s">
        <v>124</v>
      </c>
      <c r="T5">
        <v>80.2</v>
      </c>
      <c r="V5" s="4" t="s">
        <v>169</v>
      </c>
      <c r="W5" s="2">
        <f>_xlfn.T.INV(T12,T14)</f>
        <v>-1.7011309342659326</v>
      </c>
      <c r="X5" s="2">
        <f>_xlfn.T.INV(1-T12,T14)</f>
        <v>1.7011309342659309</v>
      </c>
      <c r="Y5" s="2">
        <f>_xlfn.T.INV.2T(T12,T14)</f>
        <v>2.0484071417952445</v>
      </c>
    </row>
    <row r="6" spans="1:25">
      <c r="A6" s="4" t="s">
        <v>125</v>
      </c>
      <c r="B6">
        <v>0.6</v>
      </c>
      <c r="D6" s="4" t="s">
        <v>170</v>
      </c>
      <c r="E6" s="2">
        <f>_xlfn.NORM.S.DIST(B14,1)</f>
        <v>9.2110627270493711E-3</v>
      </c>
      <c r="F6" s="2">
        <f>1-_xlfn.NORM.S.DIST(B14,1)</f>
        <v>0.99078893727295059</v>
      </c>
      <c r="G6" s="2">
        <f>IF(B14&lt;0,2*_xlfn.NORM.S.DIST(B14,1),2*(1-_xlfn.NORM.S.DIST(B14,1)))</f>
        <v>1.8422125454098742E-2</v>
      </c>
      <c r="J6" s="4" t="s">
        <v>125</v>
      </c>
      <c r="K6">
        <v>15.91</v>
      </c>
      <c r="M6" s="4" t="s">
        <v>170</v>
      </c>
      <c r="N6" s="2">
        <f>_xlfn.T.DIST(K15,K14,1)</f>
        <v>0.32821800292647985</v>
      </c>
      <c r="O6" s="2">
        <f>_xlfn.T.DIST.RT(K15,K14)</f>
        <v>0.67178199707352015</v>
      </c>
      <c r="P6" s="2">
        <f>_xlfn.T.DIST.2T(ABS(K15),K14)</f>
        <v>0.65643600585295969</v>
      </c>
      <c r="S6" s="4" t="s">
        <v>125</v>
      </c>
      <c r="T6">
        <v>4.0999999999999996</v>
      </c>
      <c r="V6" s="4" t="s">
        <v>170</v>
      </c>
      <c r="W6" s="2">
        <f>_xlfn.T.DIST(T15,T14,1)</f>
        <v>0.98160785238896064</v>
      </c>
      <c r="X6" s="2">
        <f>_xlfn.T.DIST.RT(T15,T14)</f>
        <v>1.8392147611039411E-2</v>
      </c>
      <c r="Y6" s="2">
        <f>_xlfn.T.DIST.2T(ABS(T15),T14)</f>
        <v>3.6784295222078822E-2</v>
      </c>
    </row>
    <row r="7" spans="1:25">
      <c r="A7" s="4" t="s">
        <v>126</v>
      </c>
      <c r="B7">
        <v>200</v>
      </c>
      <c r="J7" s="4" t="s">
        <v>126</v>
      </c>
      <c r="K7">
        <v>20</v>
      </c>
      <c r="S7" s="4" t="s">
        <v>126</v>
      </c>
      <c r="T7">
        <v>13</v>
      </c>
    </row>
    <row r="8" spans="1:25">
      <c r="A8" s="4" t="s">
        <v>127</v>
      </c>
      <c r="B8">
        <v>22.1</v>
      </c>
      <c r="D8" s="4" t="s">
        <v>171</v>
      </c>
      <c r="E8" s="32" t="str">
        <f>IF(E6&lt;B12,"REJECT","FAIL TO REJECT")</f>
        <v>REJECT</v>
      </c>
      <c r="F8" s="32" t="str">
        <f>IF(F6&lt;B12,"REJECT","FAIL TO REJECT")</f>
        <v>FAIL TO REJECT</v>
      </c>
      <c r="G8" s="32" t="str">
        <f>IF(G6&lt;B12,"REJECT","FAIL TO REJECT")</f>
        <v>REJECT</v>
      </c>
      <c r="J8" s="4" t="s">
        <v>127</v>
      </c>
      <c r="K8">
        <v>311.87</v>
      </c>
      <c r="M8" s="4" t="s">
        <v>171</v>
      </c>
      <c r="N8" s="32" t="str">
        <f>IF(N6&lt;K12,"REJECT","FAIL TO REJECT")</f>
        <v>FAIL TO REJECT</v>
      </c>
      <c r="O8" s="32" t="str">
        <f>IF(O6&lt;K12,"REJECT","FAIL TO REJECT")</f>
        <v>FAIL TO REJECT</v>
      </c>
      <c r="P8" s="32" t="str">
        <f>IF(P6&lt;K12,"REJECT","FAIL TO REJECT")</f>
        <v>FAIL TO REJECT</v>
      </c>
      <c r="S8" s="4" t="s">
        <v>127</v>
      </c>
      <c r="T8">
        <v>77.400000000000006</v>
      </c>
      <c r="V8" s="4" t="s">
        <v>171</v>
      </c>
      <c r="W8" s="32" t="str">
        <f>IF(W6&lt;T12,"REJECT","FAIL TO REJECT")</f>
        <v>FAIL TO REJECT</v>
      </c>
      <c r="X8" s="32" t="str">
        <f>IF(X6&lt;T12,"REJECT","FAIL TO REJECT")</f>
        <v>REJECT</v>
      </c>
      <c r="Y8" s="32" t="str">
        <f>IF(Y6&lt;T12,"REJECT","FAIL TO REJECT")</f>
        <v>REJECT</v>
      </c>
    </row>
    <row r="9" spans="1:25">
      <c r="A9" s="4" t="s">
        <v>128</v>
      </c>
      <c r="B9">
        <v>1.8</v>
      </c>
      <c r="J9" s="4" t="s">
        <v>128</v>
      </c>
      <c r="K9">
        <v>13.21</v>
      </c>
      <c r="S9" s="4" t="s">
        <v>128</v>
      </c>
      <c r="T9">
        <v>2.9</v>
      </c>
    </row>
    <row r="10" spans="1:25">
      <c r="A10" s="4" t="s">
        <v>129</v>
      </c>
      <c r="B10">
        <v>225</v>
      </c>
      <c r="D10" s="4" t="s">
        <v>130</v>
      </c>
      <c r="E10" s="2">
        <f>B5-B8</f>
        <v>-0.30000000000000071</v>
      </c>
      <c r="J10" s="4" t="s">
        <v>129</v>
      </c>
      <c r="K10">
        <v>15</v>
      </c>
      <c r="M10" s="4" t="s">
        <v>130</v>
      </c>
      <c r="N10" s="2">
        <f>K5-K8</f>
        <v>-2.2400000000000091</v>
      </c>
      <c r="S10" s="4" t="s">
        <v>129</v>
      </c>
      <c r="T10">
        <v>17</v>
      </c>
      <c r="V10" s="4" t="s">
        <v>130</v>
      </c>
      <c r="W10" s="2">
        <f>T5-T8</f>
        <v>2.7999999999999972</v>
      </c>
    </row>
    <row r="11" spans="1:25">
      <c r="A11" s="4" t="s">
        <v>199</v>
      </c>
      <c r="B11">
        <v>0</v>
      </c>
      <c r="D11" s="4" t="s">
        <v>88</v>
      </c>
      <c r="E11" s="2">
        <f>F5*SQRT(B6^2/B7+B9^2/B10)</f>
        <v>0.20935568766180121</v>
      </c>
      <c r="G11" s="2">
        <f>G5*SQRT(B6^2/B7+B9^2/B10)</f>
        <v>0.249462688382942</v>
      </c>
      <c r="J11" s="4" t="s">
        <v>199</v>
      </c>
      <c r="K11">
        <v>0</v>
      </c>
      <c r="M11" s="4" t="s">
        <v>88</v>
      </c>
      <c r="N11" s="2">
        <f>O5*SQRT(K6^2/K7+K9^2/K10)</f>
        <v>6.6289684754537328</v>
      </c>
      <c r="P11" s="2">
        <f>P5*SQRT(K6^2/K7+K9^2/K10)</f>
        <v>8.6805990312916563</v>
      </c>
      <c r="S11" s="4" t="s">
        <v>199</v>
      </c>
      <c r="T11">
        <v>0</v>
      </c>
      <c r="V11" s="4" t="s">
        <v>88</v>
      </c>
      <c r="W11" s="2">
        <f>X5*(SQRT(((T7-1)*T6^2+(T10-1)*T9^2)/T14)*SQRT(1/T7+1/T10))</f>
        <v>2.1720695949811493</v>
      </c>
      <c r="Y11" s="2">
        <f>Y5*(SQRT(((T7-1)*T6^2+(T10-1)*T9^2)/T14)*SQRT(1/T7+1/T10))</f>
        <v>2.6154852523187095</v>
      </c>
    </row>
    <row r="12" spans="1:25">
      <c r="A12" s="4" t="s">
        <v>167</v>
      </c>
      <c r="B12">
        <v>0.05</v>
      </c>
      <c r="J12" s="4" t="s">
        <v>167</v>
      </c>
      <c r="K12">
        <v>0.1</v>
      </c>
      <c r="S12" s="4" t="s">
        <v>167</v>
      </c>
      <c r="T12">
        <v>0.05</v>
      </c>
    </row>
    <row r="13" spans="1:25">
      <c r="D13" s="4" t="s">
        <v>176</v>
      </c>
      <c r="E13" s="2">
        <f>E10-E11</f>
        <v>-0.50935568766180195</v>
      </c>
      <c r="F13" s="2">
        <f>E10+E11</f>
        <v>-9.0644312338199501E-2</v>
      </c>
      <c r="M13" s="4" t="s">
        <v>176</v>
      </c>
      <c r="N13" s="2">
        <f>N10-N11</f>
        <v>-8.868968475453741</v>
      </c>
      <c r="O13" s="2">
        <f>N10+N11</f>
        <v>4.3889684754537237</v>
      </c>
      <c r="V13" s="4" t="s">
        <v>176</v>
      </c>
      <c r="W13" s="2">
        <f>W10-W11</f>
        <v>0.62793040501884789</v>
      </c>
      <c r="X13" s="2">
        <f>W10+W11</f>
        <v>4.9720695949811464</v>
      </c>
    </row>
    <row r="14" spans="1:25">
      <c r="A14" s="4" t="s">
        <v>168</v>
      </c>
      <c r="B14" s="2">
        <f>((B5-B8)-B11)/SQRT(B6^2/B7+B9^2/B10)</f>
        <v>-2.3570226039551638</v>
      </c>
      <c r="J14" s="4" t="s">
        <v>136</v>
      </c>
      <c r="K14" s="2">
        <f>IF(K7&lt;K10,K7-1,K10-1)</f>
        <v>14</v>
      </c>
      <c r="S14" s="4" t="s">
        <v>136</v>
      </c>
      <c r="T14" s="2">
        <f>T7+T10-2</f>
        <v>28</v>
      </c>
    </row>
    <row r="15" spans="1:25">
      <c r="D15" s="4" t="s">
        <v>177</v>
      </c>
      <c r="E15" s="2">
        <f>E10-G11</f>
        <v>-0.54946268838294277</v>
      </c>
      <c r="F15" s="2">
        <f>E10+G11</f>
        <v>-5.0537311617058711E-2</v>
      </c>
      <c r="J15" s="4" t="s">
        <v>168</v>
      </c>
      <c r="K15" s="2">
        <f>((K5-K8)-K11)/SQRT(K6^2/K7+K9^2/K10)</f>
        <v>-0.45450028159504979</v>
      </c>
      <c r="M15" s="4" t="s">
        <v>177</v>
      </c>
      <c r="N15" s="2">
        <f>N10-P11</f>
        <v>-10.920599031291665</v>
      </c>
      <c r="O15" s="2">
        <f>N10+P11</f>
        <v>6.4405990312916472</v>
      </c>
      <c r="S15" s="4" t="s">
        <v>168</v>
      </c>
      <c r="T15" s="2">
        <f>(T5-T8-T11)/(SQRT(((T7-1)*T6^2+(T10-1)*T9^2)/T14)*SQRT(1/T7+1/T10))</f>
        <v>2.192916206253483</v>
      </c>
      <c r="V15" s="4" t="s">
        <v>177</v>
      </c>
      <c r="W15" s="2">
        <f>W10-Y11</f>
        <v>0.18451474768128762</v>
      </c>
      <c r="X15" s="2">
        <f>W10+Y11</f>
        <v>5.4154852523187067</v>
      </c>
    </row>
    <row r="42" spans="1:21" ht="18.75">
      <c r="A42" s="40" t="s">
        <v>218</v>
      </c>
      <c r="B42" s="40"/>
      <c r="C42" s="40"/>
      <c r="D42" s="40"/>
      <c r="E42" s="40"/>
      <c r="F42" s="40"/>
      <c r="G42" s="40"/>
      <c r="I42" s="41"/>
      <c r="J42" s="42"/>
      <c r="M42" s="40" t="s">
        <v>219</v>
      </c>
      <c r="N42" s="40"/>
      <c r="O42" s="40"/>
      <c r="P42" s="40"/>
      <c r="Q42" s="40"/>
      <c r="R42" s="40"/>
      <c r="S42" s="40"/>
      <c r="T42" s="40"/>
      <c r="U42" s="40"/>
    </row>
    <row r="43" spans="1:21">
      <c r="A43" s="39"/>
      <c r="B43" s="39"/>
      <c r="C43" s="39"/>
      <c r="D43" s="39"/>
      <c r="E43" s="39"/>
      <c r="F43" s="39"/>
      <c r="G43" s="39"/>
      <c r="I43" s="27"/>
      <c r="J43" s="27"/>
      <c r="M43" s="39"/>
      <c r="N43" s="39"/>
      <c r="O43" s="39"/>
      <c r="P43" s="39"/>
      <c r="Q43" s="39"/>
      <c r="R43" s="39"/>
      <c r="S43" s="39"/>
      <c r="T43" s="39"/>
      <c r="U43" s="39"/>
    </row>
    <row r="44" spans="1:21">
      <c r="A44" s="39"/>
      <c r="B44" s="39"/>
      <c r="C44" s="39"/>
      <c r="D44" s="39"/>
      <c r="E44" s="39"/>
      <c r="F44" s="39"/>
      <c r="G44" s="39"/>
      <c r="I44" s="28">
        <v>16.239999999999998</v>
      </c>
      <c r="J44" s="28">
        <v>17.96</v>
      </c>
      <c r="K44">
        <f t="shared" ref="K44:K52" si="0">J44-I44</f>
        <v>1.7200000000000024</v>
      </c>
      <c r="M44" s="39"/>
      <c r="N44" s="39"/>
      <c r="O44" s="39"/>
      <c r="P44" s="39"/>
      <c r="Q44" s="39"/>
      <c r="R44" s="39"/>
      <c r="S44" s="39"/>
      <c r="T44" s="39"/>
      <c r="U44" s="39"/>
    </row>
    <row r="45" spans="1:21">
      <c r="A45" t="s">
        <v>202</v>
      </c>
      <c r="B45" s="33" t="s">
        <v>205</v>
      </c>
      <c r="E45" s="3" t="s">
        <v>173</v>
      </c>
      <c r="F45" s="3" t="s">
        <v>174</v>
      </c>
      <c r="G45" s="3" t="s">
        <v>175</v>
      </c>
      <c r="I45" s="28">
        <v>12.06</v>
      </c>
      <c r="J45" s="28">
        <v>11.58</v>
      </c>
      <c r="K45">
        <f t="shared" si="0"/>
        <v>-0.48000000000000043</v>
      </c>
      <c r="M45" s="4" t="s">
        <v>206</v>
      </c>
      <c r="N45">
        <v>1500</v>
      </c>
      <c r="O45" s="3" t="s">
        <v>212</v>
      </c>
      <c r="P45" s="2">
        <f>N45/N46</f>
        <v>0.70555032925682037</v>
      </c>
      <c r="S45" s="3" t="s">
        <v>173</v>
      </c>
      <c r="T45" s="3" t="s">
        <v>174</v>
      </c>
      <c r="U45" s="3" t="s">
        <v>175</v>
      </c>
    </row>
    <row r="46" spans="1:21">
      <c r="A46" t="s">
        <v>203</v>
      </c>
      <c r="B46">
        <v>0</v>
      </c>
      <c r="D46" s="4" t="s">
        <v>169</v>
      </c>
      <c r="E46" s="2">
        <f>_xlfn.T.INV(B47,B51)</f>
        <v>-2.4489849896407789</v>
      </c>
      <c r="F46" s="2">
        <f>_xlfn.T.INV(1-B47,B51)</f>
        <v>2.448984989640778</v>
      </c>
      <c r="G46" s="2">
        <f>_xlfn.T.INV.2T(B47,B51)</f>
        <v>2.8964594477096224</v>
      </c>
      <c r="I46" s="28">
        <v>17.239999999999998</v>
      </c>
      <c r="J46" s="28">
        <v>18.82</v>
      </c>
      <c r="K46">
        <f t="shared" si="0"/>
        <v>1.5800000000000018</v>
      </c>
      <c r="M46" s="4" t="s">
        <v>207</v>
      </c>
      <c r="N46">
        <v>2126</v>
      </c>
      <c r="O46" s="3" t="s">
        <v>213</v>
      </c>
      <c r="P46" s="2">
        <f>1-P45</f>
        <v>0.29444967074317963</v>
      </c>
      <c r="R46" s="4" t="s">
        <v>169</v>
      </c>
      <c r="S46" s="2">
        <f>_xlfn.NORM.S.INV(N50)</f>
        <v>-1.6448536269514726</v>
      </c>
      <c r="T46" s="2">
        <f>_xlfn.NORM.S.INV(1-N50)</f>
        <v>1.6448536269514715</v>
      </c>
      <c r="U46" s="2">
        <f>_xlfn.NORM.S.INV(1-N50/2)</f>
        <v>1.9599639845400536</v>
      </c>
    </row>
    <row r="47" spans="1:21">
      <c r="A47" t="s">
        <v>167</v>
      </c>
      <c r="B47">
        <v>0.02</v>
      </c>
      <c r="D47" s="4" t="s">
        <v>170</v>
      </c>
      <c r="E47" s="2">
        <f>_xlfn.T.DIST(B53,B51,1)</f>
        <v>0.8990951388479328</v>
      </c>
      <c r="F47" s="2">
        <f>_xlfn.T.DIST.RT(B53,B51)</f>
        <v>0.10090486115206725</v>
      </c>
      <c r="G47" s="2">
        <f>_xlfn.T.DIST.2T(B53,B51)</f>
        <v>0.20180972230413449</v>
      </c>
      <c r="I47" s="28">
        <v>12.78</v>
      </c>
      <c r="J47" s="28">
        <v>14.34</v>
      </c>
      <c r="K47">
        <f t="shared" si="0"/>
        <v>1.5600000000000005</v>
      </c>
      <c r="M47" s="4" t="s">
        <v>208</v>
      </c>
      <c r="N47">
        <v>1512</v>
      </c>
      <c r="O47" s="3" t="s">
        <v>214</v>
      </c>
      <c r="P47" s="2">
        <f>N47/N48</f>
        <v>0.74851485148514851</v>
      </c>
      <c r="R47" s="4" t="s">
        <v>170</v>
      </c>
      <c r="S47" s="2">
        <f>_xlfn.NORM.S.DIST(P52,1)</f>
        <v>9.6094728071490323E-4</v>
      </c>
      <c r="T47" s="2">
        <f>1-_xlfn.NORM.S.DIST(P52,1)</f>
        <v>0.99903905271928506</v>
      </c>
      <c r="U47" s="2">
        <f>2*(1-_xlfn.NORM.S.DIST(ABS(P52),1))</f>
        <v>1.9218945614298821E-3</v>
      </c>
    </row>
    <row r="48" spans="1:21">
      <c r="A48" t="s">
        <v>146</v>
      </c>
      <c r="B48" s="17">
        <f>AVERAGE(K43:K52)</f>
        <v>0.58555555555555605</v>
      </c>
      <c r="I48" s="28">
        <v>14.32</v>
      </c>
      <c r="J48" s="28">
        <v>12.51</v>
      </c>
      <c r="K48">
        <f t="shared" si="0"/>
        <v>-1.8100000000000005</v>
      </c>
      <c r="M48" s="4" t="s">
        <v>209</v>
      </c>
      <c r="N48">
        <v>2020</v>
      </c>
      <c r="O48" s="3" t="s">
        <v>215</v>
      </c>
      <c r="P48" s="2">
        <f>1-P47</f>
        <v>0.25148514851485149</v>
      </c>
    </row>
    <row r="49" spans="1:21">
      <c r="A49" t="s">
        <v>147</v>
      </c>
      <c r="B49" s="17">
        <f>_xlfn.STDEV.S(K43:K52)</f>
        <v>1.2632508768165491</v>
      </c>
      <c r="D49" s="4" t="s">
        <v>171</v>
      </c>
      <c r="E49" s="32" t="str">
        <f>IF(E47&lt;B47,"REJECT","FAIL TO REJECT")</f>
        <v>FAIL TO REJECT</v>
      </c>
      <c r="F49" s="32" t="str">
        <f>IF(F47&lt;B47,"REJECT","FAIL TO REJECT")</f>
        <v>FAIL TO REJECT</v>
      </c>
      <c r="G49" s="32" t="str">
        <f>IF(G47&lt;B47,"REJECT","FAIL TO REJECT")</f>
        <v>FAIL TO REJECT</v>
      </c>
      <c r="I49" s="28">
        <v>15.54</v>
      </c>
      <c r="J49" s="28">
        <v>17.149999999999999</v>
      </c>
      <c r="K49">
        <f t="shared" si="0"/>
        <v>1.6099999999999994</v>
      </c>
      <c r="M49" s="4" t="s">
        <v>210</v>
      </c>
      <c r="N49">
        <v>0</v>
      </c>
      <c r="O49" s="1"/>
      <c r="R49" s="4" t="s">
        <v>171</v>
      </c>
      <c r="S49" s="32" t="str">
        <f>IF(S47&lt;N50,"REJECT","FAIL TO REJECT")</f>
        <v>REJECT</v>
      </c>
      <c r="T49" s="32" t="str">
        <f>IF(T47&lt;N50,"REJECT","FAIL TO REJECT")</f>
        <v>FAIL TO REJECT</v>
      </c>
      <c r="U49" s="32" t="str">
        <f>IF(U47&lt;N50,"REJECT","FAIL TO REJECT")</f>
        <v>REJECT</v>
      </c>
    </row>
    <row r="50" spans="1:21">
      <c r="A50" t="s">
        <v>58</v>
      </c>
      <c r="B50" s="17">
        <f>COUNT(K43:K52)</f>
        <v>9</v>
      </c>
      <c r="I50" s="28">
        <v>18.36</v>
      </c>
      <c r="J50" s="28">
        <v>19.670000000000002</v>
      </c>
      <c r="K50">
        <f t="shared" si="0"/>
        <v>1.3100000000000023</v>
      </c>
      <c r="M50" s="4" t="s">
        <v>167</v>
      </c>
      <c r="N50">
        <v>0.05</v>
      </c>
      <c r="O50" s="3" t="s">
        <v>216</v>
      </c>
      <c r="P50" s="2">
        <f>(N45+N47)/(N46+N48)</f>
        <v>0.72648335745296666</v>
      </c>
    </row>
    <row r="51" spans="1:21">
      <c r="A51" t="s">
        <v>136</v>
      </c>
      <c r="B51" s="17">
        <f>B50-1</f>
        <v>8</v>
      </c>
      <c r="D51" s="4" t="s">
        <v>88</v>
      </c>
      <c r="E51" s="2">
        <f>F46*(B49/SQRT(B50))</f>
        <v>1.0312274784914268</v>
      </c>
      <c r="G51" s="2">
        <f>G46*(B49/SQRT(B50))</f>
        <v>1.2196516456609194</v>
      </c>
      <c r="I51" s="28">
        <v>12.74</v>
      </c>
      <c r="J51" s="28">
        <v>12.88</v>
      </c>
      <c r="K51">
        <f t="shared" si="0"/>
        <v>0.14000000000000057</v>
      </c>
      <c r="O51" s="3" t="s">
        <v>217</v>
      </c>
      <c r="P51" s="2">
        <f>1-P50</f>
        <v>0.27351664254703334</v>
      </c>
      <c r="R51" s="4" t="s">
        <v>130</v>
      </c>
      <c r="S51" s="2">
        <f>P45-P47</f>
        <v>-4.2964522228328139E-2</v>
      </c>
    </row>
    <row r="52" spans="1:21">
      <c r="I52" s="28">
        <v>14.21</v>
      </c>
      <c r="J52" s="28">
        <v>13.85</v>
      </c>
      <c r="K52">
        <f t="shared" si="0"/>
        <v>-0.36000000000000121</v>
      </c>
      <c r="O52" s="3" t="s">
        <v>3</v>
      </c>
      <c r="P52" s="2">
        <f>((P45-P47)-N49)/SQRT((P50*P51)*((1/N46)+(1/N48)))</f>
        <v>-3.1020438982303444</v>
      </c>
      <c r="R52" s="4" t="s">
        <v>88</v>
      </c>
      <c r="S52" s="2">
        <f>T46*SQRT(P45*P46/N46+P47*P48/N48)</f>
        <v>2.2726769455551753E-2</v>
      </c>
      <c r="U52" s="2">
        <f>U46*SQRT(P45*P46/N46+P47*P48/N48)</f>
        <v>2.7080616103441636E-2</v>
      </c>
    </row>
    <row r="53" spans="1:21">
      <c r="A53" t="s">
        <v>204</v>
      </c>
      <c r="B53" s="2">
        <f>(B48-B46)/(B49/SQRT(B50))</f>
        <v>1.3905920818306097</v>
      </c>
      <c r="D53" s="4" t="s">
        <v>176</v>
      </c>
      <c r="E53" s="2">
        <f>B48-E51</f>
        <v>-0.44567192293587077</v>
      </c>
      <c r="F53" s="2">
        <f>B48+E51</f>
        <v>1.6167830340469829</v>
      </c>
      <c r="M53" s="38" t="s">
        <v>211</v>
      </c>
      <c r="N53" s="38"/>
    </row>
    <row r="54" spans="1:21">
      <c r="M54" s="4" t="s">
        <v>159</v>
      </c>
      <c r="N54" s="2">
        <f>N46*P45</f>
        <v>1500.0000000000002</v>
      </c>
      <c r="R54" s="4" t="s">
        <v>176</v>
      </c>
      <c r="S54" s="2">
        <f>S51-S52</f>
        <v>-6.5691291683879896E-2</v>
      </c>
      <c r="T54" s="2">
        <f>S51+S52</f>
        <v>-2.0237752772776386E-2</v>
      </c>
    </row>
    <row r="55" spans="1:21">
      <c r="D55" s="4" t="s">
        <v>177</v>
      </c>
      <c r="E55" s="2">
        <f>B48-G51</f>
        <v>-0.63409609010536339</v>
      </c>
      <c r="F55" s="2">
        <f>B48+G51</f>
        <v>1.8052072012164755</v>
      </c>
      <c r="M55" s="4" t="s">
        <v>160</v>
      </c>
      <c r="N55" s="2">
        <f>N46*P46</f>
        <v>625.99999999999989</v>
      </c>
    </row>
    <row r="56" spans="1:21">
      <c r="M56" s="4" t="s">
        <v>161</v>
      </c>
      <c r="N56" s="2">
        <f>N48*P47</f>
        <v>1512</v>
      </c>
      <c r="R56" s="4" t="s">
        <v>177</v>
      </c>
      <c r="S56" s="2">
        <f>S51-U52</f>
        <v>-7.0045138331769771E-2</v>
      </c>
      <c r="T56" s="2">
        <f>S51+U52</f>
        <v>-1.5883906124886504E-2</v>
      </c>
    </row>
    <row r="57" spans="1:21">
      <c r="M57" s="4" t="s">
        <v>162</v>
      </c>
      <c r="N57" s="2">
        <f>N48*P48</f>
        <v>508</v>
      </c>
    </row>
  </sheetData>
  <mergeCells count="12">
    <mergeCell ref="M53:N53"/>
    <mergeCell ref="M43:U44"/>
    <mergeCell ref="M42:U42"/>
    <mergeCell ref="A42:G42"/>
    <mergeCell ref="A43:G44"/>
    <mergeCell ref="I42:J42"/>
    <mergeCell ref="A1:G1"/>
    <mergeCell ref="A2:G3"/>
    <mergeCell ref="J1:P1"/>
    <mergeCell ref="J2:P3"/>
    <mergeCell ref="S1:Y1"/>
    <mergeCell ref="S2:Y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E489-B8B0-4A9A-9894-DA71E5E3816B}">
  <dimension ref="A1:AA16"/>
  <sheetViews>
    <sheetView workbookViewId="0">
      <selection activeCell="H34" sqref="H34"/>
    </sheetView>
  </sheetViews>
  <sheetFormatPr defaultRowHeight="15"/>
  <cols>
    <col min="1" max="1" width="23.7109375" bestFit="1" customWidth="1"/>
    <col min="2" max="2" width="13.85546875" customWidth="1"/>
    <col min="4" max="4" width="16.140625" bestFit="1" customWidth="1"/>
    <col min="5" max="5" width="15.28515625" customWidth="1"/>
    <col min="6" max="6" width="14.7109375" customWidth="1"/>
    <col min="7" max="7" width="14" bestFit="1" customWidth="1"/>
    <col min="10" max="10" width="18.85546875" bestFit="1" customWidth="1"/>
    <col min="11" max="11" width="13" customWidth="1"/>
    <col min="12" max="12" width="12.140625" customWidth="1"/>
    <col min="14" max="14" width="16.42578125" customWidth="1"/>
    <col min="15" max="15" width="15.28515625" customWidth="1"/>
    <col min="16" max="16" width="14.28515625" customWidth="1"/>
    <col min="17" max="17" width="14.140625" customWidth="1"/>
    <col min="20" max="20" width="26" bestFit="1" customWidth="1"/>
    <col min="21" max="21" width="14.28515625" customWidth="1"/>
    <col min="22" max="22" width="14.42578125" customWidth="1"/>
    <col min="23" max="23" width="15.42578125" bestFit="1" customWidth="1"/>
    <col min="24" max="24" width="14.5703125" customWidth="1"/>
    <col min="25" max="26" width="14.7109375" customWidth="1"/>
  </cols>
  <sheetData>
    <row r="1" spans="1:27" ht="18.75">
      <c r="A1" s="43" t="s">
        <v>172</v>
      </c>
      <c r="B1" s="43"/>
      <c r="C1" s="43"/>
      <c r="D1" s="43"/>
      <c r="E1" s="43"/>
      <c r="F1" s="43"/>
      <c r="G1" s="43"/>
      <c r="H1" s="31"/>
      <c r="I1" s="31"/>
      <c r="J1" s="43" t="s">
        <v>178</v>
      </c>
      <c r="K1" s="43"/>
      <c r="L1" s="43"/>
      <c r="M1" s="43"/>
      <c r="N1" s="43"/>
      <c r="O1" s="43"/>
      <c r="P1" s="43"/>
      <c r="Q1" s="43"/>
      <c r="T1" s="43" t="s">
        <v>190</v>
      </c>
      <c r="U1" s="43"/>
      <c r="V1" s="43"/>
      <c r="W1" s="43"/>
      <c r="X1" s="43"/>
      <c r="Y1" s="43"/>
      <c r="Z1" s="43"/>
      <c r="AA1" s="31"/>
    </row>
    <row r="2" spans="1:27">
      <c r="A2" s="39"/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Q2" s="39"/>
      <c r="T2" s="39"/>
      <c r="U2" s="39"/>
      <c r="V2" s="39"/>
      <c r="W2" s="39"/>
      <c r="X2" s="39"/>
      <c r="Y2" s="39"/>
      <c r="Z2" s="39"/>
    </row>
    <row r="3" spans="1:27">
      <c r="A3" s="39"/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Q3" s="39"/>
      <c r="T3" s="39"/>
      <c r="U3" s="39"/>
      <c r="V3" s="39"/>
      <c r="W3" s="39"/>
      <c r="X3" s="39"/>
      <c r="Y3" s="39"/>
      <c r="Z3" s="39"/>
    </row>
    <row r="4" spans="1:27">
      <c r="E4" s="3" t="s">
        <v>173</v>
      </c>
      <c r="F4" s="3" t="s">
        <v>174</v>
      </c>
      <c r="G4" s="3" t="s">
        <v>175</v>
      </c>
      <c r="O4" s="3" t="s">
        <v>186</v>
      </c>
      <c r="P4" s="3" t="s">
        <v>187</v>
      </c>
      <c r="Q4" s="3" t="s">
        <v>188</v>
      </c>
      <c r="X4" s="3" t="s">
        <v>186</v>
      </c>
      <c r="Y4" s="3" t="s">
        <v>187</v>
      </c>
      <c r="Z4" s="3" t="s">
        <v>188</v>
      </c>
    </row>
    <row r="5" spans="1:27">
      <c r="A5" s="4" t="s">
        <v>165</v>
      </c>
      <c r="B5">
        <v>2.5</v>
      </c>
      <c r="D5" s="4" t="s">
        <v>169</v>
      </c>
      <c r="E5" s="2">
        <f>_xlfn.NORM.S.INV(B9)</f>
        <v>-2.0537489106318225</v>
      </c>
      <c r="F5" s="2">
        <f>_xlfn.NORM.S.INV(1-B9)</f>
        <v>2.0537489106318221</v>
      </c>
      <c r="G5" s="2">
        <f>_xlfn.NORM.S.INV(1-B9/2)</f>
        <v>2.3263478740408408</v>
      </c>
      <c r="J5" s="4" t="s">
        <v>179</v>
      </c>
      <c r="K5">
        <v>25</v>
      </c>
      <c r="N5" s="4" t="s">
        <v>75</v>
      </c>
      <c r="O5" s="2">
        <f>_xlfn.T.INV(K9,K8-1)</f>
        <v>-2.0422724563012378</v>
      </c>
      <c r="P5" s="2">
        <f>_xlfn.T.INV(1-K9,K8-1)</f>
        <v>2.0422724563012378</v>
      </c>
      <c r="Q5" s="2">
        <f>_xlfn.T.INV.2T(K9,K8-1)</f>
        <v>2.3595624587009287</v>
      </c>
      <c r="T5" s="4" t="s">
        <v>193</v>
      </c>
      <c r="U5">
        <v>3.1E-2</v>
      </c>
      <c r="W5" s="4" t="s">
        <v>75</v>
      </c>
      <c r="X5" s="2">
        <f>_xlfn.NORM.S.INV(U9)</f>
        <v>-2.0537489106318225</v>
      </c>
      <c r="Y5" s="2">
        <f>_xlfn.NORM.S.INV(1-U9)</f>
        <v>2.0537489106318221</v>
      </c>
      <c r="Z5" s="2">
        <f>_xlfn.NORM.S.INV(1-U9/2)</f>
        <v>2.3263478740408408</v>
      </c>
    </row>
    <row r="6" spans="1:27">
      <c r="A6" s="4" t="s">
        <v>91</v>
      </c>
      <c r="B6">
        <v>2.85</v>
      </c>
      <c r="D6" s="4" t="s">
        <v>170</v>
      </c>
      <c r="E6" s="2">
        <f>_xlfn.NORM.S.DIST(B11,1)</f>
        <v>0.9918849757126933</v>
      </c>
      <c r="F6" s="2">
        <f>1-_xlfn.NORM.S.DIST(B11,1)</f>
        <v>8.1150242873067047E-3</v>
      </c>
      <c r="G6" s="2">
        <f>IF(B11&lt;0,2*_xlfn.NORM.S.DIST(B11,1),2*(1-_xlfn.NORM.S.DIST(B11,1)))</f>
        <v>1.6230048574613409E-2</v>
      </c>
      <c r="J6" s="4" t="s">
        <v>180</v>
      </c>
      <c r="K6">
        <v>27.9</v>
      </c>
      <c r="N6" s="4" t="s">
        <v>184</v>
      </c>
      <c r="O6" s="2">
        <f>_xlfn.T.DIST(K11,K8-1,1)</f>
        <v>0.99997635439054433</v>
      </c>
      <c r="P6" s="2">
        <f>_xlfn.T.DIST.RT(K11,K8-1)</f>
        <v>2.3645609455708283E-5</v>
      </c>
      <c r="Q6" s="2">
        <f>2*_xlfn.T.DIST.RT(ABS(K11),K8-1)</f>
        <v>4.7291218911416567E-5</v>
      </c>
      <c r="T6" s="4" t="s">
        <v>191</v>
      </c>
      <c r="U6">
        <v>22</v>
      </c>
      <c r="W6" s="4" t="s">
        <v>184</v>
      </c>
      <c r="X6" s="2">
        <f>_xlfn.NORM.S.DIST(U11,1)</f>
        <v>0.95868642667650827</v>
      </c>
      <c r="Y6" s="2">
        <f>1-_xlfn.NORM.S.DIST(U11,1)</f>
        <v>4.1313573323491726E-2</v>
      </c>
      <c r="Z6" s="2">
        <f>2*(1-_xlfn.NORM.S.DIST(ABS(U11),1))</f>
        <v>8.2627146646983451E-2</v>
      </c>
    </row>
    <row r="7" spans="1:27">
      <c r="A7" s="4" t="s">
        <v>166</v>
      </c>
      <c r="B7">
        <v>1.05</v>
      </c>
      <c r="J7" s="4" t="s">
        <v>181</v>
      </c>
      <c r="K7">
        <v>3.4</v>
      </c>
      <c r="N7" s="4" t="s">
        <v>171</v>
      </c>
      <c r="O7" s="32" t="str">
        <f>IF(O6&lt;K9,"REJECT","FAIL TO REJECT")</f>
        <v>FAIL TO REJECT</v>
      </c>
      <c r="P7" s="32" t="str">
        <f>IF(P6&lt;K9,"REJECT","FAIL TO REJECT")</f>
        <v>REJECT</v>
      </c>
      <c r="Q7" s="32" t="str">
        <f>IF(Q6&lt;K9,"REJECT","FAIL TO REJECT")</f>
        <v>REJECT</v>
      </c>
      <c r="T7" s="4" t="s">
        <v>58</v>
      </c>
      <c r="U7">
        <v>494</v>
      </c>
      <c r="W7" s="4" t="s">
        <v>171</v>
      </c>
      <c r="X7" s="32" t="str">
        <f>IF(X6&lt;U9,"REJECT","FAIL TO REJECT")</f>
        <v>FAIL TO REJECT</v>
      </c>
      <c r="Y7" s="32" t="str">
        <f>IF(Y6&lt;U9,"REJECT","FAIL TO REJECT")</f>
        <v>FAIL TO REJECT</v>
      </c>
      <c r="Z7" s="32" t="str">
        <f>IF(Z6&lt;U9,"REJECT","FAIL TO REJECT")</f>
        <v>FAIL TO REJECT</v>
      </c>
    </row>
    <row r="8" spans="1:27">
      <c r="A8" s="4" t="s">
        <v>90</v>
      </c>
      <c r="B8">
        <v>52</v>
      </c>
      <c r="D8" s="4" t="s">
        <v>171</v>
      </c>
      <c r="E8" s="32" t="str">
        <f>IF(E6&lt;B9,"REJECT","FAIL TO REJECT")</f>
        <v>FAIL TO REJECT</v>
      </c>
      <c r="F8" s="32" t="str">
        <f>IF(F6&lt;B9,"REJECT","FAIL TO REJECT")</f>
        <v>REJECT</v>
      </c>
      <c r="G8" s="32" t="str">
        <f>IF(G6&lt;B9,"REJECT","FAIL TO REJECT")</f>
        <v>REJECT</v>
      </c>
      <c r="J8" s="4" t="s">
        <v>182</v>
      </c>
      <c r="K8">
        <v>31</v>
      </c>
      <c r="N8" s="4"/>
      <c r="T8" s="4" t="s">
        <v>192</v>
      </c>
      <c r="U8">
        <f>U6/U7</f>
        <v>4.4534412955465584E-2</v>
      </c>
      <c r="W8" s="4"/>
    </row>
    <row r="9" spans="1:27">
      <c r="A9" s="4" t="s">
        <v>167</v>
      </c>
      <c r="B9">
        <v>0.02</v>
      </c>
      <c r="J9" s="4" t="s">
        <v>167</v>
      </c>
      <c r="K9">
        <v>2.5000000000000001E-2</v>
      </c>
      <c r="N9" s="4" t="s">
        <v>88</v>
      </c>
      <c r="O9" s="2">
        <f>P5*(K7/SQRT(K8))</f>
        <v>1.2471300685388207</v>
      </c>
      <c r="Q9" s="2">
        <f>Q5*(K7/SQRT(K8))</f>
        <v>1.4408857553564676</v>
      </c>
      <c r="T9" s="4" t="s">
        <v>167</v>
      </c>
      <c r="U9">
        <v>0.02</v>
      </c>
      <c r="W9" s="4" t="s">
        <v>88</v>
      </c>
      <c r="X9" s="2">
        <f>Y5*SQRT(U8*(1-U8)/U7)</f>
        <v>1.9060718277940886E-2</v>
      </c>
      <c r="Z9" s="2">
        <f>Z5*SQRT(U8*(1-U8)/U7)</f>
        <v>2.1590692617793138E-2</v>
      </c>
    </row>
    <row r="10" spans="1:27">
      <c r="D10" s="4" t="s">
        <v>88</v>
      </c>
      <c r="E10" s="2">
        <f>F5*(B7/SQRT(B8))</f>
        <v>0.29904391747776587</v>
      </c>
      <c r="G10" s="2">
        <f>G5*(B7/SQRT(B8))</f>
        <v>0.33873672583238229</v>
      </c>
      <c r="J10" s="4"/>
      <c r="N10" s="4"/>
      <c r="T10" s="4"/>
      <c r="W10" s="4"/>
    </row>
    <row r="11" spans="1:27">
      <c r="A11" s="4" t="s">
        <v>168</v>
      </c>
      <c r="B11" s="2">
        <f>(B6-B5)/(B7/SQRT(B8))</f>
        <v>2.4037008503093262</v>
      </c>
      <c r="J11" s="4" t="s">
        <v>183</v>
      </c>
      <c r="K11" s="2">
        <f>(K6-K5)/(K7/SQRT(K8))</f>
        <v>4.7489754859432516</v>
      </c>
      <c r="N11" s="4" t="s">
        <v>185</v>
      </c>
      <c r="O11" s="2">
        <f>K6-O9</f>
        <v>26.652869931461179</v>
      </c>
      <c r="P11" s="2">
        <f>K6+O9</f>
        <v>29.147130068538818</v>
      </c>
      <c r="T11" s="4" t="s">
        <v>194</v>
      </c>
      <c r="U11" s="2">
        <f>(U8-U5)/(SQRT(U5*(1-U5)/U7))</f>
        <v>1.735642045863715</v>
      </c>
      <c r="W11" s="4" t="s">
        <v>185</v>
      </c>
      <c r="X11" s="2">
        <f>U8-X9</f>
        <v>2.5473694677524698E-2</v>
      </c>
      <c r="Y11" s="2">
        <f>U8+X9</f>
        <v>6.3595131233406474E-2</v>
      </c>
    </row>
    <row r="12" spans="1:27">
      <c r="D12" s="4" t="s">
        <v>176</v>
      </c>
      <c r="E12" s="2">
        <f>B6-E10</f>
        <v>2.5509560825222342</v>
      </c>
      <c r="F12" s="2">
        <f>B6+E10</f>
        <v>3.149043917477766</v>
      </c>
      <c r="N12" s="4"/>
      <c r="W12" s="4"/>
    </row>
    <row r="13" spans="1:27">
      <c r="N13" s="4" t="s">
        <v>189</v>
      </c>
      <c r="O13" s="2">
        <f>K6-Q9</f>
        <v>26.45911424464353</v>
      </c>
      <c r="P13" s="2">
        <f>K6+Q9</f>
        <v>29.340885755356467</v>
      </c>
      <c r="T13" s="4" t="s">
        <v>196</v>
      </c>
      <c r="U13">
        <f>U7*U5</f>
        <v>15.314</v>
      </c>
      <c r="W13" s="4" t="s">
        <v>195</v>
      </c>
      <c r="X13" s="2">
        <f>U8-Z9</f>
        <v>2.2943720337672446E-2</v>
      </c>
      <c r="Y13" s="2">
        <f>U8+Z9</f>
        <v>6.6125105573258722E-2</v>
      </c>
    </row>
    <row r="14" spans="1:27">
      <c r="D14" s="4" t="s">
        <v>177</v>
      </c>
      <c r="E14" s="2">
        <f>B6-G10</f>
        <v>2.511263274167618</v>
      </c>
      <c r="F14" s="2">
        <f>B6+G10</f>
        <v>3.1887367258323822</v>
      </c>
      <c r="T14" s="4" t="s">
        <v>197</v>
      </c>
      <c r="U14">
        <f>U7*(1-U5)</f>
        <v>478.68599999999998</v>
      </c>
    </row>
    <row r="16" spans="1:27" ht="15.75" customHeight="1"/>
  </sheetData>
  <mergeCells count="6">
    <mergeCell ref="T2:Z3"/>
    <mergeCell ref="T1:Z1"/>
    <mergeCell ref="A1:G1"/>
    <mergeCell ref="A2:G3"/>
    <mergeCell ref="J1:Q1"/>
    <mergeCell ref="J2:Q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A6E3-D644-4A6A-8C13-76BFAE27CF73}">
  <dimension ref="A1:Y53"/>
  <sheetViews>
    <sheetView workbookViewId="0">
      <selection activeCell="M49" sqref="M49"/>
    </sheetView>
  </sheetViews>
  <sheetFormatPr defaultRowHeight="15"/>
  <cols>
    <col min="1" max="1" width="27.42578125" bestFit="1" customWidth="1"/>
    <col min="2" max="2" width="13.5703125" customWidth="1"/>
    <col min="3" max="3" width="10.7109375" customWidth="1"/>
    <col min="4" max="4" width="26.85546875" customWidth="1"/>
    <col min="5" max="5" width="12.7109375" bestFit="1" customWidth="1"/>
    <col min="6" max="6" width="13.85546875" customWidth="1"/>
    <col min="7" max="7" width="9.85546875" customWidth="1"/>
    <col min="8" max="8" width="10" customWidth="1"/>
    <col min="9" max="9" width="27.42578125" bestFit="1" customWidth="1"/>
    <col min="10" max="10" width="16.5703125" customWidth="1"/>
    <col min="18" max="18" width="27.42578125" bestFit="1" customWidth="1"/>
    <col min="19" max="19" width="15.42578125" customWidth="1"/>
    <col min="24" max="24" width="9.140625" customWidth="1"/>
  </cols>
  <sheetData>
    <row r="1" spans="1:25" ht="15.75">
      <c r="A1" s="44" t="s">
        <v>123</v>
      </c>
      <c r="B1" s="44"/>
      <c r="C1" s="44"/>
      <c r="D1" s="26"/>
      <c r="E1" s="26"/>
      <c r="F1" s="44" t="s">
        <v>135</v>
      </c>
      <c r="G1" s="44"/>
      <c r="H1" s="44"/>
      <c r="I1" s="44"/>
      <c r="J1" s="44"/>
      <c r="K1" s="44"/>
      <c r="L1" s="44"/>
      <c r="M1" s="44"/>
      <c r="O1" s="44" t="s">
        <v>139</v>
      </c>
      <c r="P1" s="44"/>
      <c r="Q1" s="44"/>
      <c r="R1" s="44"/>
      <c r="S1" s="44"/>
      <c r="T1" s="44"/>
      <c r="U1" s="44"/>
      <c r="V1" s="44"/>
    </row>
    <row r="2" spans="1:25" ht="18">
      <c r="A2" s="46" t="s">
        <v>133</v>
      </c>
      <c r="B2" s="46"/>
      <c r="C2" s="46"/>
      <c r="D2" s="26"/>
      <c r="E2" s="26"/>
      <c r="F2" s="26"/>
      <c r="G2" s="47" t="s">
        <v>143</v>
      </c>
      <c r="H2" s="47"/>
      <c r="I2" s="47"/>
      <c r="J2" s="47"/>
      <c r="K2" s="47"/>
      <c r="L2" s="47"/>
      <c r="M2" s="47"/>
      <c r="O2" s="48" t="s">
        <v>141</v>
      </c>
      <c r="P2" s="48"/>
      <c r="Q2" s="48"/>
      <c r="R2" s="48"/>
      <c r="S2" s="48"/>
      <c r="T2" s="48"/>
      <c r="U2" s="48"/>
      <c r="V2" s="48"/>
    </row>
    <row r="3" spans="1:25" ht="18">
      <c r="A3" s="47" t="s">
        <v>134</v>
      </c>
      <c r="B3" s="47"/>
      <c r="C3" s="47"/>
      <c r="D3" s="26"/>
      <c r="E3" s="26"/>
      <c r="G3" s="47" t="s">
        <v>142</v>
      </c>
      <c r="H3" s="47"/>
      <c r="I3" s="47"/>
      <c r="J3" s="47"/>
      <c r="K3" s="47"/>
      <c r="L3" s="47"/>
      <c r="M3" s="47"/>
      <c r="O3" s="48" t="s">
        <v>140</v>
      </c>
      <c r="P3" s="48"/>
      <c r="Q3" s="48"/>
      <c r="R3" s="48"/>
      <c r="S3" s="48"/>
      <c r="T3" s="48"/>
      <c r="U3" s="48"/>
      <c r="V3" s="48"/>
      <c r="X3" s="41"/>
      <c r="Y3" s="42"/>
    </row>
    <row r="4" spans="1:25">
      <c r="I4" s="4" t="s">
        <v>124</v>
      </c>
      <c r="J4">
        <v>56.27</v>
      </c>
      <c r="R4" s="4" t="s">
        <v>124</v>
      </c>
      <c r="X4" s="27"/>
      <c r="Y4" s="27"/>
    </row>
    <row r="5" spans="1:25">
      <c r="A5" s="4" t="s">
        <v>124</v>
      </c>
      <c r="B5">
        <v>6.9</v>
      </c>
      <c r="I5" s="4" t="s">
        <v>137</v>
      </c>
      <c r="J5">
        <v>10.71</v>
      </c>
      <c r="R5" s="4" t="s">
        <v>137</v>
      </c>
      <c r="X5" s="28"/>
      <c r="Y5" s="28"/>
    </row>
    <row r="6" spans="1:25">
      <c r="A6" s="4" t="s">
        <v>125</v>
      </c>
      <c r="B6">
        <v>1.7</v>
      </c>
      <c r="I6" s="4" t="s">
        <v>126</v>
      </c>
      <c r="J6">
        <v>28</v>
      </c>
      <c r="R6" s="4" t="s">
        <v>126</v>
      </c>
      <c r="S6">
        <f>COUNT(X5:X14)</f>
        <v>0</v>
      </c>
      <c r="X6" s="28"/>
      <c r="Y6" s="28"/>
    </row>
    <row r="7" spans="1:25">
      <c r="A7" s="4" t="s">
        <v>126</v>
      </c>
      <c r="B7">
        <v>45</v>
      </c>
      <c r="I7" s="4"/>
      <c r="R7" s="4"/>
      <c r="X7" s="28"/>
      <c r="Y7" s="28"/>
    </row>
    <row r="8" spans="1:25">
      <c r="A8" s="4"/>
      <c r="I8" s="4" t="s">
        <v>127</v>
      </c>
      <c r="J8">
        <v>67.38</v>
      </c>
      <c r="R8" s="4" t="s">
        <v>127</v>
      </c>
      <c r="X8" s="28"/>
      <c r="Y8" s="28"/>
    </row>
    <row r="9" spans="1:25">
      <c r="A9" s="4" t="s">
        <v>127</v>
      </c>
      <c r="B9">
        <v>7.4</v>
      </c>
      <c r="I9" s="4" t="s">
        <v>138</v>
      </c>
      <c r="J9">
        <v>14.92</v>
      </c>
      <c r="R9" s="4" t="s">
        <v>138</v>
      </c>
      <c r="X9" s="28"/>
      <c r="Y9" s="28"/>
    </row>
    <row r="10" spans="1:25">
      <c r="A10" s="4" t="s">
        <v>128</v>
      </c>
      <c r="B10">
        <v>1.8</v>
      </c>
      <c r="I10" s="4" t="s">
        <v>129</v>
      </c>
      <c r="J10">
        <v>23</v>
      </c>
      <c r="R10" s="4" t="s">
        <v>129</v>
      </c>
      <c r="S10">
        <v>10</v>
      </c>
      <c r="X10" s="28"/>
      <c r="Y10" s="28"/>
    </row>
    <row r="11" spans="1:25">
      <c r="A11" s="4" t="s">
        <v>129</v>
      </c>
      <c r="B11">
        <v>47</v>
      </c>
      <c r="I11" s="4"/>
      <c r="R11" s="4"/>
      <c r="X11" s="28"/>
      <c r="Y11" s="28"/>
    </row>
    <row r="12" spans="1:25">
      <c r="A12" s="4"/>
      <c r="I12" s="4" t="s">
        <v>78</v>
      </c>
      <c r="J12">
        <v>0.9</v>
      </c>
      <c r="R12" s="4" t="s">
        <v>78</v>
      </c>
      <c r="S12">
        <v>0.9</v>
      </c>
      <c r="X12" s="28"/>
      <c r="Y12" s="28"/>
    </row>
    <row r="13" spans="1:25">
      <c r="A13" s="4" t="s">
        <v>78</v>
      </c>
      <c r="B13">
        <v>0.99</v>
      </c>
      <c r="I13" s="4" t="s">
        <v>136</v>
      </c>
      <c r="J13" s="2">
        <f>IF(J6&lt;J10,J6-1,J10-1)</f>
        <v>22</v>
      </c>
      <c r="R13" s="4" t="s">
        <v>136</v>
      </c>
      <c r="S13" s="2">
        <f>S6+S10-2</f>
        <v>8</v>
      </c>
      <c r="X13" s="28"/>
      <c r="Y13" s="28"/>
    </row>
    <row r="14" spans="1:25">
      <c r="X14" s="28"/>
      <c r="Y14" s="28"/>
    </row>
    <row r="15" spans="1:25">
      <c r="A15" s="4" t="s">
        <v>130</v>
      </c>
      <c r="B15" s="2">
        <f>B5-B9</f>
        <v>-0.5</v>
      </c>
      <c r="I15" s="4" t="s">
        <v>130</v>
      </c>
      <c r="J15" s="2">
        <f>J4-J8</f>
        <v>-11.109999999999992</v>
      </c>
      <c r="R15" s="4" t="s">
        <v>130</v>
      </c>
      <c r="S15" s="2">
        <f>S4-S8</f>
        <v>0</v>
      </c>
    </row>
    <row r="16" spans="1:25">
      <c r="A16" s="4" t="s">
        <v>132</v>
      </c>
      <c r="B16" s="2">
        <f>SQRT((B6^2/B7)+(B10^2/B11))</f>
        <v>0.36490874535284595</v>
      </c>
      <c r="I16" s="4" t="s">
        <v>132</v>
      </c>
      <c r="J16" s="2">
        <f>SQRT((J5^2/J6)+(J9^2/J10))</f>
        <v>3.7114840873207018</v>
      </c>
      <c r="R16" s="4" t="s">
        <v>132</v>
      </c>
      <c r="S16" s="2" t="e">
        <f>SQRT(((S6-1)*S4^2+(S10-1)*S9^2)/S13)*SQRT((1/S6)+(1/S10))</f>
        <v>#DIV/0!</v>
      </c>
    </row>
    <row r="17" spans="1:19">
      <c r="A17" s="4" t="s">
        <v>75</v>
      </c>
      <c r="B17" s="2">
        <f>_xlfn.NORM.S.INV(B13+(1-B13)/2)</f>
        <v>2.5758293035488999</v>
      </c>
      <c r="I17" s="4" t="s">
        <v>144</v>
      </c>
      <c r="J17" s="2">
        <f>_xlfn.T.INV.2T(1-J12,J13)</f>
        <v>1.7171443743802424</v>
      </c>
      <c r="R17" s="4" t="s">
        <v>144</v>
      </c>
      <c r="S17" s="2">
        <f>_xlfn.T.INV.2T(1-S12,S13)</f>
        <v>1.8595480375308981</v>
      </c>
    </row>
    <row r="18" spans="1:19">
      <c r="A18" s="4" t="s">
        <v>131</v>
      </c>
      <c r="B18" s="2">
        <f>B17*B16</f>
        <v>0.9399426394011241</v>
      </c>
      <c r="I18" s="4" t="s">
        <v>131</v>
      </c>
      <c r="J18" s="2">
        <f>J17*J16</f>
        <v>6.373154021144531</v>
      </c>
      <c r="R18" s="4" t="s">
        <v>131</v>
      </c>
      <c r="S18" s="2" t="e">
        <f>S17*S16</f>
        <v>#DIV/0!</v>
      </c>
    </row>
    <row r="19" spans="1:19">
      <c r="A19" s="4"/>
      <c r="I19" s="4"/>
      <c r="R19" s="4"/>
    </row>
    <row r="20" spans="1:19">
      <c r="A20" s="4" t="s">
        <v>76</v>
      </c>
      <c r="B20" s="2">
        <f>B15-B18</f>
        <v>-1.4399426394011241</v>
      </c>
      <c r="I20" s="4" t="s">
        <v>76</v>
      </c>
      <c r="J20" s="2">
        <f>J15-J18</f>
        <v>-17.483154021144522</v>
      </c>
      <c r="R20" s="4" t="s">
        <v>76</v>
      </c>
      <c r="S20" s="2" t="e">
        <f>S15-S18</f>
        <v>#DIV/0!</v>
      </c>
    </row>
    <row r="21" spans="1:19">
      <c r="A21" s="4" t="s">
        <v>77</v>
      </c>
      <c r="B21" s="2">
        <f>B15+B18</f>
        <v>0.4399426394011241</v>
      </c>
      <c r="I21" s="4" t="s">
        <v>77</v>
      </c>
      <c r="J21" s="2">
        <f>J15+J18</f>
        <v>-4.7368459788554613</v>
      </c>
      <c r="R21" s="4" t="s">
        <v>77</v>
      </c>
      <c r="S21" s="2" t="e">
        <f>S15+S18</f>
        <v>#DIV/0!</v>
      </c>
    </row>
    <row r="25" spans="1:19" ht="15.75">
      <c r="A25" s="44" t="s">
        <v>145</v>
      </c>
      <c r="B25" s="44"/>
      <c r="C25" s="44"/>
      <c r="D25" s="44"/>
      <c r="E25" s="44"/>
      <c r="F25" s="44"/>
      <c r="I25" s="44" t="s">
        <v>150</v>
      </c>
      <c r="J25" s="44"/>
      <c r="K25" s="44"/>
      <c r="L25" s="44"/>
      <c r="M25" s="44"/>
      <c r="N25" s="26"/>
      <c r="O25" s="26"/>
      <c r="P25" s="26"/>
    </row>
    <row r="26" spans="1:19" ht="15.75">
      <c r="A26" s="45"/>
      <c r="B26" s="45"/>
      <c r="C26" s="45"/>
      <c r="D26" s="45"/>
      <c r="E26" s="45"/>
      <c r="F26" s="45"/>
      <c r="I26" s="39"/>
      <c r="J26" s="39"/>
      <c r="K26" s="39"/>
      <c r="L26" s="39"/>
      <c r="M26" s="39"/>
    </row>
    <row r="27" spans="1:19" ht="15.75">
      <c r="A27" s="45"/>
      <c r="B27" s="45"/>
      <c r="C27" s="45"/>
      <c r="D27" s="45"/>
      <c r="E27" s="45"/>
      <c r="F27" s="45"/>
      <c r="I27" s="39"/>
      <c r="J27" s="39"/>
      <c r="K27" s="39"/>
      <c r="L27" s="39"/>
      <c r="M27" s="39"/>
    </row>
    <row r="29" spans="1:19">
      <c r="A29" s="4" t="s">
        <v>146</v>
      </c>
      <c r="B29">
        <f>AVERAGE(C42:C51)</f>
        <v>-2.87</v>
      </c>
      <c r="D29" s="1"/>
      <c r="I29" s="25" t="s">
        <v>151</v>
      </c>
      <c r="J29">
        <v>30</v>
      </c>
      <c r="L29" s="4" t="s">
        <v>159</v>
      </c>
      <c r="M29" s="2">
        <f>J30*J35</f>
        <v>30</v>
      </c>
    </row>
    <row r="30" spans="1:19">
      <c r="A30" s="4" t="s">
        <v>147</v>
      </c>
      <c r="B30">
        <f>_xlfn.STDEV.S(C42:C51)</f>
        <v>0.73643284373616291</v>
      </c>
      <c r="C30" s="30"/>
      <c r="D30" s="1"/>
      <c r="I30" s="4" t="s">
        <v>152</v>
      </c>
      <c r="J30">
        <v>41</v>
      </c>
      <c r="L30" s="4" t="s">
        <v>160</v>
      </c>
      <c r="M30" s="2">
        <f>J30*J36</f>
        <v>11</v>
      </c>
    </row>
    <row r="31" spans="1:19">
      <c r="A31" s="4" t="s">
        <v>58</v>
      </c>
      <c r="B31">
        <f>COUNT(C42:C51)</f>
        <v>10</v>
      </c>
      <c r="C31" s="27"/>
      <c r="D31" s="1"/>
      <c r="I31" s="4" t="s">
        <v>153</v>
      </c>
      <c r="J31">
        <v>23</v>
      </c>
      <c r="L31" s="4" t="s">
        <v>161</v>
      </c>
      <c r="M31" s="2">
        <f>J32*J37</f>
        <v>23</v>
      </c>
    </row>
    <row r="32" spans="1:19">
      <c r="A32" s="4" t="s">
        <v>78</v>
      </c>
      <c r="B32">
        <v>0.9</v>
      </c>
      <c r="C32" s="29"/>
      <c r="D32" s="1"/>
      <c r="I32" s="4" t="s">
        <v>154</v>
      </c>
      <c r="J32">
        <v>38</v>
      </c>
      <c r="L32" s="4" t="s">
        <v>162</v>
      </c>
      <c r="M32" s="2">
        <f>J32*J38</f>
        <v>15</v>
      </c>
    </row>
    <row r="33" spans="1:10">
      <c r="A33" s="4"/>
      <c r="C33" s="29"/>
      <c r="D33" s="1"/>
      <c r="I33" s="4" t="s">
        <v>78</v>
      </c>
      <c r="J33">
        <v>0.9</v>
      </c>
    </row>
    <row r="34" spans="1:10">
      <c r="A34" s="4" t="s">
        <v>75</v>
      </c>
      <c r="B34" s="2">
        <f>_xlfn.T.INV.2T(1-B32,B31-1)</f>
        <v>1.8331129326562374</v>
      </c>
      <c r="C34" s="29"/>
      <c r="D34" s="1"/>
      <c r="I34" s="4"/>
    </row>
    <row r="35" spans="1:10">
      <c r="A35" s="4" t="s">
        <v>59</v>
      </c>
      <c r="B35" s="2">
        <f>B30/SQRT(B31)</f>
        <v>0.2328805129961139</v>
      </c>
      <c r="C35" s="29"/>
      <c r="D35" s="1"/>
      <c r="I35" s="4" t="s">
        <v>155</v>
      </c>
      <c r="J35" s="2">
        <f>J29/J30</f>
        <v>0.73170731707317072</v>
      </c>
    </row>
    <row r="36" spans="1:10">
      <c r="A36" s="4" t="s">
        <v>148</v>
      </c>
      <c r="B36" s="2">
        <f>B34*B35</f>
        <v>0.42689628013679537</v>
      </c>
      <c r="C36" s="29"/>
      <c r="D36" s="1"/>
      <c r="I36" s="4" t="s">
        <v>156</v>
      </c>
      <c r="J36" s="2">
        <f>1-J35</f>
        <v>0.26829268292682928</v>
      </c>
    </row>
    <row r="37" spans="1:10">
      <c r="A37" s="4"/>
      <c r="C37" s="29"/>
      <c r="D37" s="1"/>
      <c r="I37" s="4" t="s">
        <v>157</v>
      </c>
      <c r="J37" s="2">
        <f>J31/J32</f>
        <v>0.60526315789473684</v>
      </c>
    </row>
    <row r="38" spans="1:10">
      <c r="A38" s="4" t="s">
        <v>76</v>
      </c>
      <c r="B38" s="2">
        <f>B29-B36</f>
        <v>-3.2968962801367954</v>
      </c>
      <c r="D38" s="1"/>
      <c r="I38" s="4" t="s">
        <v>158</v>
      </c>
      <c r="J38" s="2">
        <f>1-J37</f>
        <v>0.39473684210526316</v>
      </c>
    </row>
    <row r="39" spans="1:10">
      <c r="A39" s="4" t="s">
        <v>77</v>
      </c>
      <c r="B39" s="2">
        <f>B29+B36</f>
        <v>-2.4431037198632048</v>
      </c>
      <c r="D39" s="1"/>
      <c r="I39" s="4"/>
    </row>
    <row r="40" spans="1:10">
      <c r="I40" s="4" t="s">
        <v>130</v>
      </c>
      <c r="J40" s="2">
        <f>J35-J37</f>
        <v>0.12644415917843388</v>
      </c>
    </row>
    <row r="41" spans="1:10">
      <c r="A41" s="1" t="s">
        <v>163</v>
      </c>
      <c r="B41" s="1" t="s">
        <v>164</v>
      </c>
      <c r="C41" s="1" t="s">
        <v>149</v>
      </c>
      <c r="I41" s="4" t="s">
        <v>75</v>
      </c>
      <c r="J41" s="2">
        <f>_xlfn.NORM.S.INV(J33+(1-J33)/2)</f>
        <v>1.6448536269514715</v>
      </c>
    </row>
    <row r="42" spans="1:10">
      <c r="A42" s="1">
        <v>100.4</v>
      </c>
      <c r="B42" s="1">
        <v>98.9</v>
      </c>
      <c r="C42">
        <f>B42-A42</f>
        <v>-1.5</v>
      </c>
      <c r="D42" s="29"/>
      <c r="E42" s="28"/>
      <c r="I42" s="4" t="s">
        <v>148</v>
      </c>
      <c r="J42" s="2">
        <f>J41*SQRT(((J35*J36)/J30)+((J37*J38)/J32))</f>
        <v>0.17310433932440239</v>
      </c>
    </row>
    <row r="43" spans="1:10">
      <c r="A43" s="1">
        <v>101.3</v>
      </c>
      <c r="B43" s="1">
        <v>99.1</v>
      </c>
      <c r="C43">
        <f t="shared" ref="C43:C51" si="0">B43-A43</f>
        <v>-2.2000000000000028</v>
      </c>
      <c r="D43" s="29"/>
      <c r="E43" s="28"/>
      <c r="I43" s="4"/>
    </row>
    <row r="44" spans="1:10">
      <c r="A44" s="1">
        <v>102.1</v>
      </c>
      <c r="B44" s="1">
        <v>99.2</v>
      </c>
      <c r="C44">
        <f t="shared" si="0"/>
        <v>-2.8999999999999915</v>
      </c>
      <c r="D44" s="29"/>
      <c r="E44" s="28"/>
      <c r="I44" s="4" t="s">
        <v>76</v>
      </c>
      <c r="J44" s="2">
        <f>J40-J42</f>
        <v>-4.6660180145968511E-2</v>
      </c>
    </row>
    <row r="45" spans="1:10">
      <c r="A45" s="1">
        <v>101.8</v>
      </c>
      <c r="B45" s="1">
        <v>99</v>
      </c>
      <c r="C45">
        <f t="shared" si="0"/>
        <v>-2.7999999999999972</v>
      </c>
      <c r="D45" s="1"/>
      <c r="I45" s="4" t="s">
        <v>77</v>
      </c>
      <c r="J45" s="2">
        <f>J40+J42</f>
        <v>0.29954849850283627</v>
      </c>
    </row>
    <row r="46" spans="1:10">
      <c r="A46" s="1">
        <v>101.9</v>
      </c>
      <c r="B46" s="1">
        <v>98.7</v>
      </c>
      <c r="C46">
        <f t="shared" si="0"/>
        <v>-3.2000000000000028</v>
      </c>
      <c r="D46" s="1"/>
    </row>
    <row r="47" spans="1:10">
      <c r="A47" s="1">
        <v>100.7</v>
      </c>
      <c r="B47" s="1">
        <v>98.6</v>
      </c>
      <c r="C47">
        <f t="shared" si="0"/>
        <v>-2.1000000000000085</v>
      </c>
      <c r="D47" s="1"/>
    </row>
    <row r="48" spans="1:10">
      <c r="A48" s="1">
        <v>103.1</v>
      </c>
      <c r="B48" s="1">
        <v>99.4</v>
      </c>
      <c r="C48">
        <f t="shared" si="0"/>
        <v>-3.6999999999999886</v>
      </c>
      <c r="D48" s="1"/>
    </row>
    <row r="49" spans="1:4">
      <c r="A49" s="1">
        <v>102.5</v>
      </c>
      <c r="B49" s="1">
        <v>99.2</v>
      </c>
      <c r="C49">
        <f t="shared" si="0"/>
        <v>-3.2999999999999972</v>
      </c>
      <c r="D49" s="1"/>
    </row>
    <row r="50" spans="1:4">
      <c r="A50" s="1">
        <v>103.9</v>
      </c>
      <c r="B50" s="1">
        <v>100.1</v>
      </c>
      <c r="C50">
        <f>B50-A50</f>
        <v>-3.8000000000000114</v>
      </c>
      <c r="D50" s="1"/>
    </row>
    <row r="51" spans="1:4">
      <c r="A51" s="1">
        <v>102.4</v>
      </c>
      <c r="B51" s="1">
        <v>99.2</v>
      </c>
      <c r="C51">
        <f t="shared" si="0"/>
        <v>-3.2000000000000028</v>
      </c>
      <c r="D51" s="1"/>
    </row>
    <row r="53" spans="1:4">
      <c r="A53" s="28"/>
      <c r="B53" s="28"/>
    </row>
  </sheetData>
  <mergeCells count="16">
    <mergeCell ref="X3:Y3"/>
    <mergeCell ref="O1:V1"/>
    <mergeCell ref="O2:V2"/>
    <mergeCell ref="O3:V3"/>
    <mergeCell ref="G2:M2"/>
    <mergeCell ref="G3:M3"/>
    <mergeCell ref="A1:C1"/>
    <mergeCell ref="A2:C2"/>
    <mergeCell ref="A3:C3"/>
    <mergeCell ref="F1:M1"/>
    <mergeCell ref="A25:F25"/>
    <mergeCell ref="I26:M26"/>
    <mergeCell ref="I27:M27"/>
    <mergeCell ref="I25:M25"/>
    <mergeCell ref="A26:F26"/>
    <mergeCell ref="A27:F27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833F-DB00-419E-9AF6-1F5B259898B8}">
  <dimension ref="A1:U33"/>
  <sheetViews>
    <sheetView workbookViewId="0">
      <selection activeCell="L19" sqref="L19"/>
    </sheetView>
  </sheetViews>
  <sheetFormatPr defaultRowHeight="15"/>
  <cols>
    <col min="1" max="1" width="23.140625" bestFit="1" customWidth="1"/>
    <col min="2" max="2" width="20.28515625" customWidth="1"/>
    <col min="5" max="5" width="19.7109375" customWidth="1"/>
    <col min="6" max="6" width="12.28515625" customWidth="1"/>
    <col min="8" max="8" width="16.85546875" bestFit="1" customWidth="1"/>
    <col min="9" max="9" width="13.5703125" customWidth="1"/>
    <col min="14" max="14" width="17.7109375" bestFit="1" customWidth="1"/>
    <col min="15" max="15" width="14" customWidth="1"/>
  </cols>
  <sheetData>
    <row r="1" spans="1:21" ht="18.75">
      <c r="A1" s="40" t="s">
        <v>79</v>
      </c>
      <c r="B1" s="40"/>
      <c r="E1" s="40" t="s">
        <v>81</v>
      </c>
      <c r="F1" s="40"/>
      <c r="G1" s="40"/>
      <c r="H1" s="40"/>
      <c r="I1" s="40"/>
      <c r="J1" s="40"/>
      <c r="K1" s="40"/>
      <c r="N1" s="40" t="s">
        <v>115</v>
      </c>
      <c r="O1" s="40"/>
      <c r="P1" s="40"/>
      <c r="Q1" s="40"/>
      <c r="R1" s="40"/>
      <c r="S1" s="40"/>
      <c r="T1" s="40"/>
      <c r="U1" s="40"/>
    </row>
    <row r="2" spans="1:21" ht="18">
      <c r="A2" s="4" t="s">
        <v>91</v>
      </c>
      <c r="B2">
        <v>13</v>
      </c>
      <c r="E2" s="46" t="s">
        <v>85</v>
      </c>
      <c r="F2" s="46"/>
      <c r="G2" s="46"/>
      <c r="H2" s="46"/>
      <c r="I2" s="46"/>
      <c r="J2" s="46"/>
      <c r="K2" s="46"/>
      <c r="N2" s="46" t="s">
        <v>116</v>
      </c>
      <c r="O2" s="46"/>
      <c r="P2" s="46"/>
      <c r="Q2" s="46"/>
      <c r="R2" s="46"/>
      <c r="S2" s="46"/>
      <c r="T2" s="46"/>
      <c r="U2" s="46"/>
    </row>
    <row r="3" spans="1:21" ht="18">
      <c r="A3" s="4" t="s">
        <v>87</v>
      </c>
      <c r="B3">
        <v>1.4</v>
      </c>
      <c r="E3" s="50" t="s">
        <v>82</v>
      </c>
      <c r="F3" s="50"/>
      <c r="G3" s="50"/>
      <c r="H3" s="50"/>
      <c r="I3" s="50"/>
      <c r="J3" s="50"/>
      <c r="K3" s="50"/>
      <c r="N3" s="50" t="s">
        <v>117</v>
      </c>
      <c r="O3" s="50"/>
      <c r="P3" s="50"/>
      <c r="Q3" s="50"/>
      <c r="R3" s="50"/>
      <c r="S3" s="50"/>
      <c r="T3" s="50"/>
      <c r="U3" s="50"/>
    </row>
    <row r="4" spans="1:21" ht="16.5">
      <c r="A4" s="4" t="s">
        <v>90</v>
      </c>
      <c r="B4">
        <v>52</v>
      </c>
      <c r="E4" s="49" t="s">
        <v>83</v>
      </c>
      <c r="F4" s="49"/>
      <c r="G4" s="49"/>
      <c r="H4" s="49"/>
      <c r="I4" s="49"/>
      <c r="J4" s="49"/>
      <c r="K4" s="49"/>
      <c r="N4" s="50" t="s">
        <v>118</v>
      </c>
      <c r="O4" s="50"/>
      <c r="P4" s="50"/>
      <c r="Q4" s="50"/>
      <c r="R4" s="50"/>
      <c r="S4" s="50"/>
      <c r="T4" s="50"/>
      <c r="U4" s="50"/>
    </row>
    <row r="5" spans="1:21" ht="16.5">
      <c r="A5" s="4" t="s">
        <v>92</v>
      </c>
      <c r="B5">
        <v>0.9</v>
      </c>
      <c r="E5" s="49" t="s">
        <v>84</v>
      </c>
      <c r="F5" s="49"/>
      <c r="G5" s="49"/>
      <c r="H5" s="49"/>
      <c r="I5" s="49"/>
      <c r="J5" s="49"/>
      <c r="K5" s="49"/>
      <c r="N5" s="49" t="s">
        <v>84</v>
      </c>
      <c r="O5" s="49"/>
      <c r="P5" s="49"/>
      <c r="Q5" s="49"/>
      <c r="R5" s="49"/>
      <c r="S5" s="49"/>
      <c r="T5" s="49"/>
      <c r="U5" s="49"/>
    </row>
    <row r="6" spans="1:21">
      <c r="A6" s="4"/>
    </row>
    <row r="7" spans="1:21">
      <c r="A7" s="4" t="s">
        <v>93</v>
      </c>
      <c r="B7" s="2">
        <f>_xlfn.NORM.S.INV(B5+(1-B5)/2)</f>
        <v>1.6448536269514715</v>
      </c>
      <c r="E7" s="4" t="s">
        <v>86</v>
      </c>
      <c r="F7">
        <v>0.56000000000000005</v>
      </c>
      <c r="H7" s="4" t="s">
        <v>77</v>
      </c>
      <c r="I7">
        <v>109</v>
      </c>
      <c r="N7" s="4" t="s">
        <v>86</v>
      </c>
      <c r="O7">
        <v>0.02</v>
      </c>
    </row>
    <row r="8" spans="1:21">
      <c r="A8" s="4" t="s">
        <v>59</v>
      </c>
      <c r="B8" s="2">
        <f>B3/SQRT(B4)</f>
        <v>0.19414506867883019</v>
      </c>
      <c r="E8" s="4" t="s">
        <v>87</v>
      </c>
      <c r="F8">
        <v>10.9</v>
      </c>
      <c r="H8" s="4" t="s">
        <v>76</v>
      </c>
      <c r="I8">
        <v>80</v>
      </c>
      <c r="N8" s="4" t="s">
        <v>110</v>
      </c>
      <c r="O8">
        <v>0.21</v>
      </c>
    </row>
    <row r="9" spans="1:21">
      <c r="A9" s="4" t="s">
        <v>94</v>
      </c>
      <c r="B9" s="2">
        <f>B7*B8</f>
        <v>0.31934022037111637</v>
      </c>
      <c r="E9" s="4" t="s">
        <v>78</v>
      </c>
      <c r="F9">
        <v>0.95</v>
      </c>
      <c r="N9" s="4" t="s">
        <v>78</v>
      </c>
      <c r="O9">
        <v>0.95</v>
      </c>
    </row>
    <row r="10" spans="1:21">
      <c r="A10" s="4" t="s">
        <v>80</v>
      </c>
      <c r="B10" s="2">
        <f>_xlfn.CONFIDENCE.NORM(1-B5,B3,B4)</f>
        <v>0.31934022037111637</v>
      </c>
    </row>
    <row r="11" spans="1:21">
      <c r="A11" s="4"/>
      <c r="E11" s="4" t="s">
        <v>75</v>
      </c>
      <c r="F11" s="2">
        <f>_xlfn.NORM.S.INV(F9+(1-F9)/2)</f>
        <v>1.9599639845400536</v>
      </c>
      <c r="N11" s="4" t="s">
        <v>75</v>
      </c>
      <c r="O11" s="2">
        <f>_xlfn.NORM.S.INV(O9+((1-O9)/2))</f>
        <v>1.9599639845400536</v>
      </c>
    </row>
    <row r="12" spans="1:21">
      <c r="A12" s="4" t="s">
        <v>76</v>
      </c>
      <c r="B12" s="2">
        <f>B2-B9</f>
        <v>12.680659779628884</v>
      </c>
      <c r="H12" s="4" t="s">
        <v>88</v>
      </c>
      <c r="I12" s="2">
        <f>(I7-I8)/2</f>
        <v>14.5</v>
      </c>
    </row>
    <row r="13" spans="1:21">
      <c r="A13" s="4" t="s">
        <v>77</v>
      </c>
      <c r="B13" s="2">
        <f>B2+B9</f>
        <v>13.319340220371116</v>
      </c>
      <c r="E13" s="25" t="s">
        <v>90</v>
      </c>
      <c r="F13" s="2">
        <f>((F11*F8)/F7)^2</f>
        <v>1455.3690130314692</v>
      </c>
      <c r="H13" s="4" t="s">
        <v>89</v>
      </c>
      <c r="I13" s="2">
        <f>(I7+I8)/2</f>
        <v>94.5</v>
      </c>
      <c r="N13" s="4" t="s">
        <v>90</v>
      </c>
      <c r="O13" s="2">
        <f>O8*(1-O8)*(O11/O7)^2</f>
        <v>1593.2450458828873</v>
      </c>
    </row>
    <row r="16" spans="1:21" ht="18.75">
      <c r="A16" s="40" t="s">
        <v>95</v>
      </c>
      <c r="B16" s="40"/>
      <c r="E16" s="40" t="s">
        <v>114</v>
      </c>
      <c r="F16" s="40"/>
      <c r="G16" s="40"/>
      <c r="H16" s="40"/>
      <c r="I16" s="40"/>
      <c r="J16" s="24"/>
      <c r="K16" s="24"/>
    </row>
    <row r="17" spans="1:11" ht="18.75">
      <c r="A17" s="51" t="s">
        <v>96</v>
      </c>
      <c r="B17" s="51"/>
      <c r="D17" s="23"/>
      <c r="E17" s="46" t="s">
        <v>105</v>
      </c>
      <c r="F17" s="46"/>
      <c r="G17" s="46"/>
      <c r="H17" s="46"/>
      <c r="I17" s="46"/>
      <c r="J17" s="23"/>
    </row>
    <row r="18" spans="1:11" ht="18">
      <c r="A18" s="39" t="s">
        <v>97</v>
      </c>
      <c r="B18" s="39"/>
      <c r="E18" s="50" t="s">
        <v>102</v>
      </c>
      <c r="F18" s="50"/>
      <c r="G18" s="50"/>
      <c r="H18" s="50"/>
      <c r="I18" s="50"/>
      <c r="J18" s="22"/>
      <c r="K18" s="22"/>
    </row>
    <row r="19" spans="1:11" ht="18">
      <c r="A19" s="39" t="s">
        <v>98</v>
      </c>
      <c r="B19" s="39"/>
      <c r="E19" s="46" t="s">
        <v>103</v>
      </c>
      <c r="F19" s="46"/>
      <c r="G19" s="46"/>
      <c r="H19" s="46"/>
      <c r="I19" s="46"/>
    </row>
    <row r="20" spans="1:11" ht="16.5">
      <c r="A20" s="39" t="s">
        <v>99</v>
      </c>
      <c r="B20" s="39"/>
      <c r="E20" s="49" t="s">
        <v>104</v>
      </c>
      <c r="F20" s="49"/>
      <c r="G20" s="49"/>
      <c r="H20" s="49"/>
      <c r="I20" s="49"/>
    </row>
    <row r="22" spans="1:11">
      <c r="A22" s="4" t="s">
        <v>91</v>
      </c>
      <c r="B22">
        <v>170770.49</v>
      </c>
      <c r="E22" s="4" t="s">
        <v>106</v>
      </c>
      <c r="F22">
        <v>58</v>
      </c>
      <c r="H22" s="4" t="s">
        <v>112</v>
      </c>
      <c r="I22" s="17">
        <f>F23*F26</f>
        <v>58</v>
      </c>
    </row>
    <row r="23" spans="1:11">
      <c r="A23" s="4" t="s">
        <v>101</v>
      </c>
      <c r="B23">
        <v>17039.555400000001</v>
      </c>
      <c r="E23" s="4" t="s">
        <v>107</v>
      </c>
      <c r="F23">
        <v>145</v>
      </c>
      <c r="H23" s="4" t="s">
        <v>113</v>
      </c>
      <c r="I23" s="17">
        <f>F23*F27</f>
        <v>87</v>
      </c>
    </row>
    <row r="24" spans="1:11">
      <c r="A24" s="4" t="s">
        <v>90</v>
      </c>
      <c r="B24">
        <v>61</v>
      </c>
      <c r="E24" s="4" t="s">
        <v>108</v>
      </c>
      <c r="F24">
        <v>0.99</v>
      </c>
    </row>
    <row r="25" spans="1:11">
      <c r="A25" s="4" t="s">
        <v>92</v>
      </c>
      <c r="B25">
        <v>0.95</v>
      </c>
    </row>
    <row r="26" spans="1:11">
      <c r="A26" s="4"/>
      <c r="E26" s="4" t="s">
        <v>110</v>
      </c>
      <c r="F26" s="2">
        <f>F22/F23</f>
        <v>0.4</v>
      </c>
    </row>
    <row r="27" spans="1:11">
      <c r="A27" s="4" t="s">
        <v>100</v>
      </c>
      <c r="B27" s="2">
        <f>_xlfn.T.INV.2T(1-B25,B24-1)</f>
        <v>2.0002978220142609</v>
      </c>
      <c r="E27" s="4" t="s">
        <v>111</v>
      </c>
      <c r="F27" s="2">
        <f>1-F26</f>
        <v>0.6</v>
      </c>
    </row>
    <row r="28" spans="1:11">
      <c r="A28" s="4" t="s">
        <v>59</v>
      </c>
      <c r="B28" s="2">
        <f>B23/SQRT(B24)</f>
        <v>2181.6915088597293</v>
      </c>
      <c r="E28" s="4" t="s">
        <v>59</v>
      </c>
      <c r="F28" s="2">
        <f>SQRT((F26*F27)/F23)</f>
        <v>4.0683810217248623E-2</v>
      </c>
    </row>
    <row r="29" spans="1:11">
      <c r="A29" s="4" t="s">
        <v>94</v>
      </c>
      <c r="B29" s="2">
        <f>B27*B28</f>
        <v>4364.0327734791226</v>
      </c>
      <c r="E29" s="4" t="s">
        <v>93</v>
      </c>
      <c r="F29" s="2">
        <f>_xlfn.NORM.S.INV(F24+((1-F24)/2))</f>
        <v>2.5758293035488999</v>
      </c>
    </row>
    <row r="30" spans="1:11">
      <c r="E30" s="4" t="s">
        <v>109</v>
      </c>
      <c r="F30" s="2">
        <f>F29*F28</f>
        <v>0.10479455053761114</v>
      </c>
    </row>
    <row r="31" spans="1:11">
      <c r="A31" s="4" t="s">
        <v>76</v>
      </c>
      <c r="B31" s="2">
        <f>B22-B29</f>
        <v>166406.45722652087</v>
      </c>
    </row>
    <row r="32" spans="1:11">
      <c r="A32" s="4" t="s">
        <v>77</v>
      </c>
      <c r="B32" s="2">
        <f>B22+B29</f>
        <v>175134.52277347911</v>
      </c>
      <c r="E32" s="4" t="s">
        <v>119</v>
      </c>
      <c r="F32" s="2">
        <f>F26-F30</f>
        <v>0.29520544946238891</v>
      </c>
      <c r="H32" s="4" t="s">
        <v>121</v>
      </c>
      <c r="I32" s="2">
        <f>F27-F30</f>
        <v>0.49520544946238887</v>
      </c>
    </row>
    <row r="33" spans="5:9">
      <c r="E33" s="4" t="s">
        <v>120</v>
      </c>
      <c r="F33" s="2">
        <f>F26+F30</f>
        <v>0.50479455053761113</v>
      </c>
      <c r="H33" s="4" t="s">
        <v>122</v>
      </c>
      <c r="I33" s="2">
        <f>F27+F30</f>
        <v>0.70479455053761109</v>
      </c>
    </row>
  </sheetData>
  <mergeCells count="21">
    <mergeCell ref="N2:U2"/>
    <mergeCell ref="N3:U3"/>
    <mergeCell ref="N4:U4"/>
    <mergeCell ref="N5:U5"/>
    <mergeCell ref="N1:U1"/>
    <mergeCell ref="E17:I17"/>
    <mergeCell ref="E18:I18"/>
    <mergeCell ref="E19:I19"/>
    <mergeCell ref="E20:I20"/>
    <mergeCell ref="E16:I16"/>
    <mergeCell ref="A16:B16"/>
    <mergeCell ref="A17:B17"/>
    <mergeCell ref="A18:B18"/>
    <mergeCell ref="A19:B19"/>
    <mergeCell ref="A20:B20"/>
    <mergeCell ref="E4:K4"/>
    <mergeCell ref="E5:K5"/>
    <mergeCell ref="A1:B1"/>
    <mergeCell ref="E1:K1"/>
    <mergeCell ref="E2:K2"/>
    <mergeCell ref="E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C059-2927-4AEC-95DD-1A35B6AE5169}">
  <dimension ref="A1:L33"/>
  <sheetViews>
    <sheetView topLeftCell="A6" workbookViewId="0">
      <selection activeCell="G15" sqref="G15"/>
    </sheetView>
  </sheetViews>
  <sheetFormatPr defaultRowHeight="15"/>
  <cols>
    <col min="1" max="1" width="10.5703125" customWidth="1"/>
    <col min="2" max="2" width="13" customWidth="1"/>
    <col min="4" max="4" width="25.140625" bestFit="1" customWidth="1"/>
    <col min="5" max="5" width="11.42578125" customWidth="1"/>
    <col min="6" max="6" width="14.85546875" bestFit="1" customWidth="1"/>
    <col min="7" max="7" width="16" customWidth="1"/>
    <col min="9" max="10" width="9.140625" customWidth="1"/>
    <col min="11" max="11" width="18" bestFit="1" customWidth="1"/>
  </cols>
  <sheetData>
    <row r="1" spans="1:12" ht="21">
      <c r="A1" s="53" t="s">
        <v>74</v>
      </c>
      <c r="B1" s="53"/>
      <c r="C1" s="53"/>
      <c r="D1" s="53"/>
    </row>
    <row r="2" spans="1:12">
      <c r="I2" s="1"/>
      <c r="K2" s="21"/>
      <c r="L2" s="21"/>
    </row>
    <row r="3" spans="1:12">
      <c r="A3" s="38" t="s">
        <v>48</v>
      </c>
      <c r="B3" s="38"/>
      <c r="C3" s="38"/>
      <c r="D3" s="38"/>
      <c r="F3" s="55" t="s">
        <v>68</v>
      </c>
      <c r="G3" s="55"/>
      <c r="H3" s="55"/>
      <c r="I3" s="1"/>
    </row>
    <row r="4" spans="1:12" ht="18">
      <c r="A4" s="54" t="s">
        <v>49</v>
      </c>
      <c r="B4" s="54"/>
      <c r="C4" s="54"/>
      <c r="D4" s="54"/>
      <c r="I4" s="1"/>
    </row>
    <row r="5" spans="1:12" ht="15.75">
      <c r="A5" s="39" t="s">
        <v>50</v>
      </c>
      <c r="B5" s="39"/>
      <c r="C5" s="39"/>
      <c r="D5" s="39"/>
      <c r="F5" s="18" t="s">
        <v>55</v>
      </c>
      <c r="G5" s="2">
        <v>5.8</v>
      </c>
      <c r="I5" s="1"/>
    </row>
    <row r="6" spans="1:12" ht="15.75">
      <c r="A6" s="39" t="s">
        <v>51</v>
      </c>
      <c r="B6" s="39"/>
      <c r="C6" s="39"/>
      <c r="D6" s="39"/>
      <c r="F6" s="18" t="s">
        <v>56</v>
      </c>
      <c r="G6" s="2">
        <v>6.8</v>
      </c>
      <c r="I6" s="1"/>
    </row>
    <row r="7" spans="1:12" ht="15.75">
      <c r="A7" s="39" t="s">
        <v>52</v>
      </c>
      <c r="B7" s="39"/>
      <c r="C7" s="39"/>
      <c r="D7" s="39"/>
      <c r="F7" s="18" t="s">
        <v>57</v>
      </c>
      <c r="G7" s="2">
        <v>2.6852423197524402</v>
      </c>
      <c r="I7" s="1"/>
    </row>
    <row r="8" spans="1:12" ht="15.75">
      <c r="A8" s="39" t="s">
        <v>53</v>
      </c>
      <c r="B8" s="39"/>
      <c r="C8" s="39"/>
      <c r="D8" s="39"/>
      <c r="F8" s="18" t="s">
        <v>58</v>
      </c>
      <c r="G8" s="2">
        <v>20</v>
      </c>
      <c r="I8" s="1"/>
    </row>
    <row r="9" spans="1:12" ht="15.75">
      <c r="F9" s="18" t="s">
        <v>59</v>
      </c>
      <c r="G9" s="2">
        <f>G7/SQRT(G8)</f>
        <v>0.60043843630256821</v>
      </c>
      <c r="I9" s="1"/>
    </row>
    <row r="10" spans="1:12">
      <c r="A10" s="39" t="s">
        <v>54</v>
      </c>
      <c r="B10" s="39"/>
      <c r="C10" s="39"/>
      <c r="D10" s="39"/>
      <c r="I10" s="1"/>
    </row>
    <row r="11" spans="1:12" ht="15.75">
      <c r="F11" s="18" t="s">
        <v>5</v>
      </c>
      <c r="G11" s="16">
        <f>(G5-G6)/(G7/SQRT(G8))</f>
        <v>-1.6654496773355927</v>
      </c>
      <c r="I11" s="1"/>
    </row>
    <row r="12" spans="1:12">
      <c r="F12" s="3" t="s">
        <v>6</v>
      </c>
      <c r="G12" s="17">
        <f>1-_xlfn.NORM.S.DIST(G11,1)</f>
        <v>0.95208846228087185</v>
      </c>
      <c r="I12" s="1"/>
    </row>
    <row r="13" spans="1:12">
      <c r="F13" s="3"/>
      <c r="I13" s="1"/>
    </row>
    <row r="14" spans="1:12">
      <c r="I14" s="1"/>
    </row>
    <row r="15" spans="1:12">
      <c r="A15" s="3" t="s">
        <v>6</v>
      </c>
      <c r="B15" s="17">
        <f>1-_xlfn.NORM.S.DIST(G11,1)</f>
        <v>0.95208846228087185</v>
      </c>
      <c r="D15" s="3" t="s">
        <v>60</v>
      </c>
      <c r="E15" s="17">
        <f>1-(2*_xlfn.NORM.S.DIST(G11,1))</f>
        <v>0.9041769245617437</v>
      </c>
      <c r="I15" s="1"/>
    </row>
    <row r="16" spans="1:12">
      <c r="A16" s="3" t="s">
        <v>4</v>
      </c>
      <c r="B16" s="17">
        <f>_xlfn.NORM.S.DIST(G11,1)</f>
        <v>4.7911537719128178E-2</v>
      </c>
      <c r="D16" s="3" t="s">
        <v>61</v>
      </c>
      <c r="E16" s="17">
        <f>2*_xlfn.NORM.S.DIST(G11,1)</f>
        <v>9.5823075438256355E-2</v>
      </c>
      <c r="I16" s="1"/>
    </row>
    <row r="17" spans="1:9">
      <c r="A17" s="3" t="s">
        <v>11</v>
      </c>
      <c r="B17">
        <f>SUM(B15:B16)</f>
        <v>1</v>
      </c>
      <c r="D17" s="3" t="s">
        <v>11</v>
      </c>
      <c r="E17">
        <f>SUM(E15:E16)</f>
        <v>1</v>
      </c>
      <c r="I17" s="1"/>
    </row>
    <row r="18" spans="1:9">
      <c r="I18" s="1"/>
    </row>
    <row r="19" spans="1:9">
      <c r="I19" s="1"/>
    </row>
    <row r="20" spans="1:9">
      <c r="I20" s="1"/>
    </row>
    <row r="21" spans="1:9" ht="21">
      <c r="A21" s="53" t="s">
        <v>63</v>
      </c>
      <c r="B21" s="53"/>
      <c r="C21" s="53"/>
      <c r="D21" s="53"/>
      <c r="F21" s="52" t="s">
        <v>68</v>
      </c>
      <c r="G21" s="52"/>
      <c r="H21" s="52"/>
      <c r="I21" s="1"/>
    </row>
    <row r="22" spans="1:9" ht="18">
      <c r="A22" s="54" t="s">
        <v>62</v>
      </c>
      <c r="B22" s="54"/>
      <c r="C22" s="54"/>
      <c r="D22" s="54"/>
    </row>
    <row r="23" spans="1:9" ht="15.75">
      <c r="A23" s="39" t="s">
        <v>64</v>
      </c>
      <c r="B23" s="39"/>
      <c r="C23" s="39"/>
      <c r="D23" s="39"/>
      <c r="F23" s="18" t="s">
        <v>58</v>
      </c>
      <c r="G23" s="19">
        <v>454</v>
      </c>
    </row>
    <row r="24" spans="1:9" ht="15.75">
      <c r="A24" s="39" t="s">
        <v>67</v>
      </c>
      <c r="B24" s="39"/>
      <c r="C24" s="39"/>
      <c r="D24" s="39"/>
      <c r="F24" s="18" t="s">
        <v>69</v>
      </c>
      <c r="G24" s="19">
        <v>0.42</v>
      </c>
    </row>
    <row r="25" spans="1:9" ht="15.75">
      <c r="A25" s="39" t="s">
        <v>65</v>
      </c>
      <c r="B25" s="39"/>
      <c r="C25" s="39"/>
      <c r="D25" s="39"/>
      <c r="F25" s="18" t="s">
        <v>70</v>
      </c>
      <c r="G25" s="19">
        <f>202/454</f>
        <v>0.44493392070484583</v>
      </c>
    </row>
    <row r="26" spans="1:9" ht="15.75">
      <c r="A26" s="39" t="s">
        <v>66</v>
      </c>
      <c r="B26" s="39"/>
      <c r="C26" s="39"/>
      <c r="D26" s="39"/>
      <c r="F26" s="18" t="s">
        <v>73</v>
      </c>
      <c r="G26" s="2">
        <f>SQRT(G24*(1-G24)/G23)</f>
        <v>2.3163848485344193E-2</v>
      </c>
    </row>
    <row r="28" spans="1:9" ht="15.75">
      <c r="F28" s="18" t="s">
        <v>5</v>
      </c>
      <c r="G28" s="20">
        <f>(G25-G24)/SQRT(G24*(1-G24)/G23)</f>
        <v>1.0764152908624653</v>
      </c>
    </row>
    <row r="29" spans="1:9" ht="15.75">
      <c r="F29" s="18"/>
    </row>
    <row r="30" spans="1:9" ht="15.75">
      <c r="F30" s="18"/>
    </row>
    <row r="31" spans="1:9">
      <c r="A31" s="3" t="s">
        <v>71</v>
      </c>
      <c r="B31" s="17">
        <f>1-_xlfn.NORM.S.DIST(G28,1)</f>
        <v>0.14087078341106618</v>
      </c>
      <c r="D31" s="3" t="s">
        <v>60</v>
      </c>
      <c r="E31" s="17">
        <f>1-(2*_xlfn.NORM.S.DIST(G28,1))</f>
        <v>-0.71825843317786764</v>
      </c>
    </row>
    <row r="32" spans="1:9">
      <c r="A32" s="3" t="s">
        <v>72</v>
      </c>
      <c r="B32" s="17">
        <f>_xlfn.NORM.S.DIST(G28,1)</f>
        <v>0.85912921658893382</v>
      </c>
      <c r="D32" s="3" t="s">
        <v>61</v>
      </c>
      <c r="E32" s="17">
        <f>2*_xlfn.NORM.S.DIST(G28,1)</f>
        <v>1.7182584331778676</v>
      </c>
    </row>
    <row r="33" spans="1:5">
      <c r="A33" s="3" t="s">
        <v>24</v>
      </c>
      <c r="B33">
        <f>SUM(B31:B32)</f>
        <v>1</v>
      </c>
      <c r="D33" s="3" t="s">
        <v>11</v>
      </c>
      <c r="E33">
        <f>SUM(E31:E32)</f>
        <v>1</v>
      </c>
    </row>
  </sheetData>
  <mergeCells count="16">
    <mergeCell ref="A8:D8"/>
    <mergeCell ref="A10:D10"/>
    <mergeCell ref="F3:H3"/>
    <mergeCell ref="A1:D1"/>
    <mergeCell ref="A3:D3"/>
    <mergeCell ref="A4:D4"/>
    <mergeCell ref="A5:D5"/>
    <mergeCell ref="A6:D6"/>
    <mergeCell ref="A7:D7"/>
    <mergeCell ref="A26:D26"/>
    <mergeCell ref="F21:H21"/>
    <mergeCell ref="A21:D21"/>
    <mergeCell ref="A22:D22"/>
    <mergeCell ref="A23:D23"/>
    <mergeCell ref="A24:D24"/>
    <mergeCell ref="A25:D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1FD6-0918-4913-A773-F9D63DED65CD}">
  <dimension ref="A1:F26"/>
  <sheetViews>
    <sheetView workbookViewId="0">
      <selection activeCell="P18" sqref="P18"/>
    </sheetView>
  </sheetViews>
  <sheetFormatPr defaultRowHeight="15"/>
  <cols>
    <col min="1" max="1" width="11.28515625" customWidth="1"/>
    <col min="2" max="2" width="22.28515625" customWidth="1"/>
    <col min="3" max="3" width="18.5703125" customWidth="1"/>
    <col min="4" max="4" width="17.5703125" customWidth="1"/>
    <col min="5" max="5" width="26.5703125" customWidth="1"/>
  </cols>
  <sheetData>
    <row r="1" spans="1:6">
      <c r="A1" s="3" t="s">
        <v>0</v>
      </c>
      <c r="B1" s="3" t="s">
        <v>3</v>
      </c>
      <c r="C1">
        <v>0.31</v>
      </c>
      <c r="D1" s="3" t="s">
        <v>5</v>
      </c>
      <c r="E1" s="2">
        <v>-2.0299999999999998</v>
      </c>
    </row>
    <row r="2" spans="1:6">
      <c r="A2" s="3"/>
      <c r="B2" s="3" t="s">
        <v>4</v>
      </c>
      <c r="C2">
        <f>_xlfn.NORM.S.DIST(C1,1)</f>
        <v>0.62171952182201928</v>
      </c>
      <c r="D2" s="3"/>
    </row>
    <row r="3" spans="1:6">
      <c r="A3" s="3"/>
      <c r="B3" s="3"/>
      <c r="D3" s="3" t="s">
        <v>4</v>
      </c>
      <c r="E3">
        <f>_xlfn.NORM.S.DIST(E1,1)</f>
        <v>2.1178269642672266E-2</v>
      </c>
    </row>
    <row r="4" spans="1:6">
      <c r="A4" s="3" t="s">
        <v>1</v>
      </c>
      <c r="B4" s="3" t="s">
        <v>3</v>
      </c>
      <c r="C4">
        <v>1.37</v>
      </c>
    </row>
    <row r="5" spans="1:6">
      <c r="A5" s="3"/>
      <c r="B5" s="3" t="s">
        <v>4</v>
      </c>
      <c r="C5">
        <f>_xlfn.NORM.S.DIST(C4,1)</f>
        <v>0.91465654917803307</v>
      </c>
    </row>
    <row r="6" spans="1:6">
      <c r="A6" s="3"/>
      <c r="B6" s="3"/>
    </row>
    <row r="7" spans="1:6">
      <c r="A7" s="3" t="s">
        <v>2</v>
      </c>
      <c r="B7" s="3" t="s">
        <v>3</v>
      </c>
      <c r="C7">
        <v>-2.0299999999999998</v>
      </c>
    </row>
    <row r="8" spans="1:6">
      <c r="B8" s="3" t="s">
        <v>4</v>
      </c>
      <c r="C8">
        <f>_xlfn.NORM.S.DIST(C7,1)</f>
        <v>2.1178269642672266E-2</v>
      </c>
    </row>
    <row r="11" spans="1:6" ht="15.75" thickBot="1"/>
    <row r="12" spans="1:6">
      <c r="A12" s="5"/>
      <c r="B12" s="6"/>
      <c r="C12" s="6"/>
      <c r="D12" s="6"/>
      <c r="E12" s="6"/>
      <c r="F12" s="7"/>
    </row>
    <row r="13" spans="1:6">
      <c r="A13" s="8"/>
      <c r="F13" s="9"/>
    </row>
    <row r="14" spans="1:6">
      <c r="A14" s="10" t="s">
        <v>12</v>
      </c>
      <c r="B14" s="2">
        <v>11</v>
      </c>
      <c r="D14" s="3" t="s">
        <v>18</v>
      </c>
      <c r="E14" s="2">
        <v>152</v>
      </c>
      <c r="F14" s="9"/>
    </row>
    <row r="15" spans="1:6">
      <c r="A15" s="10" t="s">
        <v>13</v>
      </c>
      <c r="B15" s="2">
        <v>5</v>
      </c>
      <c r="D15" s="3" t="s">
        <v>19</v>
      </c>
      <c r="E15" s="2">
        <v>138</v>
      </c>
      <c r="F15" s="9"/>
    </row>
    <row r="16" spans="1:6">
      <c r="A16" s="10" t="s">
        <v>14</v>
      </c>
      <c r="B16" s="2">
        <v>3</v>
      </c>
      <c r="D16" s="3" t="s">
        <v>13</v>
      </c>
      <c r="E16" s="2">
        <v>120</v>
      </c>
      <c r="F16" s="9"/>
    </row>
    <row r="17" spans="1:6">
      <c r="A17" s="8"/>
      <c r="D17" s="3" t="s">
        <v>14</v>
      </c>
      <c r="E17" s="2">
        <v>20</v>
      </c>
      <c r="F17" s="9"/>
    </row>
    <row r="18" spans="1:6">
      <c r="A18" s="10" t="s">
        <v>15</v>
      </c>
      <c r="B18" s="11">
        <f>(B14-B15)/B16</f>
        <v>2</v>
      </c>
      <c r="F18" s="9"/>
    </row>
    <row r="19" spans="1:6">
      <c r="A19" s="8"/>
      <c r="D19" s="3" t="s">
        <v>22</v>
      </c>
      <c r="E19" s="11">
        <f>(E14-E16)/E17</f>
        <v>1.6</v>
      </c>
      <c r="F19" s="9"/>
    </row>
    <row r="20" spans="1:6">
      <c r="A20" s="10" t="s">
        <v>16</v>
      </c>
      <c r="B20" s="11">
        <f>_xlfn.NORM.DIST(B14,B15,B16,1)</f>
        <v>0.97724986805182079</v>
      </c>
      <c r="D20" s="3" t="s">
        <v>23</v>
      </c>
      <c r="E20" s="11">
        <f>(E15-E16)/E17</f>
        <v>0.9</v>
      </c>
      <c r="F20" s="9"/>
    </row>
    <row r="21" spans="1:6">
      <c r="A21" s="10" t="s">
        <v>17</v>
      </c>
      <c r="B21" s="11">
        <f>1-_xlfn.NORM.DIST(B14,B15,B16,1)</f>
        <v>2.2750131948179209E-2</v>
      </c>
      <c r="F21" s="9"/>
    </row>
    <row r="22" spans="1:6">
      <c r="A22" s="10" t="s">
        <v>24</v>
      </c>
      <c r="B22">
        <f>SUM(B20:B21)</f>
        <v>1</v>
      </c>
      <c r="F22" s="9"/>
    </row>
    <row r="23" spans="1:6">
      <c r="A23" s="8"/>
      <c r="D23" s="3" t="s">
        <v>20</v>
      </c>
      <c r="E23" s="11">
        <f>_xlfn.NORM.DIST(E14,E16,E17,1)-_xlfn.NORM.DIST(E15,E16,E17,1)</f>
        <v>0.12926083364720153</v>
      </c>
      <c r="F23" s="9"/>
    </row>
    <row r="24" spans="1:6">
      <c r="A24" s="8"/>
      <c r="D24" s="3" t="s">
        <v>21</v>
      </c>
      <c r="E24" s="11">
        <f>(1-_xlfn.NORM.DIST(E14,E16,E17,1))+_xlfn.NORM.DIST(E15,E16,E17,1)</f>
        <v>0.87073916635279847</v>
      </c>
      <c r="F24" s="9"/>
    </row>
    <row r="25" spans="1:6">
      <c r="A25" s="8"/>
      <c r="D25" s="3" t="s">
        <v>24</v>
      </c>
      <c r="E25">
        <f>SUM(E23:E24)</f>
        <v>1</v>
      </c>
      <c r="F25" s="9"/>
    </row>
    <row r="26" spans="1:6" ht="15.75" thickBot="1">
      <c r="A26" s="12"/>
      <c r="B26" s="13"/>
      <c r="C26" s="13"/>
      <c r="D26" s="13"/>
      <c r="E26" s="13"/>
      <c r="F26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F154-68A4-4771-B5DB-4924ACDD5DB6}">
  <dimension ref="A1:F8"/>
  <sheetViews>
    <sheetView workbookViewId="0">
      <selection activeCell="D24" sqref="D24"/>
    </sheetView>
  </sheetViews>
  <sheetFormatPr defaultRowHeight="15"/>
  <cols>
    <col min="2" max="2" width="20.7109375" customWidth="1"/>
    <col min="3" max="4" width="18.85546875" customWidth="1"/>
    <col min="5" max="5" width="17" customWidth="1"/>
    <col min="6" max="6" width="25" customWidth="1"/>
  </cols>
  <sheetData>
    <row r="1" spans="1:6">
      <c r="A1" s="3" t="s">
        <v>0</v>
      </c>
      <c r="B1" s="3" t="s">
        <v>3</v>
      </c>
      <c r="C1">
        <v>0.31</v>
      </c>
      <c r="E1" s="3" t="s">
        <v>5</v>
      </c>
      <c r="F1" s="2">
        <v>-3.3332999999999999</v>
      </c>
    </row>
    <row r="2" spans="1:6">
      <c r="A2" s="1"/>
      <c r="B2" s="3" t="s">
        <v>6</v>
      </c>
      <c r="C2">
        <f>1-_xlfn.NORM.S.DIST(C1,1)</f>
        <v>0.37828047817798072</v>
      </c>
      <c r="E2" s="1"/>
    </row>
    <row r="3" spans="1:6">
      <c r="A3" s="1"/>
      <c r="B3" s="3"/>
      <c r="E3" s="3" t="s">
        <v>6</v>
      </c>
      <c r="F3">
        <f>1-_xlfn.NORM.S.DIST(F1,1)</f>
        <v>0.99957088825464713</v>
      </c>
    </row>
    <row r="4" spans="1:6">
      <c r="A4" s="3" t="s">
        <v>1</v>
      </c>
      <c r="B4" s="3" t="s">
        <v>3</v>
      </c>
      <c r="C4">
        <v>1.37</v>
      </c>
      <c r="E4" s="3" t="s">
        <v>4</v>
      </c>
      <c r="F4">
        <f>_xlfn.NORM.S.DIST(F1,1)</f>
        <v>4.2911174535288193E-4</v>
      </c>
    </row>
    <row r="5" spans="1:6">
      <c r="A5" s="1"/>
      <c r="B5" s="3" t="s">
        <v>6</v>
      </c>
      <c r="C5">
        <f>1-_xlfn.NORM.S.DIST(C4,1)</f>
        <v>8.5343450821966926E-2</v>
      </c>
      <c r="E5" s="3" t="s">
        <v>11</v>
      </c>
      <c r="F5">
        <f>SUM(F3:F4)</f>
        <v>1</v>
      </c>
    </row>
    <row r="6" spans="1:6">
      <c r="A6" s="1"/>
      <c r="B6" s="3"/>
    </row>
    <row r="7" spans="1:6">
      <c r="A7" s="3" t="s">
        <v>2</v>
      </c>
      <c r="B7" s="3" t="s">
        <v>3</v>
      </c>
      <c r="C7">
        <v>-2.0299999999999998</v>
      </c>
    </row>
    <row r="8" spans="1:6">
      <c r="B8" s="3" t="s">
        <v>6</v>
      </c>
      <c r="C8">
        <f>1-_xlfn.NORM.S.DIST(C7,1)</f>
        <v>0.97882173035732778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1F23-9CD2-4281-9E44-BF3FC1B64133}">
  <dimension ref="A1:F12"/>
  <sheetViews>
    <sheetView workbookViewId="0">
      <selection activeCell="F5" sqref="F5"/>
    </sheetView>
  </sheetViews>
  <sheetFormatPr defaultRowHeight="15"/>
  <cols>
    <col min="2" max="2" width="17.28515625" customWidth="1"/>
    <col min="5" max="5" width="15.7109375" customWidth="1"/>
    <col min="6" max="6" width="38" customWidth="1"/>
  </cols>
  <sheetData>
    <row r="1" spans="1:6">
      <c r="A1" s="4"/>
      <c r="E1" s="3" t="s">
        <v>8</v>
      </c>
      <c r="F1" s="2">
        <v>1.3332999999999999</v>
      </c>
    </row>
    <row r="2" spans="1:6">
      <c r="A2" s="3" t="s">
        <v>0</v>
      </c>
      <c r="B2">
        <f>_xlfn.NORM.S.DIST(0.31,1)-_xlfn.NORM.S.DIST(-0.31,1)</f>
        <v>0.24343904364403857</v>
      </c>
      <c r="E2" s="3" t="s">
        <v>9</v>
      </c>
      <c r="F2" s="2">
        <v>-1.3332999999999999</v>
      </c>
    </row>
    <row r="3" spans="1:6">
      <c r="A3" s="3"/>
      <c r="E3" s="3"/>
    </row>
    <row r="4" spans="1:6">
      <c r="A4" s="3" t="s">
        <v>1</v>
      </c>
      <c r="B4">
        <f>_xlfn.NORM.S.DIST(2,1)-_xlfn.NORM.S.DIST(-2,1)</f>
        <v>0.95449973610364158</v>
      </c>
      <c r="E4" s="3"/>
    </row>
    <row r="5" spans="1:6">
      <c r="A5" s="3"/>
      <c r="B5">
        <f>1-(2*_xlfn.NORM.S.DIST(-2,1))</f>
        <v>0.95449973610364158</v>
      </c>
      <c r="E5" s="3" t="s">
        <v>7</v>
      </c>
      <c r="F5">
        <f>_xlfn.NORM.S.DIST(F1,1)-_xlfn.NORM.S.DIST(F2,1)</f>
        <v>0.81756662630030652</v>
      </c>
    </row>
    <row r="6" spans="1:6">
      <c r="A6" s="3" t="s">
        <v>2</v>
      </c>
      <c r="B6">
        <f>_xlfn.NORM.S.DIST(2.7,1)-_xlfn.NORM.S.DIST(-0.4,1)</f>
        <v>0.65195476780728367</v>
      </c>
      <c r="E6" s="4"/>
    </row>
    <row r="7" spans="1:6">
      <c r="A7" s="3"/>
      <c r="E7" s="4"/>
    </row>
    <row r="8" spans="1:6">
      <c r="A8" s="3"/>
    </row>
    <row r="9" spans="1:6">
      <c r="A9" s="3"/>
    </row>
    <row r="10" spans="1:6">
      <c r="A10" s="4"/>
    </row>
    <row r="11" spans="1:6">
      <c r="A11" s="4"/>
    </row>
    <row r="12" spans="1:6">
      <c r="A1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3C35-31BF-4F2A-AE95-9144989F6EF7}">
  <dimension ref="A1:F7"/>
  <sheetViews>
    <sheetView workbookViewId="0">
      <selection activeCell="F11" sqref="F11"/>
    </sheetView>
  </sheetViews>
  <sheetFormatPr defaultRowHeight="15"/>
  <cols>
    <col min="5" max="5" width="20.140625" customWidth="1"/>
    <col min="6" max="6" width="29" customWidth="1"/>
  </cols>
  <sheetData>
    <row r="1" spans="1:6">
      <c r="A1" s="4"/>
      <c r="E1" s="3" t="s">
        <v>8</v>
      </c>
      <c r="F1" s="2">
        <v>1.44</v>
      </c>
    </row>
    <row r="2" spans="1:6">
      <c r="A2" s="3" t="s">
        <v>0</v>
      </c>
      <c r="B2">
        <f>(1-_xlfn.NORM.S.DIST(0.31,1))+_xlfn.NORM.S.DIST(-0.31,1)</f>
        <v>0.75656095635596143</v>
      </c>
      <c r="E2" s="3" t="s">
        <v>9</v>
      </c>
      <c r="F2" s="2">
        <v>-1.44</v>
      </c>
    </row>
    <row r="3" spans="1:6">
      <c r="A3" s="3"/>
      <c r="E3" s="3"/>
    </row>
    <row r="4" spans="1:6">
      <c r="A4" s="3" t="s">
        <v>1</v>
      </c>
      <c r="B4">
        <f>2*_xlfn.NORM.S.DIST(-2,1)</f>
        <v>4.5500263896358382E-2</v>
      </c>
      <c r="E4" s="3"/>
    </row>
    <row r="5" spans="1:6">
      <c r="A5" s="3"/>
      <c r="E5" s="3" t="s">
        <v>7</v>
      </c>
      <c r="F5">
        <f>_xlfn.NORM.S.DIST(F1,1)-_xlfn.NORM.S.DIST(F2,1)</f>
        <v>0.85013260093134591</v>
      </c>
    </row>
    <row r="6" spans="1:6">
      <c r="A6" s="3" t="s">
        <v>2</v>
      </c>
      <c r="B6">
        <f>(1-_xlfn.NORM.S.DIST(2.7,1))+_xlfn.NORM.S.DIST(-0.4,1)</f>
        <v>0.34804523219271638</v>
      </c>
      <c r="E6" s="3" t="s">
        <v>10</v>
      </c>
      <c r="F6">
        <f>(1-_xlfn.NORM.S.DIST(F1,1))+_xlfn.NORM.S.DIST(F2,1)</f>
        <v>0.14986739906865409</v>
      </c>
    </row>
    <row r="7" spans="1:6">
      <c r="A7" s="3"/>
      <c r="E7" s="3" t="s">
        <v>11</v>
      </c>
      <c r="F7">
        <f>SUM(F5:F6)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D6C2-43FD-4CCD-92BF-1B899A05F378}">
  <dimension ref="A1:G25"/>
  <sheetViews>
    <sheetView workbookViewId="0">
      <selection activeCell="P13" sqref="P13"/>
    </sheetView>
  </sheetViews>
  <sheetFormatPr defaultRowHeight="15"/>
  <cols>
    <col min="1" max="1" width="12" customWidth="1"/>
    <col min="4" max="4" width="24" bestFit="1" customWidth="1"/>
  </cols>
  <sheetData>
    <row r="1" spans="1:7">
      <c r="A1" s="3" t="s">
        <v>29</v>
      </c>
      <c r="D1" s="3" t="s">
        <v>30</v>
      </c>
      <c r="F1" s="3" t="s">
        <v>25</v>
      </c>
      <c r="G1" s="2">
        <v>0.9</v>
      </c>
    </row>
    <row r="2" spans="1:7">
      <c r="A2" s="3" t="s">
        <v>15</v>
      </c>
      <c r="B2">
        <f>_xlfn.NORM.S.INV(0.239)</f>
        <v>-0.70952297384460827</v>
      </c>
      <c r="D2" t="s">
        <v>26</v>
      </c>
      <c r="F2" s="3" t="s">
        <v>13</v>
      </c>
      <c r="G2" s="2">
        <v>52</v>
      </c>
    </row>
    <row r="3" spans="1:7">
      <c r="A3" s="3" t="s">
        <v>28</v>
      </c>
      <c r="B3">
        <f>_xlfn.NORM.INV(0.239,52,3)</f>
        <v>49.871431078466173</v>
      </c>
      <c r="D3" t="s">
        <v>27</v>
      </c>
      <c r="F3" s="3" t="s">
        <v>14</v>
      </c>
      <c r="G3" s="2">
        <v>3</v>
      </c>
    </row>
    <row r="4" spans="1:7">
      <c r="A4" s="3"/>
      <c r="F4" s="3"/>
    </row>
    <row r="5" spans="1:7">
      <c r="A5" s="3" t="s">
        <v>15</v>
      </c>
      <c r="B5">
        <f>_xlfn.NORM.S.INV(0.8)</f>
        <v>0.84162123357291474</v>
      </c>
      <c r="D5" t="s">
        <v>31</v>
      </c>
      <c r="F5" s="3" t="s">
        <v>12</v>
      </c>
      <c r="G5" s="15">
        <f>(G1*G3)+G2</f>
        <v>54.7</v>
      </c>
    </row>
    <row r="6" spans="1:7">
      <c r="A6" s="3" t="s">
        <v>28</v>
      </c>
      <c r="B6">
        <f>_xlfn.NORM.INV(0.8,52,3)</f>
        <v>54.524863700718747</v>
      </c>
      <c r="D6" t="s">
        <v>32</v>
      </c>
    </row>
    <row r="7" spans="1:7">
      <c r="A7" s="3"/>
    </row>
    <row r="8" spans="1:7">
      <c r="A8" s="3" t="s">
        <v>15</v>
      </c>
      <c r="B8">
        <f>_xlfn.NORM.S.INV(1-0.963)</f>
        <v>-1.7866133654934697</v>
      </c>
      <c r="D8" t="s">
        <v>33</v>
      </c>
    </row>
    <row r="9" spans="1:7">
      <c r="A9" s="3" t="s">
        <v>28</v>
      </c>
      <c r="B9">
        <f>_xlfn.NORM.INV(1-0.963,52,3)</f>
        <v>46.640159903519589</v>
      </c>
      <c r="D9" t="s">
        <v>34</v>
      </c>
    </row>
    <row r="11" spans="1:7">
      <c r="A11" s="3" t="s">
        <v>20</v>
      </c>
    </row>
    <row r="12" spans="1:7">
      <c r="A12" s="3" t="s">
        <v>35</v>
      </c>
      <c r="B12">
        <f>_xlfn.NORM.S.INV(0.1/2)</f>
        <v>-1.6448536269514726</v>
      </c>
      <c r="D12" t="s">
        <v>39</v>
      </c>
    </row>
    <row r="13" spans="1:7">
      <c r="A13" s="3" t="s">
        <v>36</v>
      </c>
      <c r="B13">
        <f>_xlfn.NORM.S.INV(0.95)</f>
        <v>1.6448536269514715</v>
      </c>
      <c r="D13" t="s">
        <v>40</v>
      </c>
    </row>
    <row r="14" spans="1:7">
      <c r="A14" s="3"/>
    </row>
    <row r="15" spans="1:7">
      <c r="A15" s="3" t="s">
        <v>43</v>
      </c>
    </row>
    <row r="16" spans="1:7">
      <c r="A16" s="3" t="s">
        <v>35</v>
      </c>
      <c r="B16">
        <f>_xlfn.NORM.S.INV(0.1)</f>
        <v>-1.2815515655446006</v>
      </c>
      <c r="D16" t="s">
        <v>44</v>
      </c>
    </row>
    <row r="17" spans="1:4">
      <c r="A17" s="3" t="s">
        <v>36</v>
      </c>
      <c r="B17">
        <f>_xlfn.NORM.S.INV(0.9)</f>
        <v>1.2815515655446006</v>
      </c>
      <c r="D17" t="s">
        <v>45</v>
      </c>
    </row>
    <row r="19" spans="1:4">
      <c r="A19" s="3" t="s">
        <v>20</v>
      </c>
    </row>
    <row r="20" spans="1:4">
      <c r="A20" s="3" t="s">
        <v>37</v>
      </c>
      <c r="B20">
        <f>_xlfn.NORM.INV(0.05,52,3)</f>
        <v>47.06543911914558</v>
      </c>
      <c r="D20" t="s">
        <v>41</v>
      </c>
    </row>
    <row r="21" spans="1:4">
      <c r="A21" s="3" t="s">
        <v>38</v>
      </c>
      <c r="B21">
        <f>_xlfn.NORM.INV(0.95,52,3)</f>
        <v>56.934560880854413</v>
      </c>
      <c r="D21" t="s">
        <v>42</v>
      </c>
    </row>
    <row r="22" spans="1:4">
      <c r="A22" s="3"/>
    </row>
    <row r="23" spans="1:4">
      <c r="A23" s="3" t="s">
        <v>43</v>
      </c>
    </row>
    <row r="24" spans="1:4">
      <c r="A24" s="3" t="s">
        <v>37</v>
      </c>
      <c r="B24">
        <f>_xlfn.NORM.INV(0.1,52,3)</f>
        <v>48.155345303366197</v>
      </c>
      <c r="D24" t="s">
        <v>46</v>
      </c>
    </row>
    <row r="25" spans="1:4">
      <c r="A25" s="3" t="s">
        <v>38</v>
      </c>
      <c r="B25">
        <f>_xlfn.NORM.INV(0.9,52,3)</f>
        <v>55.844654696633803</v>
      </c>
      <c r="D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Multiple Regression</vt:lpstr>
      <vt:lpstr>Regression</vt:lpstr>
      <vt:lpstr>Two-Test Hypothesis</vt:lpstr>
      <vt:lpstr>Hypothesis Testing</vt:lpstr>
      <vt:lpstr>Two-Sample</vt:lpstr>
      <vt:lpstr>Margin of Error</vt:lpstr>
      <vt:lpstr>CLT</vt:lpstr>
      <vt:lpstr>Area Left</vt:lpstr>
      <vt:lpstr>Area Right</vt:lpstr>
      <vt:lpstr>Area Between</vt:lpstr>
      <vt:lpstr>Area in Tails</vt:lpstr>
      <vt:lpstr>Reverse Z-Score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eckert</dc:creator>
  <cp:lastModifiedBy>Wade Eckert</cp:lastModifiedBy>
  <dcterms:created xsi:type="dcterms:W3CDTF">2025-04-08T03:28:44Z</dcterms:created>
  <dcterms:modified xsi:type="dcterms:W3CDTF">2025-05-19T05:25:20Z</dcterms:modified>
</cp:coreProperties>
</file>