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30" windowWidth="21480" windowHeight="10050" firstSheet="6" activeTab="8"/>
  </bookViews>
  <sheets>
    <sheet name="Custos" sheetId="1" r:id="rId1"/>
    <sheet name="Banco de Dados" sheetId="2" r:id="rId2"/>
    <sheet name="Plano de ação" sheetId="3" r:id="rId3"/>
    <sheet name="Plano de Vendas" sheetId="4" r:id="rId4"/>
    <sheet name="Apresentação da Empresa" sheetId="5" r:id="rId5"/>
    <sheet name="Capacidade de Produção" sheetId="6" r:id="rId6"/>
    <sheet name="Gastos mensais" sheetId="7" r:id="rId7"/>
    <sheet name="investimento inicial" sheetId="11" r:id="rId8"/>
    <sheet name="Viabilidade" sheetId="14" r:id="rId9"/>
    <sheet name="Capacidade produtiva" sheetId="13" r:id="rId10"/>
    <sheet name="Custo de Produção" sheetId="9" r:id="rId11"/>
    <sheet name="Distribuição lucros" sheetId="10" r:id="rId12"/>
  </sheets>
  <definedNames>
    <definedName name="_xlnm._FilterDatabase" localSheetId="7" hidden="1">'investimento inicial'!$A$1:$E$27</definedName>
    <definedName name="kgparafina">'Capacidade produtiva'!$J$6</definedName>
    <definedName name="lucro">'Custo de Produção'!$J$12</definedName>
    <definedName name="qtd7dias">'Capacidade produtiva'!$F$3</definedName>
    <definedName name="qtdpalito">'Capacidade produtiva'!$F$6</definedName>
    <definedName name="qtdpalitokg">'Capacidade produtiva'!$F$9</definedName>
  </definedNames>
  <calcPr calcId="145621"/>
</workbook>
</file>

<file path=xl/calcChain.xml><?xml version="1.0" encoding="utf-8"?>
<calcChain xmlns="http://schemas.openxmlformats.org/spreadsheetml/2006/main">
  <c r="F152" i="14" l="1"/>
  <c r="F151" i="14"/>
  <c r="F150" i="14"/>
  <c r="D116" i="14"/>
  <c r="F126" i="14"/>
  <c r="F125" i="14"/>
  <c r="F124" i="14"/>
  <c r="F123" i="14"/>
  <c r="F122" i="14"/>
  <c r="F121" i="14"/>
  <c r="F68" i="14"/>
  <c r="F120" i="14"/>
  <c r="F119" i="14"/>
  <c r="F118" i="14"/>
  <c r="D11" i="11"/>
  <c r="F9" i="13"/>
  <c r="J8" i="13"/>
  <c r="G6" i="13"/>
  <c r="E13" i="11"/>
  <c r="F88" i="14" s="1"/>
  <c r="F81" i="14"/>
  <c r="F82" i="14"/>
  <c r="F90" i="14"/>
  <c r="F89" i="14"/>
  <c r="F87" i="14"/>
  <c r="D79" i="14"/>
  <c r="D97" i="14" s="1"/>
  <c r="F97" i="14" s="1"/>
  <c r="F74" i="14"/>
  <c r="F73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72" i="14"/>
  <c r="F71" i="14"/>
  <c r="F70" i="14"/>
  <c r="F63" i="14"/>
  <c r="F62" i="14"/>
  <c r="F61" i="14"/>
  <c r="F60" i="14"/>
  <c r="F5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9" i="14"/>
  <c r="F19" i="14"/>
  <c r="F21" i="14"/>
  <c r="F22" i="14"/>
  <c r="F23" i="14"/>
  <c r="F24" i="14"/>
  <c r="F25" i="14"/>
  <c r="F26" i="14"/>
  <c r="F27" i="14"/>
  <c r="F28" i="14"/>
  <c r="F29" i="14"/>
  <c r="F30" i="14"/>
  <c r="F31" i="14"/>
  <c r="F10" i="14"/>
  <c r="F11" i="14"/>
  <c r="F12" i="14"/>
  <c r="F9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10" i="14"/>
  <c r="E11" i="14"/>
  <c r="E12" i="14"/>
  <c r="E13" i="14"/>
  <c r="E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9" i="14"/>
  <c r="E8" i="11"/>
  <c r="F13" i="14" s="1"/>
  <c r="E11" i="11"/>
  <c r="F86" i="14" s="1"/>
  <c r="E9" i="11"/>
  <c r="D9" i="11" s="1"/>
  <c r="E14" i="14" s="1"/>
  <c r="F127" i="14" l="1"/>
  <c r="F65" i="14"/>
  <c r="F69" i="14"/>
  <c r="F67" i="14"/>
  <c r="F64" i="14"/>
  <c r="D96" i="14"/>
  <c r="F96" i="14" s="1"/>
  <c r="F98" i="14" s="1"/>
  <c r="F20" i="14"/>
  <c r="F15" i="14"/>
  <c r="F18" i="14"/>
  <c r="F16" i="14"/>
  <c r="F83" i="14"/>
  <c r="E18" i="14"/>
  <c r="F84" i="14"/>
  <c r="E15" i="14"/>
  <c r="F14" i="14"/>
  <c r="E16" i="14"/>
  <c r="E8" i="9" l="1"/>
  <c r="J3" i="13"/>
  <c r="E6" i="13" s="1"/>
  <c r="F6" i="13" s="1"/>
  <c r="D10" i="11" s="1"/>
  <c r="J1" i="13"/>
  <c r="E6" i="9"/>
  <c r="E10" i="11" l="1"/>
  <c r="F66" i="14" s="1"/>
  <c r="E17" i="14"/>
  <c r="E3" i="13"/>
  <c r="F3" i="13" s="1"/>
  <c r="C20" i="7"/>
  <c r="C18" i="7"/>
  <c r="B18" i="7"/>
  <c r="H8" i="7"/>
  <c r="G8" i="7"/>
  <c r="Q19" i="6"/>
  <c r="P19" i="6"/>
  <c r="O19" i="6"/>
  <c r="F85" i="14" l="1"/>
  <c r="F91" i="14" s="1"/>
  <c r="F17" i="14"/>
  <c r="F36" i="14" s="1"/>
  <c r="E32" i="11"/>
  <c r="F75" i="14"/>
  <c r="F111" i="14" s="1"/>
  <c r="B11" i="13"/>
  <c r="B14" i="13" s="1"/>
  <c r="L7" i="9"/>
  <c r="G3" i="13"/>
  <c r="H10" i="7"/>
  <c r="G10" i="7"/>
  <c r="H6" i="6"/>
  <c r="G6" i="6"/>
  <c r="E6" i="6"/>
  <c r="F136" i="14" l="1"/>
  <c r="F135" i="14"/>
  <c r="F134" i="14"/>
  <c r="F133" i="14"/>
  <c r="J5" i="13"/>
  <c r="I20" i="7"/>
  <c r="J6" i="13" l="1"/>
  <c r="L8" i="9"/>
  <c r="J9" i="13"/>
  <c r="J10" i="9"/>
  <c r="E26" i="6"/>
  <c r="E39" i="6" s="1"/>
  <c r="F6" i="9" l="1"/>
  <c r="K5" i="9"/>
  <c r="F8" i="9"/>
  <c r="E17" i="6"/>
  <c r="E36" i="6" s="1"/>
  <c r="E12" i="6"/>
  <c r="E32" i="6" s="1"/>
  <c r="G12" i="6"/>
  <c r="G32" i="6" s="1"/>
  <c r="F6" i="6"/>
  <c r="P8" i="6"/>
  <c r="E30" i="6" s="1"/>
  <c r="F22" i="9" l="1"/>
  <c r="B15" i="10" s="1"/>
  <c r="F12" i="6"/>
  <c r="F32" i="6" s="1"/>
  <c r="H34" i="6" s="1"/>
  <c r="K15" i="6" s="1"/>
  <c r="F17" i="6"/>
  <c r="F30" i="6"/>
  <c r="B14" i="10" l="1"/>
  <c r="J14" i="9"/>
  <c r="B13" i="10"/>
  <c r="C13" i="10" s="1"/>
  <c r="J12" i="9"/>
  <c r="K3" i="9"/>
  <c r="J15" i="6"/>
  <c r="G20" i="7" s="1"/>
  <c r="L15" i="6"/>
  <c r="K8" i="9" l="1"/>
  <c r="K7" i="9"/>
  <c r="B12" i="10"/>
  <c r="C3" i="10"/>
  <c r="C5" i="10"/>
  <c r="C4" i="10"/>
  <c r="C2" i="10"/>
</calcChain>
</file>

<file path=xl/comments1.xml><?xml version="1.0" encoding="utf-8"?>
<comments xmlns="http://schemas.openxmlformats.org/spreadsheetml/2006/main">
  <authors>
    <author>Walisson Sobral</author>
  </authors>
  <commentList>
    <comment ref="E1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Quantidade para fazer uma vela 
Considerei que 5g faz 30 velas</t>
        </r>
      </text>
    </comment>
  </commentList>
</comments>
</file>

<file path=xl/comments2.xml><?xml version="1.0" encoding="utf-8"?>
<comments xmlns="http://schemas.openxmlformats.org/spreadsheetml/2006/main">
  <authors>
    <author>Walisson Sobral</author>
  </authors>
  <commentList>
    <comment ref="B94" authorId="0">
      <text>
        <r>
          <rPr>
            <b/>
            <sz val="9"/>
            <color indexed="81"/>
            <rFont val="Tahoma"/>
            <family val="2"/>
          </rPr>
          <t>Walisson Sobral:</t>
        </r>
        <r>
          <rPr>
            <sz val="9"/>
            <color indexed="81"/>
            <rFont val="Tahoma"/>
            <family val="2"/>
          </rPr>
          <t xml:space="preserve">
considerando do faturamento: 42% - vela 7 dias  e 43,54% vela palito
</t>
        </r>
      </text>
    </comment>
  </commentList>
</comments>
</file>

<file path=xl/sharedStrings.xml><?xml version="1.0" encoding="utf-8"?>
<sst xmlns="http://schemas.openxmlformats.org/spreadsheetml/2006/main" count="513" uniqueCount="281">
  <si>
    <t>Despesas com Parafina</t>
  </si>
  <si>
    <t>Despesas materiais para escritório</t>
  </si>
  <si>
    <t>Manutenção Predial</t>
  </si>
  <si>
    <t>Despesas com barbantes</t>
  </si>
  <si>
    <t>Despesas com anilina</t>
  </si>
  <si>
    <t>Despesas com essência</t>
  </si>
  <si>
    <t>Despesas com transporte</t>
  </si>
  <si>
    <t>Despesas com Gás</t>
  </si>
  <si>
    <t>Folha de pagamento</t>
  </si>
  <si>
    <t>Despesas com produção</t>
  </si>
  <si>
    <t>Despesas manutenção de equipamentos</t>
  </si>
  <si>
    <t>Despesas com Softwares</t>
  </si>
  <si>
    <t>Despesas com marketing</t>
  </si>
  <si>
    <t>Administração</t>
  </si>
  <si>
    <t>Logistíca</t>
  </si>
  <si>
    <t>Gerência</t>
  </si>
  <si>
    <t>Suporte</t>
  </si>
  <si>
    <t>Produção</t>
  </si>
  <si>
    <t>Despesas bancárias Original</t>
  </si>
  <si>
    <t>Encargos Sociais</t>
  </si>
  <si>
    <t>Juros pagos (financiamentos)</t>
  </si>
  <si>
    <t>Material de Limpeza</t>
  </si>
  <si>
    <t>Despesas com cartão de crédito</t>
  </si>
  <si>
    <t>Impressoras</t>
  </si>
  <si>
    <t>Comissões</t>
  </si>
  <si>
    <t>Medicamentos</t>
  </si>
  <si>
    <t>Pró-labore</t>
  </si>
  <si>
    <t>Outros</t>
  </si>
  <si>
    <t>ICMS</t>
  </si>
  <si>
    <t>PIS</t>
  </si>
  <si>
    <t>COFINS</t>
  </si>
  <si>
    <t>IPI</t>
  </si>
  <si>
    <t>ISS</t>
  </si>
  <si>
    <t>Rateio</t>
  </si>
  <si>
    <t>Cod</t>
  </si>
  <si>
    <t>Sub Grupo</t>
  </si>
  <si>
    <t>Predial</t>
  </si>
  <si>
    <t>Embalagens</t>
  </si>
  <si>
    <t>Celulares</t>
  </si>
  <si>
    <t>Consultorias</t>
  </si>
  <si>
    <t>Assistência contábil</t>
  </si>
  <si>
    <t>Extintores e hidrantes</t>
  </si>
  <si>
    <t>Fretes e carretos</t>
  </si>
  <si>
    <t>Despesas com internet</t>
  </si>
  <si>
    <t>Despesas com telefonia</t>
  </si>
  <si>
    <t>Veículos administração</t>
  </si>
  <si>
    <t>Refeições</t>
  </si>
  <si>
    <t>Cursos e treinamentos externos</t>
  </si>
  <si>
    <t>Cursos e treinamentos internos</t>
  </si>
  <si>
    <t>Despachantes</t>
  </si>
  <si>
    <t>Seguro de imóveis</t>
  </si>
  <si>
    <t>Seguro de automóveis</t>
  </si>
  <si>
    <t>Viagens e estadias</t>
  </si>
  <si>
    <t>Uniformes</t>
  </si>
  <si>
    <t>Distribuição de Lucros</t>
  </si>
  <si>
    <t>Recrutamento e seleção</t>
  </si>
  <si>
    <t>Por setor/consumo</t>
  </si>
  <si>
    <t>Eletropaulo</t>
  </si>
  <si>
    <t>Sabesp</t>
  </si>
  <si>
    <t>Por n° de colaboradores</t>
  </si>
  <si>
    <t>Administração multas</t>
  </si>
  <si>
    <t>Despesas com ferramentas</t>
  </si>
  <si>
    <t xml:space="preserve">IPTU </t>
  </si>
  <si>
    <t>Mobiliário</t>
  </si>
  <si>
    <t>Serviço de motoboy</t>
  </si>
  <si>
    <t>DA</t>
  </si>
  <si>
    <t>Advogados</t>
  </si>
  <si>
    <t>Por nº colaboradores</t>
  </si>
  <si>
    <t>DF</t>
  </si>
  <si>
    <t>-</t>
  </si>
  <si>
    <t>Centro de custo destino</t>
  </si>
  <si>
    <t>CD</t>
  </si>
  <si>
    <t>centro de custo logística</t>
  </si>
  <si>
    <t>Classificação</t>
  </si>
  <si>
    <t>Informações para constar no banco de dados :</t>
  </si>
  <si>
    <t>Nome/dados pessoais</t>
  </si>
  <si>
    <t>Endereço</t>
  </si>
  <si>
    <t>Data da 1ª compra</t>
  </si>
  <si>
    <t>Seqüência de todas as compras</t>
  </si>
  <si>
    <t>Data e resultado do contato</t>
  </si>
  <si>
    <t>Quantidades compradas</t>
  </si>
  <si>
    <t>Valor</t>
  </si>
  <si>
    <t>Previsão da próxima compra</t>
  </si>
  <si>
    <t>Itens devolvidos</t>
  </si>
  <si>
    <t>Forma de pagamento</t>
  </si>
  <si>
    <t>Mídia em que o cliente encontrou a empresa</t>
  </si>
  <si>
    <t>Sugestões</t>
  </si>
  <si>
    <t>Capacidade de produção diária</t>
  </si>
  <si>
    <t>7 dias</t>
  </si>
  <si>
    <t>Palito</t>
  </si>
  <si>
    <t>Tarugos</t>
  </si>
  <si>
    <t>Máquina</t>
  </si>
  <si>
    <t>Palito s/ tarugo</t>
  </si>
  <si>
    <t>Quantidade de parafina utilizada / dia</t>
  </si>
  <si>
    <t>Em kg</t>
  </si>
  <si>
    <t>Luz</t>
  </si>
  <si>
    <t>Água</t>
  </si>
  <si>
    <t>Telefone + internet</t>
  </si>
  <si>
    <t>Junho</t>
  </si>
  <si>
    <t>dias</t>
  </si>
  <si>
    <t>horas</t>
  </si>
  <si>
    <t>Capacidade produção Mensal / em média</t>
  </si>
  <si>
    <t>Quantidade de anilina utilizada / dia</t>
  </si>
  <si>
    <t>Quantidade de barbante utilizada / dia</t>
  </si>
  <si>
    <t>Quantidade de essência utilizada / dia</t>
  </si>
  <si>
    <t>Quantidade de pavio utilizada / dia</t>
  </si>
  <si>
    <t xml:space="preserve">7 dias </t>
  </si>
  <si>
    <t>Quantidade de parafina utilizada / mês</t>
  </si>
  <si>
    <t>Quantidade de anilina utilizada / mês</t>
  </si>
  <si>
    <t>Quantidade de pavio utilizada / mês</t>
  </si>
  <si>
    <t>Software</t>
  </si>
  <si>
    <t>CF</t>
  </si>
  <si>
    <t>Salário</t>
  </si>
  <si>
    <t>Parafina</t>
  </si>
  <si>
    <t>Anilina</t>
  </si>
  <si>
    <t>Barbante</t>
  </si>
  <si>
    <t>Pavio</t>
  </si>
  <si>
    <t>Essência</t>
  </si>
  <si>
    <t>kg</t>
  </si>
  <si>
    <t>Quantidade produção - 1° mês</t>
  </si>
  <si>
    <t>palito</t>
  </si>
  <si>
    <t>tarugos</t>
  </si>
  <si>
    <t>Soma</t>
  </si>
  <si>
    <t>Retorno das Vendas</t>
  </si>
  <si>
    <t>Palito (kg)</t>
  </si>
  <si>
    <t>soma</t>
  </si>
  <si>
    <t>1 KG &gt;&gt;&gt; 30 VELAS</t>
  </si>
  <si>
    <t>kg de palito</t>
  </si>
  <si>
    <t>Fluxo de Caixa</t>
  </si>
  <si>
    <t>Unidade</t>
  </si>
  <si>
    <t>Fluxo de Caixa para capacidade de produção</t>
  </si>
  <si>
    <t>Ponto de Equilíbrio</t>
  </si>
  <si>
    <t>minutos trabalhados / dia</t>
  </si>
  <si>
    <t>horas / colaborador - mês</t>
  </si>
  <si>
    <t>Capacidade de produção mensal - qtd</t>
  </si>
  <si>
    <t>velas 7 dias</t>
  </si>
  <si>
    <t>kilos de velas palito</t>
  </si>
  <si>
    <t>Ponto de Equilíbrio - capacidade de produção</t>
  </si>
  <si>
    <t>kilos de vela palito</t>
  </si>
  <si>
    <t>DAS</t>
  </si>
  <si>
    <t>Certificado digital</t>
  </si>
  <si>
    <t>Maquinário 7 dias</t>
  </si>
  <si>
    <t>Maquinário Velas palito</t>
  </si>
  <si>
    <t>Embaladora</t>
  </si>
  <si>
    <t>Caixa d'água 2</t>
  </si>
  <si>
    <t>Carro</t>
  </si>
  <si>
    <t>Alvara</t>
  </si>
  <si>
    <t>CLCB</t>
  </si>
  <si>
    <t>Acessórios</t>
  </si>
  <si>
    <t>2° análise</t>
  </si>
  <si>
    <t>Quantidade de produção dia</t>
  </si>
  <si>
    <t>Quantidade de produção mês</t>
  </si>
  <si>
    <t>Aluguel</t>
  </si>
  <si>
    <t>Combustível</t>
  </si>
  <si>
    <t>Capital de giro</t>
  </si>
  <si>
    <t>Marketing</t>
  </si>
  <si>
    <t>Zona Leste</t>
  </si>
  <si>
    <t>Zona Sul</t>
  </si>
  <si>
    <t>Zona Norte</t>
  </si>
  <si>
    <t>Zona Oeste</t>
  </si>
  <si>
    <t>R$</t>
  </si>
  <si>
    <t>Pedido mínimo / região</t>
  </si>
  <si>
    <t>Pedido mínimo quantidade</t>
  </si>
  <si>
    <t>Formas de pagamento</t>
  </si>
  <si>
    <t>Débito</t>
  </si>
  <si>
    <t>Crédito</t>
  </si>
  <si>
    <t>Boleto bancário</t>
  </si>
  <si>
    <t>Mínimo para pedidos no boleto bancário</t>
  </si>
  <si>
    <t>15DDL</t>
  </si>
  <si>
    <t>Cálculo custo de produção</t>
  </si>
  <si>
    <t>unidade</t>
  </si>
  <si>
    <t>Valor/kg</t>
  </si>
  <si>
    <t>Critério</t>
  </si>
  <si>
    <t>1g / kg de parafina</t>
  </si>
  <si>
    <t>essência</t>
  </si>
  <si>
    <t>tonelada</t>
  </si>
  <si>
    <t>barbante</t>
  </si>
  <si>
    <t>Custos</t>
  </si>
  <si>
    <t>luz maquinário</t>
  </si>
  <si>
    <t>água maquinário</t>
  </si>
  <si>
    <t>software</t>
  </si>
  <si>
    <t>contabilidade</t>
  </si>
  <si>
    <t>gás</t>
  </si>
  <si>
    <t>pavio</t>
  </si>
  <si>
    <t>transporte</t>
  </si>
  <si>
    <t>impostos</t>
  </si>
  <si>
    <t>telefone + internet</t>
  </si>
  <si>
    <t>manutenção do site</t>
  </si>
  <si>
    <t>Valor mês</t>
  </si>
  <si>
    <t>quantos kg produzem no mês &gt;&gt;</t>
  </si>
  <si>
    <t>qtd</t>
  </si>
  <si>
    <t>grama</t>
  </si>
  <si>
    <t>Máquina 7 dias</t>
  </si>
  <si>
    <t>Capacidade</t>
  </si>
  <si>
    <t>Tempo (min)</t>
  </si>
  <si>
    <t>Máquina palito</t>
  </si>
  <si>
    <t>Quantidade (g) / vela</t>
  </si>
  <si>
    <t>Quantidade de parafina investida (kg)</t>
  </si>
  <si>
    <t>Produção diária</t>
  </si>
  <si>
    <t>Horas trabalhadas/dia</t>
  </si>
  <si>
    <t>minutos trabalhados/dia</t>
  </si>
  <si>
    <t>Parafina necessária</t>
  </si>
  <si>
    <t>Custo parafina necessária</t>
  </si>
  <si>
    <t>Produção mensal qtd</t>
  </si>
  <si>
    <t>Quantidade parafina necessária (kg)</t>
  </si>
  <si>
    <t>Faturamento mensal</t>
  </si>
  <si>
    <t>Vela 7 dias</t>
  </si>
  <si>
    <t>Vela palito</t>
  </si>
  <si>
    <t>Lucro</t>
  </si>
  <si>
    <t>Empresa</t>
  </si>
  <si>
    <t>Responsável</t>
  </si>
  <si>
    <t>percentual</t>
  </si>
  <si>
    <t>Carol</t>
  </si>
  <si>
    <t>Mara e mãe</t>
  </si>
  <si>
    <t>Walisson</t>
  </si>
  <si>
    <t>Retorno sobre o investimento</t>
  </si>
  <si>
    <t>ROI</t>
  </si>
  <si>
    <t>Gastos com pessoal</t>
  </si>
  <si>
    <t>&gt;&gt;&gt; significa que a cada R$1,00, obtivemos 0,54 de retorno</t>
  </si>
  <si>
    <t>Margem de contribuição - vela 7 dias</t>
  </si>
  <si>
    <t>Custo total = gastototal / qtd produzida (kg)</t>
  </si>
  <si>
    <t>Margem de contribuição - velas palito</t>
  </si>
  <si>
    <t>Custo parafina 7 dias</t>
  </si>
  <si>
    <t>Custo parafina velas palito</t>
  </si>
  <si>
    <t>&lt;&lt;&lt; custo da parafina para cálculo da margem de contribuição</t>
  </si>
  <si>
    <t>Receita líquida</t>
  </si>
  <si>
    <t>parei aqui</t>
  </si>
  <si>
    <t>PRI em meses</t>
  </si>
  <si>
    <t/>
  </si>
  <si>
    <t>VIABILIDADE DE NEGÓCIO</t>
  </si>
  <si>
    <t>Investimentos iniciais</t>
  </si>
  <si>
    <t>Descrição</t>
  </si>
  <si>
    <t>un</t>
  </si>
  <si>
    <t>Despesas Operacionais</t>
  </si>
  <si>
    <t>Previsão de faturamento / capacidade produtiva</t>
  </si>
  <si>
    <t>método</t>
  </si>
  <si>
    <t>mensal</t>
  </si>
  <si>
    <t>implantação</t>
  </si>
  <si>
    <t>ton</t>
  </si>
  <si>
    <t>descrição</t>
  </si>
  <si>
    <t>valor</t>
  </si>
  <si>
    <t>potes</t>
  </si>
  <si>
    <t>neste caso, é necessário comprar 1 kg de cada cor, ou variado</t>
  </si>
  <si>
    <t>neste caso, precisamos pedir no mínimo 25kg</t>
  </si>
  <si>
    <t xml:space="preserve"> da pra fazer a quantidade por rolo</t>
  </si>
  <si>
    <t>único</t>
  </si>
  <si>
    <t>Celofane</t>
  </si>
  <si>
    <t>Quanto usa por vela ????</t>
  </si>
  <si>
    <t>POPP</t>
  </si>
  <si>
    <t>Embalagem para maços</t>
  </si>
  <si>
    <t>Sub-total</t>
  </si>
  <si>
    <t>Derretedor de Parafina</t>
  </si>
  <si>
    <t>Domínio do site</t>
  </si>
  <si>
    <t>Contabilidade</t>
  </si>
  <si>
    <t>Despesas financeiras</t>
  </si>
  <si>
    <t>Software mensal</t>
  </si>
  <si>
    <t>Considerando quantas ton de parafina ?</t>
  </si>
  <si>
    <t>qtd mensal</t>
  </si>
  <si>
    <t>qtd mensal (kg)</t>
  </si>
  <si>
    <t>Custos Diretos (Produtivos)</t>
  </si>
  <si>
    <t>Velas palito</t>
  </si>
  <si>
    <t>Valor s IR</t>
  </si>
  <si>
    <t>Valor c IR</t>
  </si>
  <si>
    <t>Lucro líquico sob o faturamento</t>
  </si>
  <si>
    <t>Dora e Mara</t>
  </si>
  <si>
    <t>%</t>
  </si>
  <si>
    <t>Custos indiretos (fixos)</t>
  </si>
  <si>
    <t>Dora</t>
  </si>
  <si>
    <t>Mara</t>
  </si>
  <si>
    <t>Cargo</t>
  </si>
  <si>
    <t>Diretor executivo</t>
  </si>
  <si>
    <t>Diretor comercial</t>
  </si>
  <si>
    <t>Diretor adm.</t>
  </si>
  <si>
    <t>&gt;&gt;&gt; Fazer o custo individual dos produtos</t>
  </si>
  <si>
    <t>&gt;&gt; Qual é mais lucrativo ?</t>
  </si>
  <si>
    <t>Capital de Giro</t>
  </si>
  <si>
    <t>Valor total</t>
  </si>
  <si>
    <t>Valor de giro</t>
  </si>
  <si>
    <t>Capital de giro ideal</t>
  </si>
  <si>
    <t>Capital de giro necessário</t>
  </si>
  <si>
    <t>Suspiro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</si>
</sst>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R$&quot;#,##0.00;[Red]\-&quot;R$&quot;#,##0.00"/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* #,##0_-;\-* #,##0_-;_-* &quot;-&quot;??_-;_-@_-"/>
    <numFmt numFmtId="173" formatCode="_-&quot;R$&quot;* #,##0_-;\-&quot;R$&quot;* #,##0_-;_-&quot;R$&quot;* &quot;-&quot;??_-;_-@_-"/>
  </numFmts>
  <fonts count="7">
    <font>
      <sz val="11"/>
      <color theme="1"/>
      <name val="Arial unicode"/>
      <family val="2"/>
    </font>
    <font>
      <sz val="11"/>
      <color theme="1"/>
      <name val="Arial unicod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rial unicode"/>
    </font>
    <font>
      <sz val="11"/>
      <color theme="1"/>
      <name val="Bahnschrift Light"/>
      <family val="2"/>
    </font>
    <font>
      <sz val="11"/>
      <color theme="0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/>
    <xf numFmtId="164" fontId="0" fillId="0" borderId="0" xfId="1" applyNumberFormat="1" applyFont="1"/>
    <xf numFmtId="164" fontId="0" fillId="0" borderId="0" xfId="1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4" fontId="0" fillId="0" borderId="0" xfId="2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8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9" fontId="0" fillId="0" borderId="0" xfId="3" applyFont="1" applyAlignment="1">
      <alignment horizontal="center"/>
    </xf>
    <xf numFmtId="44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3" applyNumberFormat="1" applyFo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wrapText="1"/>
    </xf>
    <xf numFmtId="4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4" fontId="5" fillId="0" borderId="0" xfId="2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44" fontId="6" fillId="2" borderId="0" xfId="2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4" fontId="5" fillId="0" borderId="2" xfId="2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/>
    <xf numFmtId="173" fontId="0" fillId="0" borderId="0" xfId="2" applyNumberFormat="1" applyFont="1"/>
    <xf numFmtId="44" fontId="0" fillId="0" borderId="0" xfId="2" applyNumberFormat="1" applyFont="1"/>
    <xf numFmtId="1" fontId="5" fillId="0" borderId="2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4" fontId="5" fillId="0" borderId="0" xfId="2" applyFont="1" applyBorder="1" applyAlignment="1">
      <alignment horizontal="center" vertical="center"/>
    </xf>
    <xf numFmtId="9" fontId="5" fillId="0" borderId="2" xfId="3" applyFont="1" applyBorder="1" applyAlignment="1">
      <alignment horizontal="center" vertical="center"/>
    </xf>
    <xf numFmtId="9" fontId="5" fillId="0" borderId="0" xfId="3" applyFont="1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4.25"/>
  <cols>
    <col min="1" max="1" width="9.625" style="1" customWidth="1"/>
    <col min="2" max="2" width="38.125" style="1" customWidth="1"/>
    <col min="3" max="3" width="11.875" style="1" bestFit="1" customWidth="1"/>
    <col min="4" max="4" width="20.875" style="1" bestFit="1" customWidth="1"/>
    <col min="5" max="9" width="17.125" style="1" customWidth="1"/>
    <col min="10" max="16384" width="9" style="1"/>
  </cols>
  <sheetData>
    <row r="1" spans="1:9"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>
      <c r="E2" s="1">
        <v>100000</v>
      </c>
      <c r="F2" s="1">
        <v>200000</v>
      </c>
      <c r="G2" s="1">
        <v>300000</v>
      </c>
      <c r="H2" s="1">
        <v>400000</v>
      </c>
      <c r="I2" s="1">
        <v>500000</v>
      </c>
    </row>
    <row r="3" spans="1:9">
      <c r="A3" s="1" t="s">
        <v>34</v>
      </c>
      <c r="B3" s="1" t="s">
        <v>35</v>
      </c>
      <c r="C3" s="1" t="s">
        <v>73</v>
      </c>
      <c r="D3" s="1" t="s">
        <v>33</v>
      </c>
    </row>
    <row r="4" spans="1:9">
      <c r="A4" s="1">
        <v>1</v>
      </c>
      <c r="B4" s="1" t="s">
        <v>0</v>
      </c>
    </row>
    <row r="5" spans="1:9">
      <c r="A5" s="1">
        <v>4</v>
      </c>
      <c r="B5" s="1" t="s">
        <v>1</v>
      </c>
    </row>
    <row r="6" spans="1:9">
      <c r="A6" s="1">
        <v>5</v>
      </c>
      <c r="B6" s="1" t="s">
        <v>2</v>
      </c>
      <c r="D6" s="1" t="s">
        <v>67</v>
      </c>
    </row>
    <row r="7" spans="1:9">
      <c r="A7" s="1">
        <v>6</v>
      </c>
      <c r="B7" s="1" t="s">
        <v>3</v>
      </c>
    </row>
    <row r="8" spans="1:9">
      <c r="A8" s="1">
        <v>7</v>
      </c>
      <c r="B8" s="1" t="s">
        <v>4</v>
      </c>
    </row>
    <row r="9" spans="1:9">
      <c r="A9" s="1">
        <v>8</v>
      </c>
      <c r="B9" s="1" t="s">
        <v>5</v>
      </c>
    </row>
    <row r="10" spans="1:9">
      <c r="A10" s="1">
        <v>9</v>
      </c>
      <c r="B10" s="1" t="s">
        <v>6</v>
      </c>
    </row>
    <row r="11" spans="1:9">
      <c r="A11" s="1">
        <v>10</v>
      </c>
      <c r="B11" s="1" t="s">
        <v>43</v>
      </c>
    </row>
    <row r="12" spans="1:9">
      <c r="A12" s="1">
        <v>11</v>
      </c>
      <c r="B12" s="1" t="s">
        <v>44</v>
      </c>
    </row>
    <row r="13" spans="1:9">
      <c r="A13" s="1">
        <v>12</v>
      </c>
      <c r="B13" s="1" t="s">
        <v>7</v>
      </c>
    </row>
    <row r="14" spans="1:9">
      <c r="A14" s="1">
        <v>13</v>
      </c>
      <c r="B14" s="1" t="s">
        <v>8</v>
      </c>
    </row>
    <row r="15" spans="1:9">
      <c r="A15" s="1">
        <v>14</v>
      </c>
      <c r="B15" s="1" t="s">
        <v>9</v>
      </c>
    </row>
    <row r="16" spans="1:9">
      <c r="A16" s="1">
        <v>15</v>
      </c>
      <c r="B16" s="1" t="s">
        <v>10</v>
      </c>
    </row>
    <row r="17" spans="1:4">
      <c r="A17" s="1">
        <v>16</v>
      </c>
      <c r="B17" s="1" t="s">
        <v>11</v>
      </c>
      <c r="D17" s="1" t="s">
        <v>65</v>
      </c>
    </row>
    <row r="18" spans="1:4">
      <c r="A18" s="1">
        <v>17</v>
      </c>
      <c r="B18" s="1" t="s">
        <v>12</v>
      </c>
      <c r="D18" s="1" t="s">
        <v>65</v>
      </c>
    </row>
    <row r="19" spans="1:4">
      <c r="A19" s="1">
        <v>18</v>
      </c>
      <c r="B19" s="1" t="s">
        <v>18</v>
      </c>
      <c r="D19" s="1" t="s">
        <v>68</v>
      </c>
    </row>
    <row r="20" spans="1:4">
      <c r="A20" s="1">
        <v>19</v>
      </c>
      <c r="B20" s="1" t="s">
        <v>19</v>
      </c>
    </row>
    <row r="21" spans="1:4">
      <c r="A21" s="1">
        <v>20</v>
      </c>
      <c r="B21" s="1" t="s">
        <v>20</v>
      </c>
      <c r="D21" s="1" t="s">
        <v>68</v>
      </c>
    </row>
    <row r="22" spans="1:4">
      <c r="A22" s="1">
        <v>21</v>
      </c>
      <c r="B22" s="1" t="s">
        <v>21</v>
      </c>
      <c r="D22" s="1" t="s">
        <v>67</v>
      </c>
    </row>
    <row r="23" spans="1:4">
      <c r="A23" s="1">
        <v>22</v>
      </c>
      <c r="B23" s="1" t="s">
        <v>22</v>
      </c>
      <c r="D23" s="1" t="s">
        <v>65</v>
      </c>
    </row>
    <row r="24" spans="1:4">
      <c r="A24" s="1">
        <v>23</v>
      </c>
      <c r="B24" s="1" t="s">
        <v>23</v>
      </c>
      <c r="D24" s="1" t="s">
        <v>65</v>
      </c>
    </row>
    <row r="25" spans="1:4">
      <c r="A25" s="1">
        <v>24</v>
      </c>
      <c r="B25" s="1" t="s">
        <v>24</v>
      </c>
      <c r="D25" s="1" t="s">
        <v>69</v>
      </c>
    </row>
    <row r="26" spans="1:4">
      <c r="A26" s="1">
        <v>25</v>
      </c>
      <c r="B26" s="1" t="s">
        <v>25</v>
      </c>
      <c r="D26" s="1" t="s">
        <v>69</v>
      </c>
    </row>
    <row r="27" spans="1:4">
      <c r="A27" s="1">
        <v>26</v>
      </c>
      <c r="B27" s="1" t="s">
        <v>26</v>
      </c>
    </row>
    <row r="28" spans="1:4">
      <c r="A28" s="1">
        <v>27</v>
      </c>
      <c r="B28" s="1" t="s">
        <v>27</v>
      </c>
      <c r="D28" s="1" t="s">
        <v>69</v>
      </c>
    </row>
    <row r="29" spans="1:4">
      <c r="A29" s="1">
        <v>28</v>
      </c>
      <c r="B29" s="1" t="s">
        <v>28</v>
      </c>
      <c r="D29" s="1" t="s">
        <v>69</v>
      </c>
    </row>
    <row r="30" spans="1:4">
      <c r="A30" s="1">
        <v>29</v>
      </c>
      <c r="B30" s="1" t="s">
        <v>29</v>
      </c>
      <c r="D30" s="1" t="s">
        <v>69</v>
      </c>
    </row>
    <row r="31" spans="1:4">
      <c r="A31" s="1">
        <v>30</v>
      </c>
      <c r="B31" s="1" t="s">
        <v>30</v>
      </c>
      <c r="D31" s="1" t="s">
        <v>69</v>
      </c>
    </row>
    <row r="32" spans="1:4">
      <c r="A32" s="1">
        <v>31</v>
      </c>
      <c r="B32" s="1" t="s">
        <v>31</v>
      </c>
      <c r="D32" s="1" t="s">
        <v>69</v>
      </c>
    </row>
    <row r="33" spans="1:4">
      <c r="A33" s="1">
        <v>32</v>
      </c>
      <c r="B33" s="1" t="s">
        <v>32</v>
      </c>
      <c r="D33" s="1" t="s">
        <v>65</v>
      </c>
    </row>
    <row r="34" spans="1:4">
      <c r="A34" s="1">
        <v>33</v>
      </c>
      <c r="B34" s="1" t="s">
        <v>36</v>
      </c>
      <c r="D34" s="1" t="s">
        <v>70</v>
      </c>
    </row>
    <row r="35" spans="1:4">
      <c r="A35" s="1">
        <v>34</v>
      </c>
      <c r="B35" s="1" t="s">
        <v>37</v>
      </c>
      <c r="D35" s="1" t="s">
        <v>71</v>
      </c>
    </row>
    <row r="36" spans="1:4">
      <c r="A36" s="1">
        <v>35</v>
      </c>
      <c r="B36" s="1" t="s">
        <v>38</v>
      </c>
      <c r="D36" s="1" t="s">
        <v>65</v>
      </c>
    </row>
    <row r="37" spans="1:4">
      <c r="A37" s="1">
        <v>36</v>
      </c>
      <c r="B37" s="1" t="s">
        <v>39</v>
      </c>
      <c r="D37" s="1" t="s">
        <v>65</v>
      </c>
    </row>
    <row r="38" spans="1:4">
      <c r="A38" s="1">
        <v>37</v>
      </c>
      <c r="B38" s="1" t="s">
        <v>40</v>
      </c>
      <c r="D38" s="1" t="s">
        <v>65</v>
      </c>
    </row>
    <row r="39" spans="1:4">
      <c r="A39" s="1">
        <v>38</v>
      </c>
      <c r="B39" s="1" t="s">
        <v>41</v>
      </c>
      <c r="D39" s="1" t="s">
        <v>69</v>
      </c>
    </row>
    <row r="40" spans="1:4">
      <c r="A40" s="1">
        <v>39</v>
      </c>
      <c r="B40" s="1" t="s">
        <v>42</v>
      </c>
      <c r="D40" s="1" t="s">
        <v>72</v>
      </c>
    </row>
    <row r="41" spans="1:4">
      <c r="A41" s="1">
        <v>40</v>
      </c>
      <c r="B41" s="1" t="s">
        <v>45</v>
      </c>
    </row>
    <row r="42" spans="1:4">
      <c r="A42" s="1">
        <v>41</v>
      </c>
      <c r="B42" s="1" t="s">
        <v>46</v>
      </c>
      <c r="D42" s="1" t="s">
        <v>67</v>
      </c>
    </row>
    <row r="43" spans="1:4">
      <c r="A43" s="1">
        <v>42</v>
      </c>
      <c r="B43" s="1" t="s">
        <v>47</v>
      </c>
      <c r="D43" s="1" t="s">
        <v>65</v>
      </c>
    </row>
    <row r="44" spans="1:4">
      <c r="A44" s="1">
        <v>43</v>
      </c>
      <c r="B44" s="1" t="s">
        <v>48</v>
      </c>
      <c r="D44" s="1" t="s">
        <v>65</v>
      </c>
    </row>
    <row r="45" spans="1:4">
      <c r="A45" s="1">
        <v>44</v>
      </c>
      <c r="B45" s="1" t="s">
        <v>49</v>
      </c>
      <c r="D45" s="1" t="s">
        <v>65</v>
      </c>
    </row>
    <row r="46" spans="1:4">
      <c r="A46" s="1">
        <v>45</v>
      </c>
      <c r="B46" s="1" t="s">
        <v>50</v>
      </c>
    </row>
    <row r="47" spans="1:4">
      <c r="A47" s="1">
        <v>46</v>
      </c>
      <c r="B47" s="1" t="s">
        <v>51</v>
      </c>
    </row>
    <row r="48" spans="1:4">
      <c r="A48" s="1">
        <v>47</v>
      </c>
      <c r="B48" s="1" t="s">
        <v>52</v>
      </c>
    </row>
    <row r="49" spans="1:4">
      <c r="A49" s="1">
        <v>48</v>
      </c>
      <c r="B49" s="1" t="s">
        <v>53</v>
      </c>
      <c r="D49" s="1" t="s">
        <v>67</v>
      </c>
    </row>
    <row r="50" spans="1:4">
      <c r="A50" s="1">
        <v>49</v>
      </c>
      <c r="B50" s="1" t="s">
        <v>54</v>
      </c>
      <c r="D50" s="1" t="s">
        <v>69</v>
      </c>
    </row>
    <row r="51" spans="1:4">
      <c r="A51" s="1">
        <v>50</v>
      </c>
      <c r="B51" s="1" t="s">
        <v>55</v>
      </c>
    </row>
    <row r="52" spans="1:4">
      <c r="A52" s="1">
        <v>51</v>
      </c>
      <c r="B52" s="1" t="s">
        <v>57</v>
      </c>
      <c r="D52" s="1" t="s">
        <v>56</v>
      </c>
    </row>
    <row r="53" spans="1:4">
      <c r="A53" s="1">
        <v>52</v>
      </c>
      <c r="B53" s="1" t="s">
        <v>58</v>
      </c>
      <c r="D53" s="1" t="s">
        <v>59</v>
      </c>
    </row>
    <row r="54" spans="1:4">
      <c r="A54" s="1">
        <v>53</v>
      </c>
      <c r="B54" s="1" t="s">
        <v>60</v>
      </c>
    </row>
    <row r="55" spans="1:4">
      <c r="A55" s="1">
        <v>54</v>
      </c>
      <c r="B55" s="1" t="s">
        <v>61</v>
      </c>
    </row>
    <row r="56" spans="1:4">
      <c r="A56" s="1">
        <v>55</v>
      </c>
      <c r="B56" s="1" t="s">
        <v>62</v>
      </c>
      <c r="D56" s="1" t="s">
        <v>65</v>
      </c>
    </row>
    <row r="57" spans="1:4">
      <c r="A57" s="1">
        <v>56</v>
      </c>
      <c r="B57" s="1" t="s">
        <v>63</v>
      </c>
      <c r="D57" s="1" t="s">
        <v>65</v>
      </c>
    </row>
    <row r="58" spans="1:4">
      <c r="A58" s="1">
        <v>57</v>
      </c>
      <c r="B58" s="1" t="s">
        <v>64</v>
      </c>
      <c r="D58" s="1" t="s">
        <v>65</v>
      </c>
    </row>
    <row r="59" spans="1:4">
      <c r="A59" s="1">
        <v>58</v>
      </c>
      <c r="B59" s="1" t="s">
        <v>66</v>
      </c>
      <c r="D59" s="1" t="s">
        <v>65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3" sqref="G3:G4"/>
    </sheetView>
  </sheetViews>
  <sheetFormatPr defaultRowHeight="14.25"/>
  <cols>
    <col min="1" max="1" width="9" style="16"/>
    <col min="2" max="2" width="13.125" style="16" bestFit="1" customWidth="1"/>
    <col min="3" max="3" width="9" style="16"/>
    <col min="4" max="4" width="18" style="16" bestFit="1" customWidth="1"/>
    <col min="5" max="6" width="18" style="16" customWidth="1"/>
    <col min="7" max="7" width="18" customWidth="1"/>
    <col min="9" max="9" width="31.625" bestFit="1" customWidth="1"/>
    <col min="10" max="10" width="13.625" bestFit="1" customWidth="1"/>
  </cols>
  <sheetData>
    <row r="1" spans="1:10">
      <c r="B1" s="16" t="s">
        <v>192</v>
      </c>
      <c r="D1" s="16" t="s">
        <v>196</v>
      </c>
      <c r="E1" s="16" t="s">
        <v>198</v>
      </c>
      <c r="F1" s="16" t="s">
        <v>203</v>
      </c>
      <c r="G1" s="16" t="s">
        <v>201</v>
      </c>
      <c r="I1" t="s">
        <v>197</v>
      </c>
      <c r="J1" s="7">
        <f>(30000/6.5)</f>
        <v>4615.3846153846152</v>
      </c>
    </row>
    <row r="2" spans="1:10">
      <c r="I2" t="s">
        <v>199</v>
      </c>
      <c r="J2">
        <v>7</v>
      </c>
    </row>
    <row r="3" spans="1:10">
      <c r="A3" s="31" t="s">
        <v>88</v>
      </c>
      <c r="B3" s="16" t="s">
        <v>193</v>
      </c>
      <c r="C3" s="16">
        <v>240</v>
      </c>
      <c r="D3" s="31">
        <v>260</v>
      </c>
      <c r="E3" s="35">
        <f>($J$3/C4)*C3</f>
        <v>5039.3999999999996</v>
      </c>
      <c r="F3" s="35">
        <f>E3*22</f>
        <v>110866.79999999999</v>
      </c>
      <c r="G3" s="36">
        <f>(F3*D3)/1000</f>
        <v>28825.367999999995</v>
      </c>
      <c r="I3" t="s">
        <v>200</v>
      </c>
      <c r="J3" s="5">
        <f>(J2*60)-5%</f>
        <v>419.95</v>
      </c>
    </row>
    <row r="4" spans="1:10">
      <c r="A4" s="31"/>
      <c r="B4" s="16" t="s">
        <v>194</v>
      </c>
      <c r="C4" s="16">
        <v>20</v>
      </c>
      <c r="D4" s="31"/>
      <c r="E4" s="35"/>
      <c r="F4" s="35"/>
      <c r="G4" s="36"/>
    </row>
    <row r="5" spans="1:10">
      <c r="I5" t="s">
        <v>202</v>
      </c>
      <c r="J5" s="14">
        <f>(G3+G6+B14)*6</f>
        <v>276723.53279999999</v>
      </c>
    </row>
    <row r="6" spans="1:10">
      <c r="A6" s="31" t="s">
        <v>120</v>
      </c>
      <c r="B6" s="16" t="s">
        <v>195</v>
      </c>
      <c r="C6" s="16">
        <v>396</v>
      </c>
      <c r="D6" s="31">
        <v>30</v>
      </c>
      <c r="E6" s="35">
        <f>($J$3/C7)*C6</f>
        <v>11086.68</v>
      </c>
      <c r="F6" s="35">
        <f>E6*22</f>
        <v>243906.96000000002</v>
      </c>
      <c r="G6" s="36">
        <f>((F6*D6)/1000)</f>
        <v>7317.2088000000003</v>
      </c>
      <c r="I6" t="s">
        <v>204</v>
      </c>
      <c r="J6" s="7">
        <f>(G3+G6+B14)</f>
        <v>46120.588799999998</v>
      </c>
    </row>
    <row r="7" spans="1:10">
      <c r="A7" s="31"/>
      <c r="B7" s="16" t="s">
        <v>194</v>
      </c>
      <c r="C7" s="16">
        <v>15</v>
      </c>
      <c r="D7" s="31"/>
      <c r="E7" s="35"/>
      <c r="F7" s="35"/>
      <c r="G7" s="36"/>
    </row>
    <row r="8" spans="1:10">
      <c r="I8" t="s">
        <v>222</v>
      </c>
      <c r="J8" s="14">
        <f>6*G3</f>
        <v>172952.20799999998</v>
      </c>
    </row>
    <row r="9" spans="1:10">
      <c r="E9" s="16" t="s">
        <v>94</v>
      </c>
      <c r="F9" s="20">
        <f>(F6*0.03)</f>
        <v>7317.2088000000003</v>
      </c>
      <c r="G9" s="20"/>
      <c r="I9" t="s">
        <v>223</v>
      </c>
      <c r="J9" s="14">
        <f>6.5*qtdpalitokg</f>
        <v>47561.857199999999</v>
      </c>
    </row>
    <row r="10" spans="1:10">
      <c r="B10" s="16" t="s">
        <v>257</v>
      </c>
    </row>
    <row r="11" spans="1:10">
      <c r="A11" s="31" t="s">
        <v>90</v>
      </c>
      <c r="B11" s="31">
        <f>qtd7dias*3</f>
        <v>332600.39999999997</v>
      </c>
    </row>
    <row r="12" spans="1:10">
      <c r="A12" s="31"/>
      <c r="B12" s="31"/>
    </row>
    <row r="13" spans="1:10">
      <c r="B13" s="16" t="s">
        <v>258</v>
      </c>
    </row>
    <row r="14" spans="1:10">
      <c r="B14" s="20">
        <f>B11*0.03</f>
        <v>9978.0119999999988</v>
      </c>
    </row>
  </sheetData>
  <mergeCells count="12">
    <mergeCell ref="A11:A12"/>
    <mergeCell ref="B11:B12"/>
    <mergeCell ref="A3:A4"/>
    <mergeCell ref="D3:D4"/>
    <mergeCell ref="A6:A7"/>
    <mergeCell ref="D6:D7"/>
    <mergeCell ref="E3:E4"/>
    <mergeCell ref="F3:F4"/>
    <mergeCell ref="E6:E7"/>
    <mergeCell ref="F6:F7"/>
    <mergeCell ref="G3:G4"/>
    <mergeCell ref="G6:G7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I13" sqref="I13"/>
    </sheetView>
  </sheetViews>
  <sheetFormatPr defaultRowHeight="14.25"/>
  <cols>
    <col min="1" max="1" width="23" style="16" bestFit="1" customWidth="1"/>
    <col min="2" max="4" width="9" style="16"/>
    <col min="5" max="5" width="11.375" style="16" bestFit="1" customWidth="1"/>
    <col min="6" max="6" width="13.625" style="25" bestFit="1" customWidth="1"/>
    <col min="7" max="7" width="15.875" style="16" bestFit="1" customWidth="1"/>
    <col min="8" max="8" width="9" style="16"/>
    <col min="9" max="9" width="32.75" style="16" bestFit="1" customWidth="1"/>
    <col min="10" max="10" width="13.625" style="16" bestFit="1" customWidth="1"/>
    <col min="11" max="11" width="9" style="16"/>
    <col min="12" max="12" width="12.5" style="16" bestFit="1" customWidth="1"/>
    <col min="13" max="13" width="53.125" style="16" bestFit="1" customWidth="1"/>
    <col min="14" max="16384" width="9" style="16"/>
  </cols>
  <sheetData>
    <row r="3" spans="1:13">
      <c r="A3" s="16" t="s">
        <v>169</v>
      </c>
      <c r="I3" s="16" t="s">
        <v>220</v>
      </c>
      <c r="K3" s="22">
        <f>F22/K5</f>
        <v>6.8948389765570379</v>
      </c>
    </row>
    <row r="5" spans="1:13">
      <c r="A5" s="16" t="s">
        <v>177</v>
      </c>
      <c r="B5" s="16" t="s">
        <v>81</v>
      </c>
      <c r="C5" s="16" t="s">
        <v>170</v>
      </c>
      <c r="D5" s="16" t="s">
        <v>190</v>
      </c>
      <c r="E5" s="16" t="s">
        <v>171</v>
      </c>
      <c r="F5" s="25" t="s">
        <v>188</v>
      </c>
      <c r="G5" s="16" t="s">
        <v>172</v>
      </c>
      <c r="I5" s="16" t="s">
        <v>189</v>
      </c>
      <c r="K5" s="16">
        <f>kgparafina</f>
        <v>46120.588799999998</v>
      </c>
    </row>
    <row r="6" spans="1:13">
      <c r="A6" s="16" t="s">
        <v>114</v>
      </c>
      <c r="B6" s="16">
        <v>35</v>
      </c>
      <c r="C6" s="16" t="s">
        <v>191</v>
      </c>
      <c r="D6" s="16">
        <v>100</v>
      </c>
      <c r="E6" s="16">
        <f>(35*10)/1000</f>
        <v>0.35</v>
      </c>
      <c r="F6" s="25">
        <f>E6*kgparafina</f>
        <v>16142.206079999998</v>
      </c>
      <c r="G6" s="16" t="s">
        <v>173</v>
      </c>
    </row>
    <row r="7" spans="1:13">
      <c r="A7" s="16" t="s">
        <v>174</v>
      </c>
      <c r="I7" s="16" t="s">
        <v>206</v>
      </c>
      <c r="J7" s="16">
        <v>2.9</v>
      </c>
      <c r="K7" s="22">
        <f>K3*0.26</f>
        <v>1.79265813390483</v>
      </c>
      <c r="L7" s="21">
        <f>J7*qtd7dias</f>
        <v>321513.71999999997</v>
      </c>
      <c r="M7" s="16" t="s">
        <v>224</v>
      </c>
    </row>
    <row r="8" spans="1:13">
      <c r="A8" s="16" t="s">
        <v>113</v>
      </c>
      <c r="B8" s="16">
        <v>6500</v>
      </c>
      <c r="C8" s="16" t="s">
        <v>175</v>
      </c>
      <c r="D8" s="16">
        <v>1000</v>
      </c>
      <c r="E8" s="16">
        <f>B8/D8</f>
        <v>6.5</v>
      </c>
      <c r="F8" s="25">
        <f>E8*kgparafina</f>
        <v>299783.8272</v>
      </c>
      <c r="I8" s="16" t="s">
        <v>207</v>
      </c>
      <c r="J8" s="16">
        <v>10.9</v>
      </c>
      <c r="K8" s="22">
        <f>K3</f>
        <v>6.8948389765570379</v>
      </c>
      <c r="L8" s="21">
        <f>J8*qtdpalitokg</f>
        <v>79757.575920000003</v>
      </c>
      <c r="M8" s="16" t="s">
        <v>224</v>
      </c>
    </row>
    <row r="9" spans="1:13">
      <c r="A9" s="16" t="s">
        <v>176</v>
      </c>
    </row>
    <row r="10" spans="1:13">
      <c r="A10" s="16" t="s">
        <v>178</v>
      </c>
      <c r="F10" s="25">
        <v>150</v>
      </c>
      <c r="I10" s="16" t="s">
        <v>205</v>
      </c>
      <c r="J10" s="21">
        <f>(J7*qtd7dias)+(J8*qtdpalitokg)</f>
        <v>401271.29591999995</v>
      </c>
    </row>
    <row r="11" spans="1:13">
      <c r="A11" s="16" t="s">
        <v>179</v>
      </c>
      <c r="F11" s="25">
        <v>150</v>
      </c>
    </row>
    <row r="12" spans="1:13">
      <c r="A12" s="16" t="s">
        <v>180</v>
      </c>
      <c r="F12" s="25">
        <v>418</v>
      </c>
      <c r="I12" s="16" t="s">
        <v>208</v>
      </c>
      <c r="J12" s="22">
        <f>J10-F22</f>
        <v>83277.262639999972</v>
      </c>
    </row>
    <row r="13" spans="1:13">
      <c r="A13" s="16" t="s">
        <v>181</v>
      </c>
      <c r="F13" s="25">
        <v>350</v>
      </c>
    </row>
    <row r="14" spans="1:13">
      <c r="A14" s="16" t="s">
        <v>182</v>
      </c>
      <c r="F14" s="25">
        <v>200</v>
      </c>
      <c r="I14" s="27" t="s">
        <v>225</v>
      </c>
      <c r="J14" s="22">
        <f>F22-F8</f>
        <v>18210.206079999974</v>
      </c>
    </row>
    <row r="15" spans="1:13">
      <c r="A15" s="16" t="s">
        <v>183</v>
      </c>
    </row>
    <row r="16" spans="1:13">
      <c r="A16" s="16" t="s">
        <v>184</v>
      </c>
      <c r="F16" s="25">
        <v>500</v>
      </c>
      <c r="I16" s="16" t="s">
        <v>226</v>
      </c>
    </row>
    <row r="17" spans="1:6">
      <c r="A17" s="16" t="s">
        <v>185</v>
      </c>
      <c r="F17" s="25">
        <v>70</v>
      </c>
    </row>
    <row r="18" spans="1:6">
      <c r="A18" s="16" t="s">
        <v>186</v>
      </c>
      <c r="F18" s="25">
        <v>150</v>
      </c>
    </row>
    <row r="19" spans="1:6">
      <c r="A19" s="16" t="s">
        <v>187</v>
      </c>
      <c r="F19" s="25">
        <v>80</v>
      </c>
    </row>
    <row r="20" spans="1:6">
      <c r="A20" s="16" t="s">
        <v>217</v>
      </c>
    </row>
    <row r="22" spans="1:6">
      <c r="F22" s="24">
        <f>SUM(F6:F20)</f>
        <v>317994.03327999997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12" sqref="B12"/>
    </sheetView>
  </sheetViews>
  <sheetFormatPr defaultRowHeight="14.25"/>
  <cols>
    <col min="1" max="1" width="31.25" bestFit="1" customWidth="1"/>
    <col min="2" max="2" width="13" customWidth="1"/>
    <col min="3" max="3" width="13" style="14" customWidth="1"/>
  </cols>
  <sheetData>
    <row r="1" spans="1:5">
      <c r="A1" s="17" t="s">
        <v>210</v>
      </c>
      <c r="B1" s="17" t="s">
        <v>211</v>
      </c>
      <c r="C1" s="24" t="s">
        <v>81</v>
      </c>
    </row>
    <row r="2" spans="1:5">
      <c r="A2" s="17" t="s">
        <v>209</v>
      </c>
      <c r="B2" s="23">
        <v>0.3</v>
      </c>
      <c r="C2" s="24">
        <f>(B2*lucro)</f>
        <v>24983.178791999992</v>
      </c>
    </row>
    <row r="3" spans="1:5">
      <c r="A3" s="17" t="s">
        <v>212</v>
      </c>
      <c r="B3" s="23">
        <v>0.3</v>
      </c>
      <c r="C3" s="24">
        <f>(B3*lucro)</f>
        <v>24983.178791999992</v>
      </c>
    </row>
    <row r="4" spans="1:5">
      <c r="A4" s="17" t="s">
        <v>213</v>
      </c>
      <c r="B4" s="23">
        <v>0.25</v>
      </c>
      <c r="C4" s="24">
        <f>(B4*lucro)</f>
        <v>20819.315659999993</v>
      </c>
    </row>
    <row r="5" spans="1:5">
      <c r="A5" s="17" t="s">
        <v>214</v>
      </c>
      <c r="B5" s="23">
        <v>0.15</v>
      </c>
      <c r="C5" s="24">
        <f>(B5*lucro)</f>
        <v>12491.589395999996</v>
      </c>
    </row>
    <row r="10" spans="1:5">
      <c r="A10" t="s">
        <v>215</v>
      </c>
    </row>
    <row r="12" spans="1:5">
      <c r="A12" t="s">
        <v>227</v>
      </c>
      <c r="B12" s="7">
        <f>(180000/lucro)</f>
        <v>2.1614543309153138</v>
      </c>
    </row>
    <row r="13" spans="1:5">
      <c r="A13" t="s">
        <v>216</v>
      </c>
      <c r="B13" s="15">
        <f>('Custo de Produção'!J10-'Custo de Produção'!F22)/'Custo de Produção'!F22</f>
        <v>0.26188309818591066</v>
      </c>
      <c r="C13" s="26">
        <f>(B13*100%)</f>
        <v>0.26188309818591066</v>
      </c>
      <c r="D13" s="37" t="s">
        <v>228</v>
      </c>
      <c r="E13" t="s">
        <v>218</v>
      </c>
    </row>
    <row r="14" spans="1:5">
      <c r="A14" t="s">
        <v>219</v>
      </c>
      <c r="B14" s="15">
        <f>'Custo de Produção'!L7-('Custo de Produção'!F22-'Capacidade produtiva'!J9)</f>
        <v>51081.543919999967</v>
      </c>
    </row>
    <row r="15" spans="1:5">
      <c r="A15" t="s">
        <v>221</v>
      </c>
      <c r="B15" s="15">
        <f>'Custo de Produção'!L8-('Custo de Produção'!F22-'Capacidade produtiva'!J8)</f>
        <v>-65284.249359999987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5" sqref="A5"/>
    </sheetView>
  </sheetViews>
  <sheetFormatPr defaultRowHeight="14.25"/>
  <cols>
    <col min="1" max="1" width="39.625" bestFit="1" customWidth="1"/>
  </cols>
  <sheetData>
    <row r="2" spans="1:1">
      <c r="A2" t="s">
        <v>74</v>
      </c>
    </row>
    <row r="5" spans="1:1">
      <c r="A5" t="s">
        <v>75</v>
      </c>
    </row>
    <row r="6" spans="1:1">
      <c r="A6" t="s">
        <v>76</v>
      </c>
    </row>
    <row r="7" spans="1:1">
      <c r="A7" t="s">
        <v>77</v>
      </c>
    </row>
    <row r="8" spans="1:1">
      <c r="A8" t="s">
        <v>78</v>
      </c>
    </row>
    <row r="9" spans="1:1">
      <c r="A9" t="s">
        <v>79</v>
      </c>
    </row>
    <row r="10" spans="1:1">
      <c r="A10" t="s">
        <v>80</v>
      </c>
    </row>
    <row r="11" spans="1:1">
      <c r="A11" t="s">
        <v>81</v>
      </c>
    </row>
    <row r="12" spans="1:1">
      <c r="A12" t="s">
        <v>82</v>
      </c>
    </row>
    <row r="13" spans="1:1">
      <c r="A13" t="s">
        <v>83</v>
      </c>
    </row>
    <row r="14" spans="1:1">
      <c r="A14" t="s">
        <v>84</v>
      </c>
    </row>
    <row r="15" spans="1:1">
      <c r="A15" t="s">
        <v>85</v>
      </c>
    </row>
    <row r="16" spans="1:1">
      <c r="A16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"/>
  <sheetViews>
    <sheetView workbookViewId="0">
      <selection activeCell="A10" sqref="A10"/>
    </sheetView>
  </sheetViews>
  <sheetFormatPr defaultRowHeight="14.25"/>
  <cols>
    <col min="1" max="1" width="22.75" bestFit="1" customWidth="1"/>
  </cols>
  <sheetData>
    <row r="3" spans="1:2">
      <c r="A3" t="s">
        <v>161</v>
      </c>
      <c r="B3" t="s">
        <v>160</v>
      </c>
    </row>
    <row r="5" spans="1:2">
      <c r="A5" t="s">
        <v>156</v>
      </c>
    </row>
    <row r="6" spans="1:2">
      <c r="A6" t="s">
        <v>157</v>
      </c>
    </row>
    <row r="7" spans="1:2">
      <c r="A7" t="s">
        <v>158</v>
      </c>
    </row>
    <row r="8" spans="1:2">
      <c r="A8" t="s">
        <v>159</v>
      </c>
    </row>
    <row r="10" spans="1:2">
      <c r="A10" t="s">
        <v>162</v>
      </c>
    </row>
    <row r="13" spans="1:2">
      <c r="A13" t="s">
        <v>163</v>
      </c>
    </row>
    <row r="15" spans="1:2">
      <c r="A15" t="s">
        <v>164</v>
      </c>
    </row>
    <row r="16" spans="1:2">
      <c r="A16" t="s">
        <v>165</v>
      </c>
    </row>
    <row r="17" spans="1:1">
      <c r="A17" t="s">
        <v>166</v>
      </c>
    </row>
    <row r="20" spans="1:1">
      <c r="A20" t="s">
        <v>167</v>
      </c>
    </row>
    <row r="22" spans="1:1">
      <c r="A22" s="18">
        <v>500</v>
      </c>
    </row>
    <row r="24" spans="1:1">
      <c r="A24" t="s">
        <v>168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workbookViewId="0">
      <selection activeCell="F1" sqref="F1"/>
    </sheetView>
  </sheetViews>
  <sheetFormatPr defaultRowHeight="14.25"/>
  <cols>
    <col min="5" max="5" width="15.625" bestFit="1" customWidth="1"/>
    <col min="6" max="6" width="10.625" customWidth="1"/>
    <col min="8" max="8" width="13.125" bestFit="1" customWidth="1"/>
    <col min="10" max="10" width="10" bestFit="1" customWidth="1"/>
    <col min="17" max="17" width="16.75" bestFit="1" customWidth="1"/>
  </cols>
  <sheetData>
    <row r="1" spans="2:17">
      <c r="E1" s="9" t="s">
        <v>106</v>
      </c>
      <c r="F1" s="9" t="s">
        <v>89</v>
      </c>
      <c r="G1" s="11" t="s">
        <v>90</v>
      </c>
      <c r="H1" s="11" t="s">
        <v>92</v>
      </c>
    </row>
    <row r="2" spans="2:17">
      <c r="B2" s="31" t="s">
        <v>87</v>
      </c>
      <c r="C2" s="31"/>
      <c r="D2" s="31"/>
      <c r="E2" s="1"/>
      <c r="F2" s="2"/>
      <c r="J2" s="1" t="s">
        <v>91</v>
      </c>
      <c r="K2" s="1" t="s">
        <v>88</v>
      </c>
      <c r="L2" s="1" t="s">
        <v>89</v>
      </c>
      <c r="O2" s="1" t="s">
        <v>98</v>
      </c>
      <c r="P2" s="1">
        <v>21</v>
      </c>
      <c r="Q2" s="2" t="s">
        <v>99</v>
      </c>
    </row>
    <row r="3" spans="2:17">
      <c r="B3" s="31"/>
      <c r="C3" s="31"/>
      <c r="D3" s="31"/>
      <c r="E3" s="1">
        <v>1482</v>
      </c>
      <c r="H3" s="2"/>
      <c r="J3" s="1"/>
      <c r="K3" s="1">
        <v>240</v>
      </c>
      <c r="L3" s="1">
        <v>240</v>
      </c>
      <c r="P3" s="2">
        <v>8</v>
      </c>
      <c r="Q3" s="2" t="s">
        <v>100</v>
      </c>
    </row>
    <row r="4" spans="2:17">
      <c r="D4" s="1"/>
      <c r="P4">
        <v>408</v>
      </c>
      <c r="Q4" t="s">
        <v>132</v>
      </c>
    </row>
    <row r="5" spans="2:17">
      <c r="B5" s="32" t="s">
        <v>134</v>
      </c>
      <c r="C5" s="32"/>
      <c r="D5" s="32"/>
    </row>
    <row r="6" spans="2:17">
      <c r="B6" s="32"/>
      <c r="C6" s="32"/>
      <c r="D6" s="32"/>
      <c r="E6">
        <f>E3*21</f>
        <v>31122</v>
      </c>
      <c r="F6">
        <f>F3*21</f>
        <v>0</v>
      </c>
      <c r="G6">
        <f>G3*21</f>
        <v>0</v>
      </c>
      <c r="H6">
        <f>H3*21</f>
        <v>0</v>
      </c>
    </row>
    <row r="7" spans="2:17">
      <c r="D7" s="1"/>
    </row>
    <row r="8" spans="2:17">
      <c r="E8" s="4"/>
      <c r="F8" s="4"/>
      <c r="P8">
        <f>P3*P2</f>
        <v>168</v>
      </c>
      <c r="Q8" t="s">
        <v>133</v>
      </c>
    </row>
    <row r="9" spans="2:17">
      <c r="B9" s="32" t="s">
        <v>93</v>
      </c>
      <c r="C9" s="32"/>
      <c r="D9" s="32"/>
      <c r="E9" s="1"/>
      <c r="F9" s="1"/>
    </row>
    <row r="10" spans="2:17">
      <c r="B10" s="32"/>
      <c r="C10" s="32"/>
      <c r="D10" s="32"/>
      <c r="E10" s="1">
        <v>260</v>
      </c>
      <c r="F10" s="1">
        <v>35</v>
      </c>
    </row>
    <row r="11" spans="2:17">
      <c r="J11" s="33" t="s">
        <v>119</v>
      </c>
      <c r="K11" s="33"/>
      <c r="L11" s="33"/>
      <c r="O11" t="s">
        <v>149</v>
      </c>
    </row>
    <row r="12" spans="2:17">
      <c r="D12" t="s">
        <v>94</v>
      </c>
      <c r="E12" s="6">
        <f>(E10*$E$3)/1000</f>
        <v>385.32</v>
      </c>
      <c r="F12" s="6">
        <f>(F10*$F$3)/1000</f>
        <v>0</v>
      </c>
      <c r="G12" s="6">
        <f>(F10*G3)/1000</f>
        <v>0</v>
      </c>
      <c r="J12" s="33"/>
      <c r="K12" s="33"/>
      <c r="L12" s="33"/>
    </row>
    <row r="13" spans="2:17">
      <c r="J13" s="33" t="s">
        <v>129</v>
      </c>
      <c r="K13" s="33"/>
      <c r="L13" s="33"/>
      <c r="O13" t="s">
        <v>150</v>
      </c>
    </row>
    <row r="14" spans="2:17">
      <c r="B14" s="28" t="s">
        <v>102</v>
      </c>
      <c r="C14" s="28"/>
      <c r="D14" s="28"/>
      <c r="E14">
        <v>0.16</v>
      </c>
      <c r="F14">
        <v>0.16</v>
      </c>
      <c r="J14" s="1" t="s">
        <v>88</v>
      </c>
      <c r="K14" s="1" t="s">
        <v>120</v>
      </c>
      <c r="L14" s="4" t="s">
        <v>121</v>
      </c>
      <c r="O14" t="s">
        <v>88</v>
      </c>
      <c r="P14" t="s">
        <v>120</v>
      </c>
      <c r="Q14" t="s">
        <v>121</v>
      </c>
    </row>
    <row r="15" spans="2:17">
      <c r="B15" s="28"/>
      <c r="C15" s="28"/>
      <c r="D15" s="28"/>
      <c r="J15" s="12">
        <f>(E6*1000)/$H$34</f>
        <v>3846.1538461538462</v>
      </c>
      <c r="K15" s="12">
        <f>(F6*1000)/$H$34</f>
        <v>0</v>
      </c>
      <c r="L15" s="12">
        <f>(G6*1000)/$H$34</f>
        <v>0</v>
      </c>
      <c r="O15">
        <v>5700</v>
      </c>
      <c r="P15">
        <v>6720</v>
      </c>
      <c r="Q15">
        <v>17280</v>
      </c>
    </row>
    <row r="16" spans="2:17">
      <c r="B16" s="8"/>
      <c r="C16" s="8"/>
      <c r="D16" s="8"/>
    </row>
    <row r="17" spans="2:17">
      <c r="B17" s="8"/>
      <c r="C17" s="8"/>
      <c r="D17" s="8" t="s">
        <v>94</v>
      </c>
      <c r="E17" s="10">
        <f>(E14*$E$3)/1000</f>
        <v>0.23712</v>
      </c>
      <c r="F17" s="10">
        <f>(F14*$F$3)/1000</f>
        <v>0</v>
      </c>
      <c r="J17" t="s">
        <v>127</v>
      </c>
      <c r="K17" s="12">
        <v>487</v>
      </c>
      <c r="O17" t="s">
        <v>151</v>
      </c>
    </row>
    <row r="18" spans="2:17">
      <c r="O18" t="s">
        <v>88</v>
      </c>
      <c r="P18" t="s">
        <v>120</v>
      </c>
      <c r="Q18" t="s">
        <v>121</v>
      </c>
    </row>
    <row r="19" spans="2:17">
      <c r="B19" s="28" t="s">
        <v>103</v>
      </c>
      <c r="C19" s="28"/>
      <c r="D19" s="28"/>
      <c r="K19" t="s">
        <v>126</v>
      </c>
      <c r="O19">
        <f>O15*22</f>
        <v>125400</v>
      </c>
      <c r="P19">
        <f>P15*22</f>
        <v>147840</v>
      </c>
      <c r="Q19">
        <f>Q15*22</f>
        <v>380160</v>
      </c>
    </row>
    <row r="20" spans="2:17">
      <c r="B20" s="28"/>
      <c r="C20" s="28"/>
      <c r="D20" s="28"/>
    </row>
    <row r="22" spans="2:17">
      <c r="B22" s="28" t="s">
        <v>104</v>
      </c>
      <c r="C22" s="28"/>
      <c r="D22" s="28"/>
    </row>
    <row r="23" spans="2:17">
      <c r="B23" s="28"/>
      <c r="C23" s="28"/>
      <c r="D23" s="28"/>
    </row>
    <row r="25" spans="2:17">
      <c r="B25" s="28" t="s">
        <v>105</v>
      </c>
      <c r="C25" s="28"/>
      <c r="D25" s="28"/>
    </row>
    <row r="26" spans="2:17">
      <c r="B26" s="28"/>
      <c r="C26" s="28"/>
      <c r="D26" s="28"/>
      <c r="E26">
        <f>(1*$E$3)</f>
        <v>1482</v>
      </c>
    </row>
    <row r="29" spans="2:17">
      <c r="B29" s="28" t="s">
        <v>101</v>
      </c>
      <c r="C29" s="28"/>
      <c r="D29" s="28"/>
      <c r="E29" t="s">
        <v>88</v>
      </c>
      <c r="F29" t="s">
        <v>89</v>
      </c>
    </row>
    <row r="30" spans="2:17">
      <c r="B30" s="28"/>
      <c r="C30" s="28"/>
      <c r="D30" s="28"/>
      <c r="E30" s="7">
        <f>(E3*$P$8)*15%+E3</f>
        <v>38828.400000000001</v>
      </c>
      <c r="F30" s="7">
        <f>(F3*$P$8)*15%+F3</f>
        <v>0</v>
      </c>
    </row>
    <row r="32" spans="2:17">
      <c r="B32" s="28" t="s">
        <v>107</v>
      </c>
      <c r="C32" s="28"/>
      <c r="D32" s="28"/>
      <c r="E32" s="30">
        <f>(21*E12)</f>
        <v>8091.72</v>
      </c>
      <c r="F32" s="30">
        <f>(21*F12)</f>
        <v>0</v>
      </c>
      <c r="G32" s="30">
        <f>(21*G12)</f>
        <v>0</v>
      </c>
      <c r="H32" s="31" t="s">
        <v>118</v>
      </c>
    </row>
    <row r="33" spans="2:8">
      <c r="B33" s="28"/>
      <c r="C33" s="28"/>
      <c r="D33" s="28"/>
      <c r="E33" s="31"/>
      <c r="F33" s="31"/>
      <c r="G33" s="31"/>
      <c r="H33" s="31"/>
    </row>
    <row r="34" spans="2:8">
      <c r="B34" s="8"/>
      <c r="C34" s="8"/>
      <c r="D34" s="8"/>
      <c r="E34" s="1"/>
      <c r="F34" s="1"/>
      <c r="G34" s="1" t="s">
        <v>125</v>
      </c>
      <c r="H34" s="13">
        <f>SUM(E32:G33)</f>
        <v>8091.72</v>
      </c>
    </row>
    <row r="36" spans="2:8">
      <c r="B36" s="28" t="s">
        <v>108</v>
      </c>
      <c r="C36" s="28"/>
      <c r="D36" s="28"/>
      <c r="E36" s="29">
        <f>E17*21</f>
        <v>4.9795199999999999</v>
      </c>
    </row>
    <row r="37" spans="2:8">
      <c r="B37" s="28"/>
      <c r="C37" s="28"/>
      <c r="D37" s="28"/>
      <c r="E37" s="29"/>
    </row>
    <row r="38" spans="2:8">
      <c r="B38" s="3"/>
      <c r="C38" s="3"/>
      <c r="D38" s="3"/>
    </row>
    <row r="39" spans="2:8" ht="14.25" customHeight="1">
      <c r="B39" s="28" t="s">
        <v>109</v>
      </c>
      <c r="C39" s="28"/>
      <c r="D39" s="28"/>
      <c r="E39" s="30">
        <f>E26*21</f>
        <v>31122</v>
      </c>
    </row>
    <row r="40" spans="2:8">
      <c r="B40" s="28"/>
      <c r="C40" s="28"/>
      <c r="D40" s="28"/>
      <c r="E40" s="30"/>
    </row>
  </sheetData>
  <mergeCells count="19">
    <mergeCell ref="H32:H33"/>
    <mergeCell ref="J11:L12"/>
    <mergeCell ref="B5:D6"/>
    <mergeCell ref="F32:F33"/>
    <mergeCell ref="G32:G33"/>
    <mergeCell ref="J13:L13"/>
    <mergeCell ref="B32:D33"/>
    <mergeCell ref="E32:E33"/>
    <mergeCell ref="B36:D37"/>
    <mergeCell ref="E36:E37"/>
    <mergeCell ref="B39:D40"/>
    <mergeCell ref="E39:E40"/>
    <mergeCell ref="B2:D3"/>
    <mergeCell ref="B9:D10"/>
    <mergeCell ref="B29:D30"/>
    <mergeCell ref="B14:D15"/>
    <mergeCell ref="B19:D20"/>
    <mergeCell ref="B22:D23"/>
    <mergeCell ref="B25:D26"/>
  </mergeCells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1"/>
  <sheetViews>
    <sheetView workbookViewId="0">
      <selection activeCell="A16" sqref="A16"/>
    </sheetView>
  </sheetViews>
  <sheetFormatPr defaultRowHeight="14.25"/>
  <cols>
    <col min="1" max="1" width="16.125" bestFit="1" customWidth="1"/>
    <col min="2" max="2" width="10.375" customWidth="1"/>
    <col min="7" max="8" width="15.125" bestFit="1" customWidth="1"/>
    <col min="9" max="9" width="38.375" bestFit="1" customWidth="1"/>
    <col min="15" max="15" width="15.625" bestFit="1" customWidth="1"/>
  </cols>
  <sheetData>
    <row r="3" spans="1:15" ht="15">
      <c r="A3" t="s">
        <v>152</v>
      </c>
      <c r="B3">
        <v>3500</v>
      </c>
      <c r="G3" s="34" t="s">
        <v>123</v>
      </c>
      <c r="H3" s="34"/>
      <c r="I3" s="34"/>
      <c r="K3" s="33" t="s">
        <v>131</v>
      </c>
      <c r="L3" s="33"/>
      <c r="M3" s="33"/>
      <c r="N3" t="s">
        <v>137</v>
      </c>
    </row>
    <row r="4" spans="1:15">
      <c r="A4" t="s">
        <v>96</v>
      </c>
      <c r="B4">
        <v>127</v>
      </c>
      <c r="C4" t="s">
        <v>111</v>
      </c>
    </row>
    <row r="5" spans="1:15">
      <c r="A5" t="s">
        <v>95</v>
      </c>
      <c r="B5">
        <v>150</v>
      </c>
      <c r="C5" t="s">
        <v>111</v>
      </c>
      <c r="G5" t="s">
        <v>88</v>
      </c>
      <c r="H5" t="s">
        <v>124</v>
      </c>
      <c r="K5">
        <v>470</v>
      </c>
      <c r="L5" t="s">
        <v>136</v>
      </c>
      <c r="N5">
        <v>1227</v>
      </c>
      <c r="O5" t="s">
        <v>138</v>
      </c>
    </row>
    <row r="6" spans="1:15">
      <c r="A6" t="s">
        <v>97</v>
      </c>
      <c r="B6">
        <v>45</v>
      </c>
      <c r="C6" t="s">
        <v>111</v>
      </c>
      <c r="G6">
        <v>2.9</v>
      </c>
      <c r="H6">
        <v>10.9</v>
      </c>
      <c r="K6">
        <v>1410</v>
      </c>
      <c r="L6" t="s">
        <v>135</v>
      </c>
      <c r="N6">
        <v>3549</v>
      </c>
      <c r="O6" t="s">
        <v>135</v>
      </c>
    </row>
    <row r="7" spans="1:15">
      <c r="A7" t="s">
        <v>110</v>
      </c>
      <c r="B7">
        <v>418</v>
      </c>
      <c r="C7" t="s">
        <v>111</v>
      </c>
    </row>
    <row r="8" spans="1:15">
      <c r="A8" t="s">
        <v>112</v>
      </c>
      <c r="G8" s="14">
        <f>G6*'Capacidade de Produção'!O19</f>
        <v>363660</v>
      </c>
      <c r="H8" s="14">
        <f>H6*'Capacidade de Produção'!P19</f>
        <v>1611456</v>
      </c>
    </row>
    <row r="9" spans="1:15">
      <c r="A9" t="s">
        <v>113</v>
      </c>
      <c r="B9">
        <v>30000</v>
      </c>
      <c r="C9" t="s">
        <v>71</v>
      </c>
      <c r="D9">
        <v>16393</v>
      </c>
    </row>
    <row r="10" spans="1:15">
      <c r="A10" t="s">
        <v>114</v>
      </c>
      <c r="C10" t="s">
        <v>71</v>
      </c>
      <c r="G10" s="14">
        <f>G6*3549</f>
        <v>10292.1</v>
      </c>
      <c r="H10" s="14">
        <f>((35049*35)/1000)*H6</f>
        <v>13371.193499999999</v>
      </c>
    </row>
    <row r="11" spans="1:15">
      <c r="A11" t="s">
        <v>115</v>
      </c>
      <c r="C11" t="s">
        <v>71</v>
      </c>
    </row>
    <row r="12" spans="1:15">
      <c r="A12" t="s">
        <v>116</v>
      </c>
      <c r="C12" t="s">
        <v>71</v>
      </c>
    </row>
    <row r="13" spans="1:15">
      <c r="A13" t="s">
        <v>117</v>
      </c>
      <c r="C13" t="s">
        <v>71</v>
      </c>
    </row>
    <row r="14" spans="1:15">
      <c r="B14">
        <v>10000</v>
      </c>
    </row>
    <row r="15" spans="1:15">
      <c r="A15" t="s">
        <v>139</v>
      </c>
      <c r="B15">
        <v>64</v>
      </c>
    </row>
    <row r="16" spans="1:15">
      <c r="A16" t="s">
        <v>153</v>
      </c>
      <c r="B16">
        <v>1000</v>
      </c>
    </row>
    <row r="18" spans="1:9">
      <c r="A18" t="s">
        <v>122</v>
      </c>
      <c r="B18" s="5">
        <f>SUM(B3:B17)</f>
        <v>45304</v>
      </c>
      <c r="C18" s="12">
        <f>B18-30000</f>
        <v>15304</v>
      </c>
      <c r="G18" t="s">
        <v>128</v>
      </c>
      <c r="I18" t="s">
        <v>130</v>
      </c>
    </row>
    <row r="20" spans="1:9">
      <c r="A20" t="s">
        <v>154</v>
      </c>
      <c r="C20" s="12">
        <f>C18*12</f>
        <v>183648</v>
      </c>
      <c r="G20" s="15">
        <f>SUM(G8:H8)-B18</f>
        <v>1929812</v>
      </c>
      <c r="I20" s="12">
        <f>SUM(G10:H10)-B18</f>
        <v>-21640.7065</v>
      </c>
    </row>
    <row r="21" spans="1:9">
      <c r="B21" s="12"/>
    </row>
  </sheetData>
  <mergeCells count="2">
    <mergeCell ref="G3:I3"/>
    <mergeCell ref="K3:M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D1" sqref="D1"/>
    </sheetView>
  </sheetViews>
  <sheetFormatPr defaultRowHeight="14.25"/>
  <cols>
    <col min="1" max="1" width="19.625" bestFit="1" customWidth="1"/>
    <col min="2" max="4" width="19.625" customWidth="1"/>
    <col min="5" max="5" width="13.625" style="47" bestFit="1" customWidth="1"/>
  </cols>
  <sheetData>
    <row r="1" spans="1:12">
      <c r="A1" t="s">
        <v>239</v>
      </c>
      <c r="B1" t="s">
        <v>235</v>
      </c>
      <c r="C1" t="s">
        <v>170</v>
      </c>
      <c r="D1" t="s">
        <v>190</v>
      </c>
      <c r="E1" s="47" t="s">
        <v>240</v>
      </c>
    </row>
    <row r="2" spans="1:12">
      <c r="A2" t="s">
        <v>96</v>
      </c>
      <c r="B2" t="s">
        <v>236</v>
      </c>
      <c r="C2" t="s">
        <v>69</v>
      </c>
      <c r="D2" t="s">
        <v>69</v>
      </c>
      <c r="E2" s="47">
        <v>150</v>
      </c>
    </row>
    <row r="3" spans="1:12">
      <c r="A3" t="s">
        <v>95</v>
      </c>
      <c r="B3" t="s">
        <v>236</v>
      </c>
      <c r="C3" t="s">
        <v>69</v>
      </c>
      <c r="D3" t="s">
        <v>69</v>
      </c>
      <c r="E3" s="47">
        <v>150</v>
      </c>
    </row>
    <row r="4" spans="1:12">
      <c r="A4" t="s">
        <v>97</v>
      </c>
      <c r="B4" t="s">
        <v>236</v>
      </c>
      <c r="C4" t="s">
        <v>69</v>
      </c>
      <c r="D4" t="s">
        <v>69</v>
      </c>
      <c r="E4" s="47">
        <v>45</v>
      </c>
    </row>
    <row r="5" spans="1:12">
      <c r="A5" t="s">
        <v>110</v>
      </c>
      <c r="B5" t="s">
        <v>237</v>
      </c>
      <c r="C5" t="s">
        <v>69</v>
      </c>
      <c r="D5" t="s">
        <v>69</v>
      </c>
      <c r="E5" s="47">
        <v>5200</v>
      </c>
    </row>
    <row r="6" spans="1:12">
      <c r="A6" t="s">
        <v>255</v>
      </c>
      <c r="B6" t="s">
        <v>236</v>
      </c>
      <c r="C6" t="s">
        <v>69</v>
      </c>
      <c r="D6" t="s">
        <v>69</v>
      </c>
      <c r="E6" s="47">
        <v>418</v>
      </c>
    </row>
    <row r="7" spans="1:12">
      <c r="A7" t="s">
        <v>112</v>
      </c>
      <c r="B7" t="s">
        <v>236</v>
      </c>
      <c r="C7" t="s">
        <v>69</v>
      </c>
      <c r="D7" t="s">
        <v>69</v>
      </c>
      <c r="E7" s="47">
        <v>1000</v>
      </c>
    </row>
    <row r="8" spans="1:12">
      <c r="A8" t="s">
        <v>113</v>
      </c>
      <c r="B8" t="s">
        <v>236</v>
      </c>
      <c r="C8" t="s">
        <v>238</v>
      </c>
      <c r="D8">
        <v>5</v>
      </c>
      <c r="E8" s="47">
        <f>(6*D8)*1000</f>
        <v>30000</v>
      </c>
    </row>
    <row r="9" spans="1:12">
      <c r="A9" t="s">
        <v>114</v>
      </c>
      <c r="B9" t="s">
        <v>236</v>
      </c>
      <c r="C9" t="s">
        <v>241</v>
      </c>
      <c r="D9">
        <f>E9/350</f>
        <v>5</v>
      </c>
      <c r="E9" s="47">
        <f>(0.35*D8)*1000</f>
        <v>1750</v>
      </c>
      <c r="G9" s="37" t="s">
        <v>242</v>
      </c>
    </row>
    <row r="10" spans="1:12">
      <c r="A10" t="s">
        <v>115</v>
      </c>
      <c r="B10" t="s">
        <v>236</v>
      </c>
      <c r="C10" t="s">
        <v>118</v>
      </c>
      <c r="D10" s="46">
        <f>((qtdpalito)*0.15)/1000+5.04</f>
        <v>41.626044</v>
      </c>
      <c r="E10" s="48">
        <f>D10*16.5</f>
        <v>686.82972600000005</v>
      </c>
      <c r="G10" s="37" t="s">
        <v>243</v>
      </c>
      <c r="L10" s="37" t="s">
        <v>244</v>
      </c>
    </row>
    <row r="11" spans="1:12">
      <c r="A11" t="s">
        <v>116</v>
      </c>
      <c r="B11" t="s">
        <v>236</v>
      </c>
      <c r="C11" t="s">
        <v>232</v>
      </c>
      <c r="D11" s="7">
        <f>((D8*41%)*1000)/0.26</f>
        <v>7884.6153846153848</v>
      </c>
      <c r="E11" s="47">
        <f>(129.69/3000)*D11</f>
        <v>340.85192307692307</v>
      </c>
    </row>
    <row r="12" spans="1:12">
      <c r="A12" t="s">
        <v>117</v>
      </c>
      <c r="B12" t="s">
        <v>236</v>
      </c>
      <c r="C12" t="s">
        <v>69</v>
      </c>
    </row>
    <row r="13" spans="1:12">
      <c r="A13" t="s">
        <v>246</v>
      </c>
      <c r="B13" t="s">
        <v>236</v>
      </c>
      <c r="C13" t="s">
        <v>118</v>
      </c>
      <c r="D13">
        <v>100</v>
      </c>
      <c r="E13" s="47">
        <f>IF(D8=5,0.1*8077,0.1*qtd7dias)</f>
        <v>807.7</v>
      </c>
      <c r="G13" s="37" t="s">
        <v>247</v>
      </c>
    </row>
    <row r="14" spans="1:12">
      <c r="A14" t="s">
        <v>248</v>
      </c>
      <c r="B14" t="s">
        <v>236</v>
      </c>
      <c r="C14" t="s">
        <v>69</v>
      </c>
      <c r="G14" s="37" t="s">
        <v>249</v>
      </c>
    </row>
    <row r="15" spans="1:12">
      <c r="A15" t="s">
        <v>139</v>
      </c>
      <c r="B15" t="s">
        <v>236</v>
      </c>
      <c r="C15" t="s">
        <v>69</v>
      </c>
      <c r="E15" s="47">
        <v>64</v>
      </c>
    </row>
    <row r="16" spans="1:12">
      <c r="A16" t="s">
        <v>140</v>
      </c>
      <c r="B16" t="s">
        <v>245</v>
      </c>
      <c r="C16" t="s">
        <v>69</v>
      </c>
      <c r="E16" s="47">
        <v>221</v>
      </c>
    </row>
    <row r="17" spans="1:5">
      <c r="A17" t="s">
        <v>141</v>
      </c>
      <c r="B17" t="s">
        <v>245</v>
      </c>
      <c r="C17" t="s">
        <v>232</v>
      </c>
      <c r="D17">
        <v>1</v>
      </c>
      <c r="E17" s="47">
        <v>12000</v>
      </c>
    </row>
    <row r="18" spans="1:5">
      <c r="A18" t="s">
        <v>142</v>
      </c>
      <c r="B18" t="s">
        <v>245</v>
      </c>
      <c r="C18" t="s">
        <v>232</v>
      </c>
      <c r="D18">
        <v>1</v>
      </c>
      <c r="E18" s="47">
        <v>12000</v>
      </c>
    </row>
    <row r="19" spans="1:5">
      <c r="A19" t="s">
        <v>251</v>
      </c>
      <c r="B19" t="s">
        <v>245</v>
      </c>
      <c r="C19" t="s">
        <v>232</v>
      </c>
      <c r="D19">
        <v>1</v>
      </c>
      <c r="E19" s="47">
        <v>2500</v>
      </c>
    </row>
    <row r="20" spans="1:5">
      <c r="A20" t="s">
        <v>143</v>
      </c>
      <c r="B20" t="s">
        <v>245</v>
      </c>
      <c r="C20" t="s">
        <v>232</v>
      </c>
      <c r="D20">
        <v>1</v>
      </c>
      <c r="E20" s="47">
        <v>30000</v>
      </c>
    </row>
    <row r="21" spans="1:5">
      <c r="A21" t="s">
        <v>144</v>
      </c>
      <c r="B21" t="s">
        <v>245</v>
      </c>
      <c r="C21" t="s">
        <v>232</v>
      </c>
      <c r="D21">
        <v>2</v>
      </c>
      <c r="E21" s="47">
        <v>1000</v>
      </c>
    </row>
    <row r="22" spans="1:5">
      <c r="A22" t="s">
        <v>145</v>
      </c>
      <c r="B22" t="s">
        <v>245</v>
      </c>
      <c r="C22" t="s">
        <v>232</v>
      </c>
      <c r="D22">
        <v>1</v>
      </c>
      <c r="E22" s="47">
        <v>10000</v>
      </c>
    </row>
    <row r="23" spans="1:5">
      <c r="A23" t="s">
        <v>146</v>
      </c>
      <c r="B23" t="s">
        <v>245</v>
      </c>
      <c r="C23" t="s">
        <v>232</v>
      </c>
      <c r="D23">
        <v>1</v>
      </c>
      <c r="E23" s="47">
        <v>350</v>
      </c>
    </row>
    <row r="24" spans="1:5">
      <c r="A24" t="s">
        <v>147</v>
      </c>
      <c r="B24" t="s">
        <v>245</v>
      </c>
      <c r="C24" t="s">
        <v>232</v>
      </c>
      <c r="D24">
        <v>1</v>
      </c>
      <c r="E24" s="47">
        <v>800</v>
      </c>
    </row>
    <row r="25" spans="1:5">
      <c r="A25" t="s">
        <v>148</v>
      </c>
      <c r="C25" t="s">
        <v>69</v>
      </c>
      <c r="E25" s="47">
        <v>1500</v>
      </c>
    </row>
    <row r="26" spans="1:5">
      <c r="A26" t="s">
        <v>155</v>
      </c>
      <c r="B26" t="s">
        <v>245</v>
      </c>
      <c r="C26" t="s">
        <v>69</v>
      </c>
      <c r="D26" t="s">
        <v>69</v>
      </c>
      <c r="E26" s="47">
        <v>2000</v>
      </c>
    </row>
    <row r="27" spans="1:5">
      <c r="A27" t="s">
        <v>26</v>
      </c>
      <c r="B27" t="s">
        <v>236</v>
      </c>
      <c r="C27" t="s">
        <v>69</v>
      </c>
      <c r="D27" t="s">
        <v>69</v>
      </c>
      <c r="E27" s="47">
        <v>1500</v>
      </c>
    </row>
    <row r="28" spans="1:5">
      <c r="A28" t="s">
        <v>252</v>
      </c>
      <c r="B28" t="s">
        <v>236</v>
      </c>
      <c r="C28" t="s">
        <v>69</v>
      </c>
      <c r="D28" t="s">
        <v>69</v>
      </c>
      <c r="E28" s="47">
        <v>60</v>
      </c>
    </row>
    <row r="29" spans="1:5">
      <c r="A29" t="s">
        <v>253</v>
      </c>
      <c r="B29" t="s">
        <v>236</v>
      </c>
      <c r="C29" t="s">
        <v>69</v>
      </c>
      <c r="D29" t="s">
        <v>69</v>
      </c>
      <c r="E29" s="47">
        <v>350</v>
      </c>
    </row>
    <row r="30" spans="1:5">
      <c r="A30" t="s">
        <v>254</v>
      </c>
      <c r="B30" t="s">
        <v>236</v>
      </c>
      <c r="C30" t="s">
        <v>69</v>
      </c>
      <c r="D30" t="s">
        <v>69</v>
      </c>
      <c r="E30" s="47">
        <v>200</v>
      </c>
    </row>
    <row r="32" spans="1:5">
      <c r="A32" t="s">
        <v>122</v>
      </c>
      <c r="E32" s="47">
        <f>SUM(E2:E29)</f>
        <v>114893.38164907692</v>
      </c>
    </row>
  </sheetData>
  <autoFilter ref="A1:E27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55"/>
  <sheetViews>
    <sheetView showGridLines="0" tabSelected="1" showRuler="0" view="pageLayout" topLeftCell="A126" zoomScaleNormal="100" workbookViewId="0">
      <selection activeCell="F152" sqref="F152"/>
    </sheetView>
  </sheetViews>
  <sheetFormatPr defaultRowHeight="14.25"/>
  <cols>
    <col min="1" max="1" width="1.875" style="38" customWidth="1"/>
    <col min="2" max="2" width="27.75" style="38" customWidth="1"/>
    <col min="3" max="3" width="11.25" style="38" customWidth="1"/>
    <col min="4" max="4" width="14.375" style="38" customWidth="1"/>
    <col min="5" max="5" width="15.625" style="38" customWidth="1"/>
    <col min="6" max="6" width="14.125" style="40" customWidth="1"/>
    <col min="7" max="7" width="9" style="38"/>
    <col min="8" max="16384" width="9" style="19"/>
  </cols>
  <sheetData>
    <row r="2" spans="1:7">
      <c r="A2" s="39" t="s">
        <v>229</v>
      </c>
      <c r="B2" s="39"/>
      <c r="C2" s="39"/>
      <c r="D2" s="39"/>
      <c r="E2" s="39"/>
      <c r="F2" s="39"/>
      <c r="G2" s="45"/>
    </row>
    <row r="3" spans="1:7">
      <c r="A3" s="39"/>
      <c r="B3" s="39"/>
      <c r="C3" s="39"/>
      <c r="D3" s="39"/>
      <c r="E3" s="39"/>
      <c r="F3" s="39"/>
      <c r="G3" s="45"/>
    </row>
    <row r="6" spans="1:7">
      <c r="B6" s="39" t="s">
        <v>230</v>
      </c>
      <c r="C6" s="39"/>
      <c r="D6" s="39"/>
      <c r="E6" s="39"/>
      <c r="F6" s="39"/>
    </row>
    <row r="8" spans="1:7">
      <c r="B8" s="41" t="s">
        <v>231</v>
      </c>
      <c r="C8" s="41" t="s">
        <v>235</v>
      </c>
      <c r="D8" s="41" t="s">
        <v>170</v>
      </c>
      <c r="E8" s="41" t="s">
        <v>190</v>
      </c>
      <c r="F8" s="42" t="s">
        <v>81</v>
      </c>
    </row>
    <row r="9" spans="1:7">
      <c r="B9" s="43" t="s">
        <v>96</v>
      </c>
      <c r="C9" s="43" t="str">
        <f>INDEX('investimento inicial'!$B:$B,MATCH(Viabilidade!$B9,'investimento inicial'!$A:$A,0))</f>
        <v>mensal</v>
      </c>
      <c r="D9" s="43" t="str">
        <f>IF(INDEX('investimento inicial'!$C:$C,MATCH(Viabilidade!$B9,'investimento inicial'!$A:$A,0))=0,"",INDEX('investimento inicial'!$C:$C,MATCH(Viabilidade!$B9,'investimento inicial'!$A:$A,0)))</f>
        <v>-</v>
      </c>
      <c r="E9" s="49" t="str">
        <f>INDEX('investimento inicial'!$D:$D,MATCH(Viabilidade!$B9,'investimento inicial'!$A:$A,0))</f>
        <v>-</v>
      </c>
      <c r="F9" s="44">
        <f>INDEX('investimento inicial'!$E:$E,MATCH(Viabilidade!$B9,'investimento inicial'!$A:$A,0))</f>
        <v>150</v>
      </c>
    </row>
    <row r="10" spans="1:7">
      <c r="B10" s="43" t="s">
        <v>95</v>
      </c>
      <c r="C10" s="43" t="str">
        <f>INDEX('investimento inicial'!$B:$B,MATCH(Viabilidade!$B10,'investimento inicial'!$A:$A,0))</f>
        <v>mensal</v>
      </c>
      <c r="D10" s="43" t="str">
        <f>IF(INDEX('investimento inicial'!$C:$C,MATCH(Viabilidade!$B10,'investimento inicial'!$A:$A,0))=0,"",INDEX('investimento inicial'!$C:$C,MATCH(Viabilidade!$B10,'investimento inicial'!$A:$A,0)))</f>
        <v>-</v>
      </c>
      <c r="E10" s="49" t="str">
        <f>INDEX('investimento inicial'!$D:$D,MATCH(Viabilidade!$B10,'investimento inicial'!$A:$A,0))</f>
        <v>-</v>
      </c>
      <c r="F10" s="44">
        <f>INDEX('investimento inicial'!$E:$E,MATCH(Viabilidade!$B10,'investimento inicial'!$A:$A,0))</f>
        <v>150</v>
      </c>
    </row>
    <row r="11" spans="1:7">
      <c r="B11" s="43" t="s">
        <v>97</v>
      </c>
      <c r="C11" s="43" t="str">
        <f>INDEX('investimento inicial'!$B:$B,MATCH(Viabilidade!$B11,'investimento inicial'!$A:$A,0))</f>
        <v>mensal</v>
      </c>
      <c r="D11" s="43" t="str">
        <f>IF(INDEX('investimento inicial'!$C:$C,MATCH(Viabilidade!$B11,'investimento inicial'!$A:$A,0))=0,"",INDEX('investimento inicial'!$C:$C,MATCH(Viabilidade!$B11,'investimento inicial'!$A:$A,0)))</f>
        <v>-</v>
      </c>
      <c r="E11" s="49" t="str">
        <f>INDEX('investimento inicial'!$D:$D,MATCH(Viabilidade!$B11,'investimento inicial'!$A:$A,0))</f>
        <v>-</v>
      </c>
      <c r="F11" s="44">
        <f>INDEX('investimento inicial'!$E:$E,MATCH(Viabilidade!$B11,'investimento inicial'!$A:$A,0))</f>
        <v>45</v>
      </c>
    </row>
    <row r="12" spans="1:7">
      <c r="B12" s="43" t="s">
        <v>110</v>
      </c>
      <c r="C12" s="43" t="str">
        <f>INDEX('investimento inicial'!$B:$B,MATCH(Viabilidade!$B12,'investimento inicial'!$A:$A,0))</f>
        <v>implantação</v>
      </c>
      <c r="D12" s="43" t="str">
        <f>IF(INDEX('investimento inicial'!$C:$C,MATCH(Viabilidade!$B12,'investimento inicial'!$A:$A,0))=0,"",INDEX('investimento inicial'!$C:$C,MATCH(Viabilidade!$B12,'investimento inicial'!$A:$A,0)))</f>
        <v>-</v>
      </c>
      <c r="E12" s="49" t="str">
        <f>INDEX('investimento inicial'!$D:$D,MATCH(Viabilidade!$B12,'investimento inicial'!$A:$A,0))</f>
        <v>-</v>
      </c>
      <c r="F12" s="44">
        <f>INDEX('investimento inicial'!$E:$E,MATCH(Viabilidade!$B12,'investimento inicial'!$A:$A,0))</f>
        <v>5200</v>
      </c>
    </row>
    <row r="13" spans="1:7">
      <c r="B13" s="43" t="s">
        <v>110</v>
      </c>
      <c r="C13" s="43" t="str">
        <f>INDEX('investimento inicial'!$B:$B,MATCH(Viabilidade!$B13,'investimento inicial'!$A:$A,0))</f>
        <v>implantação</v>
      </c>
      <c r="D13" s="43" t="str">
        <f>IF(INDEX('investimento inicial'!$C:$C,MATCH(Viabilidade!$B13,'investimento inicial'!$A:$A,0))=0,"",INDEX('investimento inicial'!$C:$C,MATCH(Viabilidade!$B13,'investimento inicial'!$A:$A,0)))</f>
        <v>-</v>
      </c>
      <c r="E13" s="49" t="str">
        <f>INDEX('investimento inicial'!$D:$D,MATCH(Viabilidade!$B13,'investimento inicial'!$A:$A,0))</f>
        <v>-</v>
      </c>
      <c r="F13" s="44">
        <f>INDEX('investimento inicial'!$E:$E,MATCH(Viabilidade!$B13,'investimento inicial'!$A:$A,0))</f>
        <v>5200</v>
      </c>
    </row>
    <row r="14" spans="1:7">
      <c r="B14" s="43" t="s">
        <v>112</v>
      </c>
      <c r="C14" s="43" t="str">
        <f>INDEX('investimento inicial'!$B:$B,MATCH(Viabilidade!$B14,'investimento inicial'!$A:$A,0))</f>
        <v>mensal</v>
      </c>
      <c r="D14" s="43" t="str">
        <f>IF(INDEX('investimento inicial'!$C:$C,MATCH(Viabilidade!$B14,'investimento inicial'!$A:$A,0))=0,"",INDEX('investimento inicial'!$C:$C,MATCH(Viabilidade!$B14,'investimento inicial'!$A:$A,0)))</f>
        <v>-</v>
      </c>
      <c r="E14" s="49" t="str">
        <f>INDEX('investimento inicial'!$D:$D,MATCH(Viabilidade!$B14,'investimento inicial'!$A:$A,0))</f>
        <v>-</v>
      </c>
      <c r="F14" s="44">
        <f>INDEX('investimento inicial'!$E:$E,MATCH(Viabilidade!$B14,'investimento inicial'!$A:$A,0))</f>
        <v>1000</v>
      </c>
    </row>
    <row r="15" spans="1:7">
      <c r="B15" s="43" t="s">
        <v>113</v>
      </c>
      <c r="C15" s="43" t="str">
        <f>INDEX('investimento inicial'!$B:$B,MATCH(Viabilidade!$B15,'investimento inicial'!$A:$A,0))</f>
        <v>mensal</v>
      </c>
      <c r="D15" s="43" t="str">
        <f>IF(INDEX('investimento inicial'!$C:$C,MATCH(Viabilidade!$B15,'investimento inicial'!$A:$A,0))=0,"",INDEX('investimento inicial'!$C:$C,MATCH(Viabilidade!$B15,'investimento inicial'!$A:$A,0)))</f>
        <v>ton</v>
      </c>
      <c r="E15" s="49">
        <f>INDEX('investimento inicial'!$D:$D,MATCH(Viabilidade!$B15,'investimento inicial'!$A:$A,0))</f>
        <v>5</v>
      </c>
      <c r="F15" s="44">
        <f>INDEX('investimento inicial'!$E:$E,MATCH(Viabilidade!$B15,'investimento inicial'!$A:$A,0))</f>
        <v>30000</v>
      </c>
    </row>
    <row r="16" spans="1:7">
      <c r="B16" s="43" t="s">
        <v>114</v>
      </c>
      <c r="C16" s="43" t="str">
        <f>INDEX('investimento inicial'!$B:$B,MATCH(Viabilidade!$B16,'investimento inicial'!$A:$A,0))</f>
        <v>mensal</v>
      </c>
      <c r="D16" s="43" t="str">
        <f>IF(INDEX('investimento inicial'!$C:$C,MATCH(Viabilidade!$B16,'investimento inicial'!$A:$A,0))=0,"",INDEX('investimento inicial'!$C:$C,MATCH(Viabilidade!$B16,'investimento inicial'!$A:$A,0)))</f>
        <v>potes</v>
      </c>
      <c r="E16" s="49">
        <f>INDEX('investimento inicial'!$D:$D,MATCH(Viabilidade!$B16,'investimento inicial'!$A:$A,0))</f>
        <v>5</v>
      </c>
      <c r="F16" s="44">
        <f>INDEX('investimento inicial'!$E:$E,MATCH(Viabilidade!$B16,'investimento inicial'!$A:$A,0))</f>
        <v>1750</v>
      </c>
    </row>
    <row r="17" spans="2:6">
      <c r="B17" s="43" t="s">
        <v>115</v>
      </c>
      <c r="C17" s="43" t="str">
        <f>INDEX('investimento inicial'!$B:$B,MATCH(Viabilidade!$B17,'investimento inicial'!$A:$A,0))</f>
        <v>mensal</v>
      </c>
      <c r="D17" s="43" t="str">
        <f>IF(INDEX('investimento inicial'!$C:$C,MATCH(Viabilidade!$B17,'investimento inicial'!$A:$A,0))=0,"",INDEX('investimento inicial'!$C:$C,MATCH(Viabilidade!$B17,'investimento inicial'!$A:$A,0)))</f>
        <v>kg</v>
      </c>
      <c r="E17" s="49">
        <f>INDEX('investimento inicial'!$D:$D,MATCH(Viabilidade!$B17,'investimento inicial'!$A:$A,0))</f>
        <v>41.626044</v>
      </c>
      <c r="F17" s="44">
        <f>INDEX('investimento inicial'!$E:$E,MATCH(Viabilidade!$B17,'investimento inicial'!$A:$A,0))</f>
        <v>686.82972600000005</v>
      </c>
    </row>
    <row r="18" spans="2:6">
      <c r="B18" s="43" t="s">
        <v>116</v>
      </c>
      <c r="C18" s="43" t="str">
        <f>INDEX('investimento inicial'!$B:$B,MATCH(Viabilidade!$B18,'investimento inicial'!$A:$A,0))</f>
        <v>mensal</v>
      </c>
      <c r="D18" s="43" t="str">
        <f>IF(INDEX('investimento inicial'!$C:$C,MATCH(Viabilidade!$B18,'investimento inicial'!$A:$A,0))=0,"",INDEX('investimento inicial'!$C:$C,MATCH(Viabilidade!$B18,'investimento inicial'!$A:$A,0)))</f>
        <v>un</v>
      </c>
      <c r="E18" s="49">
        <f>INDEX('investimento inicial'!$D:$D,MATCH(Viabilidade!$B18,'investimento inicial'!$A:$A,0))</f>
        <v>7884.6153846153848</v>
      </c>
      <c r="F18" s="44">
        <f>INDEX('investimento inicial'!$E:$E,MATCH(Viabilidade!$B18,'investimento inicial'!$A:$A,0))</f>
        <v>340.85192307692307</v>
      </c>
    </row>
    <row r="19" spans="2:6">
      <c r="B19" s="43" t="s">
        <v>117</v>
      </c>
      <c r="C19" s="43" t="str">
        <f>INDEX('investimento inicial'!$B:$B,MATCH(Viabilidade!$B19,'investimento inicial'!$A:$A,0))</f>
        <v>mensal</v>
      </c>
      <c r="D19" s="43" t="str">
        <f>IF(INDEX('investimento inicial'!$C:$C,MATCH(Viabilidade!$B19,'investimento inicial'!$A:$A,0))=0,"",INDEX('investimento inicial'!$C:$C,MATCH(Viabilidade!$B19,'investimento inicial'!$A:$A,0)))</f>
        <v>-</v>
      </c>
      <c r="E19" s="49">
        <f>INDEX('investimento inicial'!$D:$D,MATCH(Viabilidade!$B19,'investimento inicial'!$A:$A,0))</f>
        <v>0</v>
      </c>
      <c r="F19" s="44">
        <f>INDEX('investimento inicial'!$E:$E,MATCH(Viabilidade!$B19,'investimento inicial'!$A:$A,0))</f>
        <v>0</v>
      </c>
    </row>
    <row r="20" spans="2:6">
      <c r="B20" s="43" t="s">
        <v>246</v>
      </c>
      <c r="C20" s="43" t="str">
        <f>INDEX('investimento inicial'!$B:$B,MATCH(Viabilidade!$B20,'investimento inicial'!$A:$A,0))</f>
        <v>mensal</v>
      </c>
      <c r="D20" s="43" t="str">
        <f>IF(INDEX('investimento inicial'!$C:$C,MATCH(Viabilidade!$B20,'investimento inicial'!$A:$A,0))=0,"",INDEX('investimento inicial'!$C:$C,MATCH(Viabilidade!$B20,'investimento inicial'!$A:$A,0)))</f>
        <v>kg</v>
      </c>
      <c r="E20" s="49">
        <f>INDEX('investimento inicial'!$D:$D,MATCH(Viabilidade!$B20,'investimento inicial'!$A:$A,0))</f>
        <v>100</v>
      </c>
      <c r="F20" s="44">
        <f>INDEX('investimento inicial'!$E:$E,MATCH(Viabilidade!$B20,'investimento inicial'!$A:$A,0))</f>
        <v>807.7</v>
      </c>
    </row>
    <row r="21" spans="2:6">
      <c r="B21" s="43" t="s">
        <v>248</v>
      </c>
      <c r="C21" s="43" t="str">
        <f>INDEX('investimento inicial'!$B:$B,MATCH(Viabilidade!$B21,'investimento inicial'!$A:$A,0))</f>
        <v>mensal</v>
      </c>
      <c r="D21" s="43" t="str">
        <f>IF(INDEX('investimento inicial'!$C:$C,MATCH(Viabilidade!$B21,'investimento inicial'!$A:$A,0))=0,"",INDEX('investimento inicial'!$C:$C,MATCH(Viabilidade!$B21,'investimento inicial'!$A:$A,0)))</f>
        <v>-</v>
      </c>
      <c r="E21" s="49">
        <f>INDEX('investimento inicial'!$D:$D,MATCH(Viabilidade!$B21,'investimento inicial'!$A:$A,0))</f>
        <v>0</v>
      </c>
      <c r="F21" s="44">
        <f>INDEX('investimento inicial'!$E:$E,MATCH(Viabilidade!$B21,'investimento inicial'!$A:$A,0))</f>
        <v>0</v>
      </c>
    </row>
    <row r="22" spans="2:6">
      <c r="B22" s="43" t="s">
        <v>139</v>
      </c>
      <c r="C22" s="43" t="str">
        <f>INDEX('investimento inicial'!$B:$B,MATCH(Viabilidade!$B22,'investimento inicial'!$A:$A,0))</f>
        <v>mensal</v>
      </c>
      <c r="D22" s="43" t="str">
        <f>IF(INDEX('investimento inicial'!$C:$C,MATCH(Viabilidade!$B22,'investimento inicial'!$A:$A,0))=0,"",INDEX('investimento inicial'!$C:$C,MATCH(Viabilidade!$B22,'investimento inicial'!$A:$A,0)))</f>
        <v>-</v>
      </c>
      <c r="E22" s="49">
        <f>INDEX('investimento inicial'!$D:$D,MATCH(Viabilidade!$B22,'investimento inicial'!$A:$A,0))</f>
        <v>0</v>
      </c>
      <c r="F22" s="44">
        <f>INDEX('investimento inicial'!$E:$E,MATCH(Viabilidade!$B22,'investimento inicial'!$A:$A,0))</f>
        <v>64</v>
      </c>
    </row>
    <row r="23" spans="2:6">
      <c r="B23" s="43" t="s">
        <v>140</v>
      </c>
      <c r="C23" s="43" t="str">
        <f>INDEX('investimento inicial'!$B:$B,MATCH(Viabilidade!$B23,'investimento inicial'!$A:$A,0))</f>
        <v>único</v>
      </c>
      <c r="D23" s="43" t="str">
        <f>IF(INDEX('investimento inicial'!$C:$C,MATCH(Viabilidade!$B23,'investimento inicial'!$A:$A,0))=0,"",INDEX('investimento inicial'!$C:$C,MATCH(Viabilidade!$B23,'investimento inicial'!$A:$A,0)))</f>
        <v>-</v>
      </c>
      <c r="E23" s="49">
        <f>INDEX('investimento inicial'!$D:$D,MATCH(Viabilidade!$B23,'investimento inicial'!$A:$A,0))</f>
        <v>0</v>
      </c>
      <c r="F23" s="44">
        <f>INDEX('investimento inicial'!$E:$E,MATCH(Viabilidade!$B23,'investimento inicial'!$A:$A,0))</f>
        <v>221</v>
      </c>
    </row>
    <row r="24" spans="2:6">
      <c r="B24" s="43" t="s">
        <v>141</v>
      </c>
      <c r="C24" s="43" t="str">
        <f>INDEX('investimento inicial'!$B:$B,MATCH(Viabilidade!$B24,'investimento inicial'!$A:$A,0))</f>
        <v>único</v>
      </c>
      <c r="D24" s="43" t="str">
        <f>IF(INDEX('investimento inicial'!$C:$C,MATCH(Viabilidade!$B24,'investimento inicial'!$A:$A,0))=0,"",INDEX('investimento inicial'!$C:$C,MATCH(Viabilidade!$B24,'investimento inicial'!$A:$A,0)))</f>
        <v>un</v>
      </c>
      <c r="E24" s="49">
        <f>INDEX('investimento inicial'!$D:$D,MATCH(Viabilidade!$B24,'investimento inicial'!$A:$A,0))</f>
        <v>1</v>
      </c>
      <c r="F24" s="44">
        <f>INDEX('investimento inicial'!$E:$E,MATCH(Viabilidade!$B24,'investimento inicial'!$A:$A,0))</f>
        <v>12000</v>
      </c>
    </row>
    <row r="25" spans="2:6">
      <c r="B25" s="43" t="s">
        <v>142</v>
      </c>
      <c r="C25" s="43" t="str">
        <f>INDEX('investimento inicial'!$B:$B,MATCH(Viabilidade!$B25,'investimento inicial'!$A:$A,0))</f>
        <v>único</v>
      </c>
      <c r="D25" s="43" t="str">
        <f>IF(INDEX('investimento inicial'!$C:$C,MATCH(Viabilidade!$B25,'investimento inicial'!$A:$A,0))=0,"",INDEX('investimento inicial'!$C:$C,MATCH(Viabilidade!$B25,'investimento inicial'!$A:$A,0)))</f>
        <v>un</v>
      </c>
      <c r="E25" s="49">
        <f>INDEX('investimento inicial'!$D:$D,MATCH(Viabilidade!$B25,'investimento inicial'!$A:$A,0))</f>
        <v>1</v>
      </c>
      <c r="F25" s="44">
        <f>INDEX('investimento inicial'!$E:$E,MATCH(Viabilidade!$B25,'investimento inicial'!$A:$A,0))</f>
        <v>12000</v>
      </c>
    </row>
    <row r="26" spans="2:6">
      <c r="B26" s="43" t="s">
        <v>251</v>
      </c>
      <c r="C26" s="43" t="str">
        <f>INDEX('investimento inicial'!$B:$B,MATCH(Viabilidade!$B26,'investimento inicial'!$A:$A,0))</f>
        <v>único</v>
      </c>
      <c r="D26" s="43" t="str">
        <f>IF(INDEX('investimento inicial'!$C:$C,MATCH(Viabilidade!$B26,'investimento inicial'!$A:$A,0))=0,"",INDEX('investimento inicial'!$C:$C,MATCH(Viabilidade!$B26,'investimento inicial'!$A:$A,0)))</f>
        <v>un</v>
      </c>
      <c r="E26" s="49">
        <f>INDEX('investimento inicial'!$D:$D,MATCH(Viabilidade!$B26,'investimento inicial'!$A:$A,0))</f>
        <v>1</v>
      </c>
      <c r="F26" s="44">
        <f>INDEX('investimento inicial'!$E:$E,MATCH(Viabilidade!$B26,'investimento inicial'!$A:$A,0))</f>
        <v>2500</v>
      </c>
    </row>
    <row r="27" spans="2:6">
      <c r="B27" s="43" t="s">
        <v>143</v>
      </c>
      <c r="C27" s="43" t="str">
        <f>INDEX('investimento inicial'!$B:$B,MATCH(Viabilidade!$B27,'investimento inicial'!$A:$A,0))</f>
        <v>único</v>
      </c>
      <c r="D27" s="43" t="str">
        <f>IF(INDEX('investimento inicial'!$C:$C,MATCH(Viabilidade!$B27,'investimento inicial'!$A:$A,0))=0,"",INDEX('investimento inicial'!$C:$C,MATCH(Viabilidade!$B27,'investimento inicial'!$A:$A,0)))</f>
        <v>un</v>
      </c>
      <c r="E27" s="49">
        <f>INDEX('investimento inicial'!$D:$D,MATCH(Viabilidade!$B27,'investimento inicial'!$A:$A,0))</f>
        <v>1</v>
      </c>
      <c r="F27" s="44">
        <f>INDEX('investimento inicial'!$E:$E,MATCH(Viabilidade!$B27,'investimento inicial'!$A:$A,0))</f>
        <v>30000</v>
      </c>
    </row>
    <row r="28" spans="2:6">
      <c r="B28" s="43" t="s">
        <v>144</v>
      </c>
      <c r="C28" s="43" t="str">
        <f>INDEX('investimento inicial'!$B:$B,MATCH(Viabilidade!$B28,'investimento inicial'!$A:$A,0))</f>
        <v>único</v>
      </c>
      <c r="D28" s="43" t="str">
        <f>IF(INDEX('investimento inicial'!$C:$C,MATCH(Viabilidade!$B28,'investimento inicial'!$A:$A,0))=0,"",INDEX('investimento inicial'!$C:$C,MATCH(Viabilidade!$B28,'investimento inicial'!$A:$A,0)))</f>
        <v>un</v>
      </c>
      <c r="E28" s="49">
        <f>INDEX('investimento inicial'!$D:$D,MATCH(Viabilidade!$B28,'investimento inicial'!$A:$A,0))</f>
        <v>2</v>
      </c>
      <c r="F28" s="44">
        <f>INDEX('investimento inicial'!$E:$E,MATCH(Viabilidade!$B28,'investimento inicial'!$A:$A,0))</f>
        <v>1000</v>
      </c>
    </row>
    <row r="29" spans="2:6">
      <c r="B29" s="43" t="s">
        <v>145</v>
      </c>
      <c r="C29" s="43" t="str">
        <f>INDEX('investimento inicial'!$B:$B,MATCH(Viabilidade!$B29,'investimento inicial'!$A:$A,0))</f>
        <v>único</v>
      </c>
      <c r="D29" s="43" t="str">
        <f>IF(INDEX('investimento inicial'!$C:$C,MATCH(Viabilidade!$B29,'investimento inicial'!$A:$A,0))=0,"",INDEX('investimento inicial'!$C:$C,MATCH(Viabilidade!$B29,'investimento inicial'!$A:$A,0)))</f>
        <v>un</v>
      </c>
      <c r="E29" s="49">
        <f>INDEX('investimento inicial'!$D:$D,MATCH(Viabilidade!$B29,'investimento inicial'!$A:$A,0))</f>
        <v>1</v>
      </c>
      <c r="F29" s="44">
        <f>INDEX('investimento inicial'!$E:$E,MATCH(Viabilidade!$B29,'investimento inicial'!$A:$A,0))</f>
        <v>10000</v>
      </c>
    </row>
    <row r="30" spans="2:6">
      <c r="B30" s="43" t="s">
        <v>146</v>
      </c>
      <c r="C30" s="43" t="str">
        <f>INDEX('investimento inicial'!$B:$B,MATCH(Viabilidade!$B30,'investimento inicial'!$A:$A,0))</f>
        <v>único</v>
      </c>
      <c r="D30" s="43" t="str">
        <f>IF(INDEX('investimento inicial'!$C:$C,MATCH(Viabilidade!$B30,'investimento inicial'!$A:$A,0))=0,"",INDEX('investimento inicial'!$C:$C,MATCH(Viabilidade!$B30,'investimento inicial'!$A:$A,0)))</f>
        <v>un</v>
      </c>
      <c r="E30" s="49">
        <f>INDEX('investimento inicial'!$D:$D,MATCH(Viabilidade!$B30,'investimento inicial'!$A:$A,0))</f>
        <v>1</v>
      </c>
      <c r="F30" s="44">
        <f>INDEX('investimento inicial'!$E:$E,MATCH(Viabilidade!$B30,'investimento inicial'!$A:$A,0))</f>
        <v>350</v>
      </c>
    </row>
    <row r="31" spans="2:6">
      <c r="B31" s="43" t="s">
        <v>147</v>
      </c>
      <c r="C31" s="43" t="str">
        <f>INDEX('investimento inicial'!$B:$B,MATCH(Viabilidade!$B31,'investimento inicial'!$A:$A,0))</f>
        <v>único</v>
      </c>
      <c r="D31" s="43" t="str">
        <f>IF(INDEX('investimento inicial'!$C:$C,MATCH(Viabilidade!$B31,'investimento inicial'!$A:$A,0))=0,"",INDEX('investimento inicial'!$C:$C,MATCH(Viabilidade!$B31,'investimento inicial'!$A:$A,0)))</f>
        <v>un</v>
      </c>
      <c r="E31" s="49">
        <f>INDEX('investimento inicial'!$D:$D,MATCH(Viabilidade!$B31,'investimento inicial'!$A:$A,0))</f>
        <v>1</v>
      </c>
      <c r="F31" s="44">
        <f>INDEX('investimento inicial'!$E:$E,MATCH(Viabilidade!$B31,'investimento inicial'!$A:$A,0))</f>
        <v>800</v>
      </c>
    </row>
    <row r="32" spans="2:6">
      <c r="B32" s="43" t="s">
        <v>148</v>
      </c>
      <c r="C32" s="43">
        <f>INDEX('investimento inicial'!$B:$B,MATCH(Viabilidade!$B32,'investimento inicial'!$A:$A,0))</f>
        <v>0</v>
      </c>
      <c r="D32" s="43" t="str">
        <f>IF(INDEX('investimento inicial'!$C:$C,MATCH(Viabilidade!$B32,'investimento inicial'!$A:$A,0))=0,"",INDEX('investimento inicial'!$C:$C,MATCH(Viabilidade!$B32,'investimento inicial'!$A:$A,0)))</f>
        <v>-</v>
      </c>
      <c r="E32" s="49">
        <f>INDEX('investimento inicial'!$D:$D,MATCH(Viabilidade!$B32,'investimento inicial'!$A:$A,0))</f>
        <v>0</v>
      </c>
      <c r="F32" s="44">
        <f>INDEX('investimento inicial'!$E:$E,MATCH(Viabilidade!$B32,'investimento inicial'!$A:$A,0))</f>
        <v>1500</v>
      </c>
    </row>
    <row r="33" spans="2:6">
      <c r="B33" s="43" t="s">
        <v>155</v>
      </c>
      <c r="C33" s="43" t="str">
        <f>INDEX('investimento inicial'!$B:$B,MATCH(Viabilidade!$B33,'investimento inicial'!$A:$A,0))</f>
        <v>único</v>
      </c>
      <c r="D33" s="43" t="str">
        <f>IF(INDEX('investimento inicial'!$C:$C,MATCH(Viabilidade!$B33,'investimento inicial'!$A:$A,0))=0,"",INDEX('investimento inicial'!$C:$C,MATCH(Viabilidade!$B33,'investimento inicial'!$A:$A,0)))</f>
        <v>-</v>
      </c>
      <c r="E33" s="49" t="str">
        <f>INDEX('investimento inicial'!$D:$D,MATCH(Viabilidade!$B33,'investimento inicial'!$A:$A,0))</f>
        <v>-</v>
      </c>
      <c r="F33" s="44">
        <f>INDEX('investimento inicial'!$E:$E,MATCH(Viabilidade!$B33,'investimento inicial'!$A:$A,0))</f>
        <v>2000</v>
      </c>
    </row>
    <row r="34" spans="2:6">
      <c r="B34" s="43" t="s">
        <v>26</v>
      </c>
      <c r="C34" s="43" t="str">
        <f>INDEX('investimento inicial'!$B:$B,MATCH(Viabilidade!$B34,'investimento inicial'!$A:$A,0))</f>
        <v>mensal</v>
      </c>
      <c r="D34" s="43" t="str">
        <f>IF(INDEX('investimento inicial'!$C:$C,MATCH(Viabilidade!$B34,'investimento inicial'!$A:$A,0))=0,"",INDEX('investimento inicial'!$C:$C,MATCH(Viabilidade!$B34,'investimento inicial'!$A:$A,0)))</f>
        <v>-</v>
      </c>
      <c r="E34" s="49" t="str">
        <f>INDEX('investimento inicial'!$D:$D,MATCH(Viabilidade!$B34,'investimento inicial'!$A:$A,0))</f>
        <v>-</v>
      </c>
      <c r="F34" s="44">
        <f>INDEX('investimento inicial'!$E:$E,MATCH(Viabilidade!$B34,'investimento inicial'!$A:$A,0))</f>
        <v>1500</v>
      </c>
    </row>
    <row r="35" spans="2:6">
      <c r="B35" s="43" t="s">
        <v>252</v>
      </c>
      <c r="C35" s="43" t="str">
        <f>INDEX('investimento inicial'!$B:$B,MATCH(Viabilidade!$B35,'investimento inicial'!$A:$A,0))</f>
        <v>mensal</v>
      </c>
      <c r="D35" s="43" t="str">
        <f>IF(INDEX('investimento inicial'!$C:$C,MATCH(Viabilidade!$B35,'investimento inicial'!$A:$A,0))=0,"",INDEX('investimento inicial'!$C:$C,MATCH(Viabilidade!$B35,'investimento inicial'!$A:$A,0)))</f>
        <v>-</v>
      </c>
      <c r="E35" s="49" t="str">
        <f>INDEX('investimento inicial'!$D:$D,MATCH(Viabilidade!$B35,'investimento inicial'!$A:$A,0))</f>
        <v>-</v>
      </c>
      <c r="F35" s="44">
        <f>INDEX('investimento inicial'!$E:$E,MATCH(Viabilidade!$B35,'investimento inicial'!$A:$A,0))</f>
        <v>60</v>
      </c>
    </row>
    <row r="36" spans="2:6">
      <c r="E36" s="38" t="s">
        <v>250</v>
      </c>
      <c r="F36" s="40">
        <f>SUM(F9:F31)</f>
        <v>114265.38164907692</v>
      </c>
    </row>
    <row r="56" spans="2:6">
      <c r="B56" s="39" t="s">
        <v>233</v>
      </c>
      <c r="C56" s="39"/>
      <c r="D56" s="39"/>
      <c r="E56" s="39"/>
      <c r="F56" s="39"/>
    </row>
    <row r="58" spans="2:6">
      <c r="B58" s="41" t="s">
        <v>231</v>
      </c>
      <c r="C58" s="41"/>
      <c r="D58" s="41"/>
      <c r="E58" s="41"/>
      <c r="F58" s="42" t="s">
        <v>81</v>
      </c>
    </row>
    <row r="59" spans="2:6">
      <c r="B59" s="43" t="s">
        <v>96</v>
      </c>
      <c r="C59" s="43"/>
      <c r="D59" s="43"/>
      <c r="E59" s="43"/>
      <c r="F59" s="44">
        <f>INDEX('investimento inicial'!$E:$E,MATCH(Viabilidade!$B59,'investimento inicial'!$A:$A,0))</f>
        <v>150</v>
      </c>
    </row>
    <row r="60" spans="2:6">
      <c r="B60" s="43" t="s">
        <v>95</v>
      </c>
      <c r="C60" s="43"/>
      <c r="D60" s="43"/>
      <c r="E60" s="43"/>
      <c r="F60" s="44">
        <f>INDEX('investimento inicial'!$E:$E,MATCH(Viabilidade!$B60,'investimento inicial'!$A:$A,0))</f>
        <v>150</v>
      </c>
    </row>
    <row r="61" spans="2:6">
      <c r="B61" s="43" t="s">
        <v>97</v>
      </c>
      <c r="C61" s="43"/>
      <c r="D61" s="43"/>
      <c r="E61" s="43"/>
      <c r="F61" s="44">
        <f>INDEX('investimento inicial'!$E:$E,MATCH(Viabilidade!$B61,'investimento inicial'!$A:$A,0))</f>
        <v>45</v>
      </c>
    </row>
    <row r="62" spans="2:6">
      <c r="B62" s="43" t="s">
        <v>255</v>
      </c>
      <c r="C62" s="43"/>
      <c r="D62" s="43"/>
      <c r="E62" s="43"/>
      <c r="F62" s="44">
        <f>INDEX('investimento inicial'!$E:$E,MATCH(Viabilidade!$B62,'investimento inicial'!$A:$A,0))</f>
        <v>418</v>
      </c>
    </row>
    <row r="63" spans="2:6">
      <c r="B63" s="43" t="s">
        <v>112</v>
      </c>
      <c r="C63" s="43"/>
      <c r="D63" s="43"/>
      <c r="E63" s="43"/>
      <c r="F63" s="44">
        <f>INDEX('investimento inicial'!$E:$E,MATCH(Viabilidade!$B63,'investimento inicial'!$A:$A,0))</f>
        <v>1000</v>
      </c>
    </row>
    <row r="64" spans="2:6">
      <c r="B64" s="43" t="s">
        <v>113</v>
      </c>
      <c r="C64" s="43"/>
      <c r="D64" s="43"/>
      <c r="E64" s="43"/>
      <c r="F64" s="44">
        <f>INDEX('investimento inicial'!$E:$E,MATCH(Viabilidade!$B64,'investimento inicial'!$A:$A,0))</f>
        <v>30000</v>
      </c>
    </row>
    <row r="65" spans="2:6">
      <c r="B65" s="43" t="s">
        <v>114</v>
      </c>
      <c r="C65" s="43"/>
      <c r="D65" s="43"/>
      <c r="E65" s="43"/>
      <c r="F65" s="44">
        <f>INDEX('investimento inicial'!$E:$E,MATCH(Viabilidade!$B65,'investimento inicial'!$A:$A,0))</f>
        <v>1750</v>
      </c>
    </row>
    <row r="66" spans="2:6">
      <c r="B66" s="43" t="s">
        <v>115</v>
      </c>
      <c r="C66" s="43"/>
      <c r="D66" s="43"/>
      <c r="E66" s="43"/>
      <c r="F66" s="44">
        <f>INDEX('investimento inicial'!$E:$E,MATCH(Viabilidade!$B66,'investimento inicial'!$A:$A,0))</f>
        <v>686.82972600000005</v>
      </c>
    </row>
    <row r="67" spans="2:6">
      <c r="B67" s="43" t="s">
        <v>116</v>
      </c>
      <c r="C67" s="43"/>
      <c r="D67" s="43"/>
      <c r="E67" s="43"/>
      <c r="F67" s="44">
        <f>INDEX('investimento inicial'!$E:$E,MATCH(Viabilidade!$B67,'investimento inicial'!$A:$A,0))</f>
        <v>340.85192307692307</v>
      </c>
    </row>
    <row r="68" spans="2:6">
      <c r="B68" s="43" t="s">
        <v>117</v>
      </c>
      <c r="C68" s="43"/>
      <c r="D68" s="43"/>
      <c r="E68" s="43"/>
      <c r="F68" s="44">
        <f>INDEX('investimento inicial'!$E:$E,MATCH(Viabilidade!$B68,'investimento inicial'!$A:$A,0))</f>
        <v>0</v>
      </c>
    </row>
    <row r="69" spans="2:6">
      <c r="B69" s="43" t="s">
        <v>246</v>
      </c>
      <c r="C69" s="43"/>
      <c r="D69" s="43"/>
      <c r="E69" s="43"/>
      <c r="F69" s="44">
        <f>INDEX('investimento inicial'!$E:$E,MATCH(Viabilidade!$B69,'investimento inicial'!$A:$A,0))</f>
        <v>807.7</v>
      </c>
    </row>
    <row r="70" spans="2:6">
      <c r="B70" s="43" t="s">
        <v>248</v>
      </c>
      <c r="C70" s="43"/>
      <c r="D70" s="43"/>
      <c r="E70" s="43"/>
      <c r="F70" s="44">
        <f>INDEX('investimento inicial'!$E:$E,MATCH(Viabilidade!$B70,'investimento inicial'!$A:$A,0))</f>
        <v>0</v>
      </c>
    </row>
    <row r="71" spans="2:6">
      <c r="B71" s="43" t="s">
        <v>139</v>
      </c>
      <c r="C71" s="43"/>
      <c r="D71" s="43"/>
      <c r="E71" s="43"/>
      <c r="F71" s="44">
        <f>INDEX('investimento inicial'!$E:$E,MATCH(Viabilidade!$B71,'investimento inicial'!$A:$A,0))</f>
        <v>64</v>
      </c>
    </row>
    <row r="72" spans="2:6">
      <c r="B72" s="43" t="s">
        <v>26</v>
      </c>
      <c r="C72" s="43"/>
      <c r="D72" s="43"/>
      <c r="E72" s="43"/>
      <c r="F72" s="44">
        <f>INDEX('investimento inicial'!$E:$E,MATCH(Viabilidade!$B72,'investimento inicial'!$A:$A,0))</f>
        <v>1500</v>
      </c>
    </row>
    <row r="73" spans="2:6">
      <c r="B73" s="43" t="s">
        <v>252</v>
      </c>
      <c r="C73" s="43"/>
      <c r="D73" s="43"/>
      <c r="E73" s="43"/>
      <c r="F73" s="44">
        <f>INDEX('investimento inicial'!$E:$E,MATCH(Viabilidade!$B73,'investimento inicial'!$A:$A,0))</f>
        <v>60</v>
      </c>
    </row>
    <row r="74" spans="2:6">
      <c r="B74" s="44" t="s">
        <v>254</v>
      </c>
      <c r="C74" s="44"/>
      <c r="D74" s="44"/>
      <c r="E74" s="44"/>
      <c r="F74" s="44">
        <f>INDEX('investimento inicial'!$E:$E,MATCH(Viabilidade!$B74,'investimento inicial'!$A:$A,0))</f>
        <v>200</v>
      </c>
    </row>
    <row r="75" spans="2:6">
      <c r="B75" s="50"/>
      <c r="C75" s="50"/>
      <c r="D75" s="50"/>
      <c r="E75" s="50" t="s">
        <v>250</v>
      </c>
      <c r="F75" s="51">
        <f>SUM(F59:F74)</f>
        <v>37172.381649076924</v>
      </c>
    </row>
    <row r="76" spans="2:6">
      <c r="B76" s="50"/>
      <c r="C76" s="50"/>
      <c r="D76" s="50"/>
      <c r="E76" s="50"/>
      <c r="F76" s="51"/>
    </row>
    <row r="77" spans="2:6">
      <c r="B77" s="50"/>
      <c r="C77" s="50"/>
      <c r="D77" s="50"/>
      <c r="E77" s="50"/>
      <c r="F77" s="51"/>
    </row>
    <row r="78" spans="2:6">
      <c r="B78" s="39" t="s">
        <v>259</v>
      </c>
      <c r="C78" s="39"/>
      <c r="D78" s="39"/>
      <c r="E78" s="39"/>
      <c r="F78" s="39"/>
    </row>
    <row r="79" spans="2:6">
      <c r="B79" s="38" t="s">
        <v>256</v>
      </c>
      <c r="D79" s="38">
        <f>'investimento inicial'!D8</f>
        <v>5</v>
      </c>
    </row>
    <row r="80" spans="2:6">
      <c r="B80" s="41" t="s">
        <v>231</v>
      </c>
      <c r="C80" s="41"/>
      <c r="D80" s="41"/>
      <c r="E80" s="41"/>
      <c r="F80" s="42" t="s">
        <v>81</v>
      </c>
    </row>
    <row r="81" spans="2:6">
      <c r="B81" s="43" t="s">
        <v>96</v>
      </c>
      <c r="C81" s="43"/>
      <c r="D81" s="43"/>
      <c r="E81" s="43"/>
      <c r="F81" s="44">
        <f>INDEX('investimento inicial'!E:E,MATCH(Viabilidade!B81,'investimento inicial'!A:A,0))</f>
        <v>150</v>
      </c>
    </row>
    <row r="82" spans="2:6">
      <c r="B82" s="43" t="s">
        <v>95</v>
      </c>
      <c r="C82" s="43"/>
      <c r="D82" s="43"/>
      <c r="E82" s="43"/>
      <c r="F82" s="44">
        <f>INDEX('investimento inicial'!E:E,MATCH(Viabilidade!B82,'investimento inicial'!A:A,0))</f>
        <v>150</v>
      </c>
    </row>
    <row r="83" spans="2:6">
      <c r="B83" s="43" t="s">
        <v>113</v>
      </c>
      <c r="C83" s="43"/>
      <c r="D83" s="43"/>
      <c r="E83" s="43"/>
      <c r="F83" s="44">
        <f>INDEX('investimento inicial'!E:E,MATCH(Viabilidade!B83,'investimento inicial'!A:A,0))</f>
        <v>30000</v>
      </c>
    </row>
    <row r="84" spans="2:6">
      <c r="B84" s="43" t="s">
        <v>114</v>
      </c>
      <c r="C84" s="43"/>
      <c r="D84" s="43"/>
      <c r="E84" s="43"/>
      <c r="F84" s="44">
        <f>INDEX('investimento inicial'!E:E,MATCH(Viabilidade!B84,'investimento inicial'!A:A,0))</f>
        <v>1750</v>
      </c>
    </row>
    <row r="85" spans="2:6">
      <c r="B85" s="43" t="s">
        <v>115</v>
      </c>
      <c r="C85" s="43"/>
      <c r="D85" s="43"/>
      <c r="E85" s="43"/>
      <c r="F85" s="44">
        <f>INDEX('investimento inicial'!E:E,MATCH(Viabilidade!B85,'investimento inicial'!A:A,0))</f>
        <v>686.82972600000005</v>
      </c>
    </row>
    <row r="86" spans="2:6">
      <c r="B86" s="43" t="s">
        <v>116</v>
      </c>
      <c r="C86" s="43"/>
      <c r="D86" s="43"/>
      <c r="E86" s="43"/>
      <c r="F86" s="44">
        <f>INDEX('investimento inicial'!E:E,MATCH(Viabilidade!B86,'investimento inicial'!A:A,0))</f>
        <v>340.85192307692307</v>
      </c>
    </row>
    <row r="87" spans="2:6">
      <c r="B87" s="43" t="s">
        <v>117</v>
      </c>
      <c r="C87" s="43"/>
      <c r="D87" s="43"/>
      <c r="E87" s="43"/>
      <c r="F87" s="44">
        <f>INDEX('investimento inicial'!E:E,MATCH(Viabilidade!B87,'investimento inicial'!A:A,0))</f>
        <v>0</v>
      </c>
    </row>
    <row r="88" spans="2:6">
      <c r="B88" s="43" t="s">
        <v>246</v>
      </c>
      <c r="C88" s="43"/>
      <c r="D88" s="43"/>
      <c r="E88" s="43"/>
      <c r="F88" s="44">
        <f>INDEX('investimento inicial'!E:E,MATCH(Viabilidade!B88,'investimento inicial'!A:A,0))</f>
        <v>807.7</v>
      </c>
    </row>
    <row r="89" spans="2:6">
      <c r="B89" s="43" t="s">
        <v>248</v>
      </c>
      <c r="C89" s="43"/>
      <c r="D89" s="43"/>
      <c r="E89" s="43"/>
      <c r="F89" s="44">
        <f>INDEX('investimento inicial'!E:E,MATCH(Viabilidade!B89,'investimento inicial'!A:A,0))</f>
        <v>0</v>
      </c>
    </row>
    <row r="90" spans="2:6">
      <c r="B90" s="43" t="s">
        <v>112</v>
      </c>
      <c r="C90" s="43"/>
      <c r="D90" s="43"/>
      <c r="E90" s="43"/>
      <c r="F90" s="44">
        <f>INDEX('investimento inicial'!E:E,MATCH(Viabilidade!B90,'investimento inicial'!A:A,0))</f>
        <v>1000</v>
      </c>
    </row>
    <row r="91" spans="2:6">
      <c r="E91" s="38" t="s">
        <v>250</v>
      </c>
      <c r="F91" s="40">
        <f>SUM(F83:F90)</f>
        <v>34585.381649076917</v>
      </c>
    </row>
    <row r="93" spans="2:6">
      <c r="B93" s="39" t="s">
        <v>234</v>
      </c>
      <c r="C93" s="39"/>
      <c r="D93" s="39"/>
      <c r="E93" s="39"/>
      <c r="F93" s="39"/>
    </row>
    <row r="94" spans="2:6">
      <c r="B94" s="19"/>
      <c r="C94" s="38" t="s">
        <v>88</v>
      </c>
      <c r="D94" s="38">
        <v>2.9</v>
      </c>
      <c r="E94" s="38" t="s">
        <v>120</v>
      </c>
      <c r="F94" s="40">
        <v>8.9</v>
      </c>
    </row>
    <row r="95" spans="2:6">
      <c r="B95" s="41" t="s">
        <v>231</v>
      </c>
      <c r="C95" s="41"/>
      <c r="D95" s="41"/>
      <c r="E95" s="41" t="s">
        <v>170</v>
      </c>
      <c r="F95" s="42" t="s">
        <v>81</v>
      </c>
    </row>
    <row r="96" spans="2:6">
      <c r="B96" s="43" t="s">
        <v>206</v>
      </c>
      <c r="C96" s="43"/>
      <c r="D96" s="49">
        <f>((D79*42%)/0.26)*1000</f>
        <v>8076.9230769230762</v>
      </c>
      <c r="E96" s="43" t="s">
        <v>232</v>
      </c>
      <c r="F96" s="44">
        <f>D96*$D$94</f>
        <v>23423.076923076922</v>
      </c>
    </row>
    <row r="97" spans="2:6">
      <c r="B97" s="43" t="s">
        <v>260</v>
      </c>
      <c r="C97" s="43"/>
      <c r="D97" s="49">
        <f>(((D79*43.54%)/0.03)*1000)*0.03</f>
        <v>2177</v>
      </c>
      <c r="E97" s="43" t="s">
        <v>118</v>
      </c>
      <c r="F97" s="44">
        <f>F94*D97</f>
        <v>19375.3</v>
      </c>
    </row>
    <row r="98" spans="2:6">
      <c r="E98" s="38" t="s">
        <v>250</v>
      </c>
      <c r="F98" s="40">
        <f>SUM(F96:F97)</f>
        <v>42798.376923076925</v>
      </c>
    </row>
    <row r="108" spans="2:6">
      <c r="B108" s="39" t="s">
        <v>208</v>
      </c>
      <c r="C108" s="39"/>
      <c r="D108" s="39"/>
      <c r="E108" s="39"/>
      <c r="F108" s="39"/>
    </row>
    <row r="110" spans="2:6">
      <c r="B110" s="41" t="s">
        <v>231</v>
      </c>
      <c r="C110" s="41"/>
      <c r="D110" s="41"/>
      <c r="E110" s="41"/>
      <c r="F110" s="42" t="s">
        <v>81</v>
      </c>
    </row>
    <row r="111" spans="2:6">
      <c r="B111" s="43" t="s">
        <v>263</v>
      </c>
      <c r="C111" s="43"/>
      <c r="D111" s="43"/>
      <c r="E111" s="43"/>
      <c r="F111" s="44">
        <f>F98-F75</f>
        <v>5625.9952740000008</v>
      </c>
    </row>
    <row r="112" spans="2:6">
      <c r="B112" s="50"/>
      <c r="C112" s="50"/>
      <c r="D112" s="50"/>
      <c r="E112" s="50"/>
      <c r="F112" s="51"/>
    </row>
    <row r="113" spans="2:6">
      <c r="B113" s="50"/>
      <c r="C113" s="50"/>
      <c r="D113" s="50"/>
      <c r="E113" s="50"/>
      <c r="F113" s="51"/>
    </row>
    <row r="114" spans="2:6">
      <c r="B114" s="50"/>
      <c r="C114" s="50"/>
      <c r="D114" s="50"/>
      <c r="E114" s="50"/>
      <c r="F114" s="51"/>
    </row>
    <row r="115" spans="2:6">
      <c r="B115" s="39" t="s">
        <v>266</v>
      </c>
      <c r="C115" s="39"/>
      <c r="D115" s="39"/>
      <c r="E115" s="39"/>
      <c r="F115" s="39"/>
    </row>
    <row r="116" spans="2:6">
      <c r="B116" s="38" t="s">
        <v>256</v>
      </c>
      <c r="D116" s="38">
        <f>'investimento inicial'!D8</f>
        <v>5</v>
      </c>
    </row>
    <row r="117" spans="2:6">
      <c r="B117" s="41" t="s">
        <v>231</v>
      </c>
      <c r="C117" s="41"/>
      <c r="D117" s="41"/>
      <c r="E117" s="41"/>
      <c r="F117" s="42" t="s">
        <v>81</v>
      </c>
    </row>
    <row r="118" spans="2:6">
      <c r="B118" s="43" t="s">
        <v>96</v>
      </c>
      <c r="C118" s="43"/>
      <c r="D118" s="43"/>
      <c r="E118" s="43"/>
      <c r="F118" s="44">
        <f>INDEX('investimento inicial'!E:E,MATCH(Viabilidade!B118,'investimento inicial'!A:A,0))</f>
        <v>150</v>
      </c>
    </row>
    <row r="119" spans="2:6">
      <c r="B119" s="43" t="s">
        <v>95</v>
      </c>
      <c r="C119" s="43"/>
      <c r="D119" s="43"/>
      <c r="E119" s="43"/>
      <c r="F119" s="44">
        <f>INDEX('investimento inicial'!E:E,MATCH(Viabilidade!B119,'investimento inicial'!A:A,0))</f>
        <v>150</v>
      </c>
    </row>
    <row r="120" spans="2:6">
      <c r="B120" s="44" t="s">
        <v>97</v>
      </c>
      <c r="C120" s="44"/>
      <c r="D120" s="44"/>
      <c r="E120" s="44"/>
      <c r="F120" s="44">
        <f>INDEX('investimento inicial'!E:E,MATCH(Viabilidade!B120,'investimento inicial'!A:A,0))</f>
        <v>45</v>
      </c>
    </row>
    <row r="121" spans="2:6">
      <c r="B121" s="44" t="s">
        <v>255</v>
      </c>
      <c r="C121" s="44"/>
      <c r="D121" s="44"/>
      <c r="E121" s="44"/>
      <c r="F121" s="44">
        <f>INDEX('investimento inicial'!E:E,MATCH(Viabilidade!B121,'investimento inicial'!A:A,0))</f>
        <v>418</v>
      </c>
    </row>
    <row r="122" spans="2:6">
      <c r="B122" s="44" t="s">
        <v>112</v>
      </c>
      <c r="C122" s="44"/>
      <c r="D122" s="44"/>
      <c r="E122" s="44"/>
      <c r="F122" s="44">
        <f>INDEX('investimento inicial'!E:E,MATCH(Viabilidade!B122,'investimento inicial'!A:A,0))</f>
        <v>1000</v>
      </c>
    </row>
    <row r="123" spans="2:6">
      <c r="B123" s="44" t="s">
        <v>139</v>
      </c>
      <c r="C123" s="44"/>
      <c r="D123" s="44"/>
      <c r="E123" s="44"/>
      <c r="F123" s="44">
        <f>INDEX('investimento inicial'!E:E,MATCH(Viabilidade!B123,'investimento inicial'!A:A,0))</f>
        <v>64</v>
      </c>
    </row>
    <row r="124" spans="2:6">
      <c r="B124" s="44" t="s">
        <v>26</v>
      </c>
      <c r="C124" s="44"/>
      <c r="D124" s="44"/>
      <c r="E124" s="44"/>
      <c r="F124" s="44">
        <f>INDEX('investimento inicial'!E:E,MATCH(Viabilidade!B124,'investimento inicial'!A:A,0))</f>
        <v>1500</v>
      </c>
    </row>
    <row r="125" spans="2:6">
      <c r="B125" s="44" t="s">
        <v>252</v>
      </c>
      <c r="C125" s="44"/>
      <c r="D125" s="44"/>
      <c r="E125" s="44"/>
      <c r="F125" s="44">
        <f>INDEX('investimento inicial'!E:E,MATCH(Viabilidade!B125,'investimento inicial'!A:A,0))</f>
        <v>60</v>
      </c>
    </row>
    <row r="126" spans="2:6">
      <c r="B126" s="44" t="s">
        <v>254</v>
      </c>
      <c r="C126" s="44"/>
      <c r="D126" s="44"/>
      <c r="E126" s="44"/>
      <c r="F126" s="44">
        <f>INDEX('investimento inicial'!E:E,MATCH(Viabilidade!B126,'investimento inicial'!A:A,0))</f>
        <v>200</v>
      </c>
    </row>
    <row r="127" spans="2:6">
      <c r="E127" s="38" t="s">
        <v>250</v>
      </c>
      <c r="F127" s="40">
        <f>SUM(F118:F126)</f>
        <v>3587</v>
      </c>
    </row>
    <row r="130" spans="2:6">
      <c r="B130" s="39" t="s">
        <v>54</v>
      </c>
      <c r="C130" s="39"/>
      <c r="D130" s="39"/>
      <c r="E130" s="39"/>
      <c r="F130" s="39"/>
    </row>
    <row r="132" spans="2:6">
      <c r="B132" s="41" t="s">
        <v>231</v>
      </c>
      <c r="C132" s="41"/>
      <c r="D132" s="41"/>
      <c r="E132" s="41" t="s">
        <v>265</v>
      </c>
      <c r="F132" s="42" t="s">
        <v>81</v>
      </c>
    </row>
    <row r="133" spans="2:6">
      <c r="B133" s="43" t="s">
        <v>209</v>
      </c>
      <c r="C133" s="43"/>
      <c r="D133" s="43"/>
      <c r="E133" s="52">
        <v>0.3</v>
      </c>
      <c r="F133" s="44">
        <f>$F$111*E133</f>
        <v>1687.7985822000003</v>
      </c>
    </row>
    <row r="134" spans="2:6">
      <c r="B134" s="43" t="s">
        <v>212</v>
      </c>
      <c r="C134" s="43"/>
      <c r="D134" s="43"/>
      <c r="E134" s="52">
        <v>0.3</v>
      </c>
      <c r="F134" s="44">
        <f t="shared" ref="F134:F136" si="0">$F$111*E134</f>
        <v>1687.7985822000003</v>
      </c>
    </row>
    <row r="135" spans="2:6">
      <c r="B135" s="43" t="s">
        <v>264</v>
      </c>
      <c r="C135" s="43"/>
      <c r="D135" s="43"/>
      <c r="E135" s="52">
        <v>0.25</v>
      </c>
      <c r="F135" s="44">
        <f t="shared" si="0"/>
        <v>1406.4988185000002</v>
      </c>
    </row>
    <row r="136" spans="2:6">
      <c r="B136" s="43" t="s">
        <v>214</v>
      </c>
      <c r="C136" s="43"/>
      <c r="D136" s="43"/>
      <c r="E136" s="52">
        <v>0.15</v>
      </c>
      <c r="F136" s="44">
        <f t="shared" si="0"/>
        <v>843.89929110000014</v>
      </c>
    </row>
    <row r="137" spans="2:6">
      <c r="B137" s="50"/>
      <c r="C137" s="50"/>
      <c r="D137" s="50"/>
      <c r="E137" s="53"/>
      <c r="F137" s="51"/>
    </row>
    <row r="139" spans="2:6">
      <c r="B139" s="39" t="s">
        <v>26</v>
      </c>
      <c r="C139" s="39"/>
      <c r="D139" s="39"/>
      <c r="E139" s="39"/>
      <c r="F139" s="39"/>
    </row>
    <row r="141" spans="2:6">
      <c r="B141" s="41" t="s">
        <v>231</v>
      </c>
      <c r="C141" s="41"/>
      <c r="D141" s="41" t="s">
        <v>269</v>
      </c>
      <c r="E141" s="41" t="s">
        <v>261</v>
      </c>
      <c r="F141" s="42" t="s">
        <v>262</v>
      </c>
    </row>
    <row r="142" spans="2:6">
      <c r="B142" s="43" t="s">
        <v>267</v>
      </c>
      <c r="C142" s="43"/>
      <c r="D142" s="43" t="s">
        <v>272</v>
      </c>
      <c r="E142" s="44">
        <v>500</v>
      </c>
      <c r="F142" s="44">
        <v>500</v>
      </c>
    </row>
    <row r="143" spans="2:6">
      <c r="B143" s="43" t="s">
        <v>268</v>
      </c>
      <c r="C143" s="43"/>
      <c r="D143" s="43" t="s">
        <v>271</v>
      </c>
      <c r="E143" s="44">
        <v>500</v>
      </c>
      <c r="F143" s="44">
        <v>500</v>
      </c>
    </row>
    <row r="144" spans="2:6">
      <c r="B144" s="43" t="s">
        <v>214</v>
      </c>
      <c r="C144" s="43"/>
      <c r="D144" s="43" t="s">
        <v>270</v>
      </c>
      <c r="E144" s="44">
        <v>500</v>
      </c>
      <c r="F144" s="44">
        <v>500</v>
      </c>
    </row>
    <row r="147" spans="2:6">
      <c r="B147" s="39" t="s">
        <v>275</v>
      </c>
      <c r="C147" s="39"/>
      <c r="D147" s="39"/>
      <c r="E147" s="39"/>
      <c r="F147" s="39"/>
    </row>
    <row r="149" spans="2:6">
      <c r="B149" s="41" t="s">
        <v>231</v>
      </c>
      <c r="C149" s="41"/>
      <c r="D149" s="41"/>
      <c r="E149" s="41" t="s">
        <v>276</v>
      </c>
      <c r="F149" s="42" t="s">
        <v>277</v>
      </c>
    </row>
    <row r="150" spans="2:6">
      <c r="B150" s="43" t="s">
        <v>279</v>
      </c>
      <c r="C150" s="43"/>
      <c r="D150" s="43"/>
      <c r="E150" s="44">
        <v>43044</v>
      </c>
      <c r="F150" s="44">
        <f>E150/12</f>
        <v>3587</v>
      </c>
    </row>
    <row r="151" spans="2:6">
      <c r="B151" s="43" t="s">
        <v>278</v>
      </c>
      <c r="C151" s="43"/>
      <c r="D151" s="43"/>
      <c r="E151" s="44">
        <v>50000</v>
      </c>
      <c r="F151" s="44">
        <f>E151/12</f>
        <v>4166.666666666667</v>
      </c>
    </row>
    <row r="152" spans="2:6">
      <c r="B152" s="50"/>
      <c r="C152" s="50"/>
      <c r="D152" s="50"/>
      <c r="E152" s="51" t="s">
        <v>280</v>
      </c>
      <c r="F152" s="51">
        <f>F151-F150</f>
        <v>579.66666666666697</v>
      </c>
    </row>
    <row r="153" spans="2:6">
      <c r="B153" s="50"/>
      <c r="C153" s="50"/>
      <c r="D153" s="50"/>
      <c r="E153" s="51"/>
      <c r="F153" s="51"/>
    </row>
    <row r="154" spans="2:6">
      <c r="B154" s="38" t="s">
        <v>273</v>
      </c>
    </row>
    <row r="155" spans="2:6">
      <c r="B155" s="38" t="s">
        <v>274</v>
      </c>
    </row>
  </sheetData>
  <mergeCells count="10">
    <mergeCell ref="B147:F147"/>
    <mergeCell ref="B93:F93"/>
    <mergeCell ref="B108:F108"/>
    <mergeCell ref="B130:F130"/>
    <mergeCell ref="B139:F139"/>
    <mergeCell ref="B6:F6"/>
    <mergeCell ref="B115:F115"/>
    <mergeCell ref="A2:F3"/>
    <mergeCell ref="B78:F78"/>
    <mergeCell ref="B56:F5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headerFooter>
    <oddHeader xml:space="preserve">&amp;C&amp;"Brush Script MT,Regular"VELAS CANDIEIRO
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5</vt:i4>
      </vt:variant>
    </vt:vector>
  </HeadingPairs>
  <TitlesOfParts>
    <vt:vector size="17" baseType="lpstr">
      <vt:lpstr>Custos</vt:lpstr>
      <vt:lpstr>Banco de Dados</vt:lpstr>
      <vt:lpstr>Plano de ação</vt:lpstr>
      <vt:lpstr>Plano de Vendas</vt:lpstr>
      <vt:lpstr>Apresentação da Empresa</vt:lpstr>
      <vt:lpstr>Capacidade de Produção</vt:lpstr>
      <vt:lpstr>Gastos mensais</vt:lpstr>
      <vt:lpstr>investimento inicial</vt:lpstr>
      <vt:lpstr>Viabilidade</vt:lpstr>
      <vt:lpstr>Capacidade produtiva</vt:lpstr>
      <vt:lpstr>Custo de Produção</vt:lpstr>
      <vt:lpstr>Distribuição lucros</vt:lpstr>
      <vt:lpstr>kgparafina</vt:lpstr>
      <vt:lpstr>lucro</vt:lpstr>
      <vt:lpstr>qtd7dias</vt:lpstr>
      <vt:lpstr>qtdpalito</vt:lpstr>
      <vt:lpstr>qtdpalitokg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cp:lastPrinted>2019-07-05T17:53:31Z</cp:lastPrinted>
  <dcterms:created xsi:type="dcterms:W3CDTF">2019-05-27T14:14:36Z</dcterms:created>
  <dcterms:modified xsi:type="dcterms:W3CDTF">2019-07-05T17:56:53Z</dcterms:modified>
</cp:coreProperties>
</file>