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leybrowne1/Documents/FNCE 174/"/>
    </mc:Choice>
  </mc:AlternateContent>
  <xr:revisionPtr revIDLastSave="0" documentId="13_ncr:1_{CD54A17B-16A7-8B42-9D38-FEB0F5726302}" xr6:coauthVersionLast="40" xr6:coauthVersionMax="40" xr10:uidLastSave="{00000000-0000-0000-0000-000000000000}"/>
  <bookViews>
    <workbookView xWindow="1580" yWindow="460" windowWidth="25740" windowHeight="17440" xr2:uid="{9B9CC3F6-1D80-D44A-9740-4007F7DF37BF}"/>
  </bookViews>
  <sheets>
    <sheet name="Synergies" sheetId="1" r:id="rId1"/>
    <sheet name="DCF of Genentech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38" i="2" l="1"/>
  <c r="R39" i="2"/>
  <c r="L16" i="2"/>
  <c r="R36" i="2" l="1"/>
  <c r="Q36" i="2"/>
  <c r="P36" i="2"/>
  <c r="O36" i="2"/>
  <c r="N36" i="2"/>
  <c r="M36" i="2"/>
  <c r="G14" i="1"/>
  <c r="D10" i="1"/>
  <c r="D12" i="1" s="1"/>
  <c r="E10" i="1"/>
  <c r="E12" i="1" s="1"/>
  <c r="F10" i="1"/>
  <c r="F12" i="1" s="1"/>
  <c r="G10" i="1"/>
  <c r="C10" i="1"/>
  <c r="C12" i="1" s="1"/>
  <c r="D26" i="2"/>
  <c r="D27" i="2" s="1"/>
  <c r="D28" i="2" s="1"/>
  <c r="D29" i="2" s="1"/>
  <c r="E26" i="2"/>
  <c r="F26" i="2" s="1"/>
  <c r="B29" i="2"/>
  <c r="C29" i="2"/>
  <c r="D30" i="2"/>
  <c r="B31" i="2"/>
  <c r="B32" i="2"/>
  <c r="B33" i="2"/>
  <c r="B35" i="2" s="1"/>
  <c r="B37" i="2" s="1"/>
  <c r="C33" i="2"/>
  <c r="P54" i="2"/>
  <c r="C35" i="2"/>
  <c r="B43" i="2"/>
  <c r="B36" i="2"/>
  <c r="C36" i="2"/>
  <c r="D36" i="2"/>
  <c r="E36" i="2"/>
  <c r="F36" i="2"/>
  <c r="G36" i="2"/>
  <c r="H36" i="2"/>
  <c r="I36" i="2"/>
  <c r="J36" i="2"/>
  <c r="K36" i="2"/>
  <c r="L36" i="2"/>
  <c r="P58" i="2"/>
  <c r="B42" i="2" s="1"/>
  <c r="P59" i="2"/>
  <c r="L13" i="2"/>
  <c r="K13" i="2"/>
  <c r="J13" i="2"/>
  <c r="I13" i="2"/>
  <c r="H13" i="2"/>
  <c r="G13" i="2"/>
  <c r="B13" i="2"/>
  <c r="C13" i="2"/>
  <c r="F13" i="2"/>
  <c r="E13" i="2"/>
  <c r="D13" i="2"/>
  <c r="D3" i="2"/>
  <c r="D11" i="2" s="1"/>
  <c r="B19" i="2"/>
  <c r="P11" i="2"/>
  <c r="C10" i="2"/>
  <c r="C12" i="2" s="1"/>
  <c r="C6" i="2"/>
  <c r="B10" i="2"/>
  <c r="B12" i="2" s="1"/>
  <c r="B9" i="2"/>
  <c r="B8" i="2"/>
  <c r="B6" i="2"/>
  <c r="K6" i="1"/>
  <c r="G29" i="1"/>
  <c r="F29" i="1"/>
  <c r="E29" i="1"/>
  <c r="D29" i="1"/>
  <c r="C29" i="1"/>
  <c r="G26" i="1"/>
  <c r="G25" i="1"/>
  <c r="G24" i="1"/>
  <c r="G23" i="1"/>
  <c r="F26" i="1"/>
  <c r="F25" i="1"/>
  <c r="F24" i="1"/>
  <c r="F23" i="1"/>
  <c r="E26" i="1"/>
  <c r="E25" i="1"/>
  <c r="E24" i="1"/>
  <c r="E23" i="1"/>
  <c r="C26" i="1"/>
  <c r="C25" i="1"/>
  <c r="D26" i="1"/>
  <c r="D25" i="1"/>
  <c r="D24" i="1"/>
  <c r="D23" i="1"/>
  <c r="C24" i="1"/>
  <c r="C23" i="1"/>
  <c r="G22" i="1"/>
  <c r="F22" i="1"/>
  <c r="E22" i="1"/>
  <c r="D22" i="1"/>
  <c r="C22" i="1"/>
  <c r="G21" i="1"/>
  <c r="F21" i="1"/>
  <c r="E21" i="1"/>
  <c r="D21" i="1"/>
  <c r="C21" i="1"/>
  <c r="G11" i="1"/>
  <c r="G12" i="1" s="1"/>
  <c r="F11" i="1"/>
  <c r="E11" i="1"/>
  <c r="D11" i="1"/>
  <c r="C11" i="1"/>
  <c r="D9" i="1"/>
  <c r="E9" i="1"/>
  <c r="F9" i="1"/>
  <c r="G9" i="1"/>
  <c r="C9" i="1"/>
  <c r="E31" i="2" l="1"/>
  <c r="D31" i="2"/>
  <c r="E34" i="2"/>
  <c r="E32" i="2"/>
  <c r="D34" i="2"/>
  <c r="D32" i="2"/>
  <c r="D33" i="2" s="1"/>
  <c r="D35" i="2" s="1"/>
  <c r="D37" i="2" s="1"/>
  <c r="C37" i="2"/>
  <c r="E30" i="2"/>
  <c r="B13" i="1"/>
  <c r="B15" i="1"/>
  <c r="F30" i="2"/>
  <c r="F32" i="2"/>
  <c r="F34" i="2"/>
  <c r="F31" i="2"/>
  <c r="G26" i="2"/>
  <c r="F27" i="2"/>
  <c r="B14" i="2"/>
  <c r="E27" i="2"/>
  <c r="C14" i="2"/>
  <c r="E3" i="2"/>
  <c r="D4" i="2"/>
  <c r="D7" i="2"/>
  <c r="D8" i="2"/>
  <c r="D9" i="2"/>
  <c r="G27" i="1"/>
  <c r="D27" i="1"/>
  <c r="D28" i="1" s="1"/>
  <c r="D30" i="1" s="1"/>
  <c r="F27" i="1"/>
  <c r="F28" i="1" s="1"/>
  <c r="F30" i="1" s="1"/>
  <c r="C27" i="1"/>
  <c r="C28" i="1" s="1"/>
  <c r="C30" i="1" s="1"/>
  <c r="E27" i="1"/>
  <c r="E28" i="1" s="1"/>
  <c r="E30" i="1" s="1"/>
  <c r="G28" i="1" l="1"/>
  <c r="B16" i="1"/>
  <c r="B17" i="1" s="1"/>
  <c r="F28" i="2"/>
  <c r="F29" i="2" s="1"/>
  <c r="F33" i="2" s="1"/>
  <c r="F35" i="2" s="1"/>
  <c r="F37" i="2" s="1"/>
  <c r="H26" i="2"/>
  <c r="G27" i="2"/>
  <c r="G30" i="2"/>
  <c r="G32" i="2"/>
  <c r="G34" i="2"/>
  <c r="G31" i="2"/>
  <c r="E28" i="2"/>
  <c r="E29" i="2" s="1"/>
  <c r="E33" i="2" s="1"/>
  <c r="E35" i="2" s="1"/>
  <c r="E37" i="2" s="1"/>
  <c r="D6" i="2"/>
  <c r="D10" i="2" s="1"/>
  <c r="D12" i="2" s="1"/>
  <c r="D14" i="2" s="1"/>
  <c r="D5" i="2"/>
  <c r="E11" i="2"/>
  <c r="E9" i="2"/>
  <c r="E8" i="2"/>
  <c r="E7" i="2"/>
  <c r="E4" i="2"/>
  <c r="F3" i="2"/>
  <c r="G32" i="1" l="1"/>
  <c r="B33" i="1" s="1"/>
  <c r="G30" i="1"/>
  <c r="B31" i="1" s="1"/>
  <c r="H31" i="2"/>
  <c r="I26" i="2"/>
  <c r="H27" i="2"/>
  <c r="H30" i="2"/>
  <c r="H32" i="2"/>
  <c r="H34" i="2"/>
  <c r="G28" i="2"/>
  <c r="G29" i="2" s="1"/>
  <c r="G33" i="2" s="1"/>
  <c r="G35" i="2" s="1"/>
  <c r="G37" i="2" s="1"/>
  <c r="G3" i="2"/>
  <c r="H3" i="2" s="1"/>
  <c r="F11" i="2"/>
  <c r="F9" i="2"/>
  <c r="F8" i="2"/>
  <c r="F7" i="2"/>
  <c r="F4" i="2"/>
  <c r="E5" i="2"/>
  <c r="E6" i="2" s="1"/>
  <c r="E10" i="2" s="1"/>
  <c r="E12" i="2" s="1"/>
  <c r="E14" i="2" s="1"/>
  <c r="B34" i="1" l="1"/>
  <c r="B35" i="1" s="1"/>
  <c r="I31" i="2"/>
  <c r="J26" i="2"/>
  <c r="I27" i="2"/>
  <c r="I30" i="2"/>
  <c r="I32" i="2"/>
  <c r="I34" i="2"/>
  <c r="H11" i="2"/>
  <c r="H4" i="2"/>
  <c r="H7" i="2"/>
  <c r="H8" i="2"/>
  <c r="I3" i="2"/>
  <c r="H9" i="2"/>
  <c r="H28" i="2"/>
  <c r="H29" i="2" s="1"/>
  <c r="H33" i="2" s="1"/>
  <c r="H35" i="2" s="1"/>
  <c r="H37" i="2" s="1"/>
  <c r="F5" i="2"/>
  <c r="F6" i="2" s="1"/>
  <c r="F10" i="2" s="1"/>
  <c r="F12" i="2" s="1"/>
  <c r="F14" i="2" s="1"/>
  <c r="G11" i="2"/>
  <c r="G8" i="2"/>
  <c r="G7" i="2"/>
  <c r="G4" i="2"/>
  <c r="G9" i="2"/>
  <c r="J30" i="2" l="1"/>
  <c r="J32" i="2"/>
  <c r="J34" i="2"/>
  <c r="J31" i="2"/>
  <c r="K26" i="2"/>
  <c r="J27" i="2"/>
  <c r="H5" i="2"/>
  <c r="H6" i="2" s="1"/>
  <c r="H10" i="2" s="1"/>
  <c r="H12" i="2" s="1"/>
  <c r="H14" i="2" s="1"/>
  <c r="J3" i="2"/>
  <c r="I9" i="2"/>
  <c r="I11" i="2"/>
  <c r="I8" i="2"/>
  <c r="I4" i="2"/>
  <c r="I7" i="2"/>
  <c r="I28" i="2"/>
  <c r="I29" i="2" s="1"/>
  <c r="I33" i="2" s="1"/>
  <c r="I35" i="2" s="1"/>
  <c r="I37" i="2" s="1"/>
  <c r="G5" i="2"/>
  <c r="G6" i="2" s="1"/>
  <c r="G10" i="2" s="1"/>
  <c r="G12" i="2" s="1"/>
  <c r="G14" i="2" s="1"/>
  <c r="I5" i="2" l="1"/>
  <c r="I6" i="2"/>
  <c r="I10" i="2" s="1"/>
  <c r="I12" i="2" s="1"/>
  <c r="I14" i="2" s="1"/>
  <c r="K3" i="2"/>
  <c r="J8" i="2"/>
  <c r="J9" i="2"/>
  <c r="J7" i="2"/>
  <c r="J11" i="2"/>
  <c r="J4" i="2"/>
  <c r="J28" i="2"/>
  <c r="J29" i="2" s="1"/>
  <c r="J33" i="2" s="1"/>
  <c r="J35" i="2" s="1"/>
  <c r="J37" i="2" s="1"/>
  <c r="L26" i="2"/>
  <c r="M26" i="2" s="1"/>
  <c r="K27" i="2"/>
  <c r="K30" i="2"/>
  <c r="K32" i="2"/>
  <c r="K34" i="2"/>
  <c r="K31" i="2"/>
  <c r="M27" i="2" l="1"/>
  <c r="M32" i="2"/>
  <c r="M34" i="2"/>
  <c r="N26" i="2"/>
  <c r="M30" i="2"/>
  <c r="M31" i="2"/>
  <c r="J5" i="2"/>
  <c r="J6" i="2" s="1"/>
  <c r="J10" i="2" s="1"/>
  <c r="J12" i="2" s="1"/>
  <c r="J14" i="2" s="1"/>
  <c r="K28" i="2"/>
  <c r="K29" i="2" s="1"/>
  <c r="K33" i="2" s="1"/>
  <c r="K35" i="2" s="1"/>
  <c r="K37" i="2" s="1"/>
  <c r="L31" i="2"/>
  <c r="L27" i="2"/>
  <c r="L30" i="2"/>
  <c r="L32" i="2"/>
  <c r="L34" i="2"/>
  <c r="L3" i="2"/>
  <c r="K4" i="2"/>
  <c r="K7" i="2"/>
  <c r="K8" i="2"/>
  <c r="K11" i="2"/>
  <c r="K9" i="2"/>
  <c r="N27" i="2" l="1"/>
  <c r="N28" i="2" s="1"/>
  <c r="N29" i="2" s="1"/>
  <c r="N32" i="2"/>
  <c r="N34" i="2"/>
  <c r="O26" i="2"/>
  <c r="N30" i="2"/>
  <c r="N31" i="2"/>
  <c r="M28" i="2"/>
  <c r="M29" i="2"/>
  <c r="M33" i="2" s="1"/>
  <c r="M35" i="2" s="1"/>
  <c r="M37" i="2" s="1"/>
  <c r="K5" i="2"/>
  <c r="K6" i="2"/>
  <c r="K10" i="2" s="1"/>
  <c r="K12" i="2" s="1"/>
  <c r="K14" i="2" s="1"/>
  <c r="L11" i="2"/>
  <c r="L4" i="2"/>
  <c r="L7" i="2"/>
  <c r="L9" i="2"/>
  <c r="L8" i="2"/>
  <c r="L29" i="2"/>
  <c r="L33" i="2" s="1"/>
  <c r="L35" i="2" s="1"/>
  <c r="L28" i="2"/>
  <c r="O27" i="2" l="1"/>
  <c r="O28" i="2" s="1"/>
  <c r="O29" i="2" s="1"/>
  <c r="O33" i="2" s="1"/>
  <c r="O35" i="2" s="1"/>
  <c r="O37" i="2" s="1"/>
  <c r="O30" i="2"/>
  <c r="O32" i="2"/>
  <c r="O34" i="2"/>
  <c r="P26" i="2"/>
  <c r="O31" i="2"/>
  <c r="N33" i="2"/>
  <c r="N35" i="2" s="1"/>
  <c r="N37" i="2" s="1"/>
  <c r="L37" i="2"/>
  <c r="L5" i="2"/>
  <c r="L6" i="2" s="1"/>
  <c r="L10" i="2" s="1"/>
  <c r="L12" i="2" s="1"/>
  <c r="Q26" i="2" l="1"/>
  <c r="P30" i="2"/>
  <c r="P32" i="2"/>
  <c r="P34" i="2"/>
  <c r="P31" i="2"/>
  <c r="P27" i="2"/>
  <c r="P28" i="2" s="1"/>
  <c r="P29" i="2" s="1"/>
  <c r="B17" i="2"/>
  <c r="L14" i="2"/>
  <c r="B15" i="2" s="1"/>
  <c r="B18" i="2" l="1"/>
  <c r="B20" i="2" s="1"/>
  <c r="B21" i="2" s="1"/>
  <c r="P33" i="2"/>
  <c r="P35" i="2" s="1"/>
  <c r="P37" i="2" s="1"/>
  <c r="Q32" i="2"/>
  <c r="R26" i="2"/>
  <c r="Q34" i="2"/>
  <c r="Q27" i="2"/>
  <c r="Q28" i="2" s="1"/>
  <c r="Q29" i="2" s="1"/>
  <c r="Q30" i="2"/>
  <c r="Q31" i="2"/>
  <c r="R32" i="2" l="1"/>
  <c r="R30" i="2"/>
  <c r="R27" i="2"/>
  <c r="R28" i="2" s="1"/>
  <c r="R29" i="2" s="1"/>
  <c r="R34" i="2"/>
  <c r="R31" i="2"/>
  <c r="Q33" i="2"/>
  <c r="Q35" i="2" s="1"/>
  <c r="Q37" i="2" s="1"/>
  <c r="R33" i="2" l="1"/>
  <c r="R35" i="2" s="1"/>
  <c r="R37" i="2" l="1"/>
  <c r="B40" i="2"/>
  <c r="B41" i="2" s="1"/>
  <c r="B44" i="2" s="1"/>
  <c r="B45" i="2" s="1"/>
</calcChain>
</file>

<file path=xl/sharedStrings.xml><?xml version="1.0" encoding="utf-8"?>
<sst xmlns="http://schemas.openxmlformats.org/spreadsheetml/2006/main" count="116" uniqueCount="60">
  <si>
    <t>Year</t>
  </si>
  <si>
    <t xml:space="preserve">Manufacturing </t>
  </si>
  <si>
    <t>Research</t>
  </si>
  <si>
    <t>Development</t>
  </si>
  <si>
    <t>Marketing &amp; Distribution</t>
  </si>
  <si>
    <t>Roche G&amp;A</t>
  </si>
  <si>
    <t>Genentech G&amp;A</t>
  </si>
  <si>
    <t xml:space="preserve">Total </t>
  </si>
  <si>
    <t xml:space="preserve">2013 and Thereafter </t>
  </si>
  <si>
    <t>Synergies from Merger (in $millions)</t>
  </si>
  <si>
    <t>Assumptions</t>
  </si>
  <si>
    <t>WACC</t>
  </si>
  <si>
    <t>Growth Rate</t>
  </si>
  <si>
    <t>PV Factor</t>
  </si>
  <si>
    <t>PV</t>
  </si>
  <si>
    <t>Sum of PV</t>
  </si>
  <si>
    <t>TV</t>
  </si>
  <si>
    <t>PV TV</t>
  </si>
  <si>
    <t>Sum of Total PV</t>
  </si>
  <si>
    <t xml:space="preserve">Synergies per Share </t>
  </si>
  <si>
    <t>Synergies Dependent from the Merger</t>
  </si>
  <si>
    <t>Manufacturing Dependence</t>
  </si>
  <si>
    <t>Research Dependence</t>
  </si>
  <si>
    <t>Development Dependence</t>
  </si>
  <si>
    <t>Marketing &amp; Distribution Dependence</t>
  </si>
  <si>
    <t>Roche G&amp;A Dependence</t>
  </si>
  <si>
    <t>Genentech G&amp;A Dependence</t>
  </si>
  <si>
    <t>Shares Oustanding (millions)</t>
  </si>
  <si>
    <t>DCF of Genentech</t>
  </si>
  <si>
    <t>Revenue</t>
  </si>
  <si>
    <t xml:space="preserve">EBIT </t>
  </si>
  <si>
    <t>Tax Rate</t>
  </si>
  <si>
    <t>NOPAT</t>
  </si>
  <si>
    <t>Change in NWC</t>
  </si>
  <si>
    <t>Capex</t>
  </si>
  <si>
    <t>FCF</t>
  </si>
  <si>
    <t>Depreciation and Amortization</t>
  </si>
  <si>
    <t xml:space="preserve">Assumptions </t>
  </si>
  <si>
    <t>Growth Rate (2010-2018)</t>
  </si>
  <si>
    <t>Growth Rate (2018-)</t>
  </si>
  <si>
    <t>EBIT / Revenue</t>
  </si>
  <si>
    <t>Change in NWC / Revenue</t>
  </si>
  <si>
    <t>Depreciation / Revenue</t>
  </si>
  <si>
    <t>Capex / Revenue</t>
  </si>
  <si>
    <t>Cash</t>
  </si>
  <si>
    <t>Debt</t>
  </si>
  <si>
    <t>Equity-based compensation</t>
  </si>
  <si>
    <t>Less: Equity Compensation</t>
  </si>
  <si>
    <t>FCF after Equity Compensation</t>
  </si>
  <si>
    <t>SUM of PV FCF</t>
  </si>
  <si>
    <t>PV FCF</t>
  </si>
  <si>
    <t>Enterprise Value</t>
  </si>
  <si>
    <t>Net Debt</t>
  </si>
  <si>
    <t>Equity Value</t>
  </si>
  <si>
    <t xml:space="preserve">Value Per Share </t>
  </si>
  <si>
    <t>Shares Outstanding (millions)</t>
  </si>
  <si>
    <t>Change in Capitalization</t>
  </si>
  <si>
    <t>Capitalized ESO expense</t>
  </si>
  <si>
    <t>Capitalized value of 2015 opt-in rights</t>
  </si>
  <si>
    <t>After Tax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</si>
</sst>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7" formatCode="_(&quot;$&quot;* #,##0_);_(&quot;$&quot;* \(#,##0\);_(&quot;$&quot;* &quot;-&quot;??_);_(@_)"/>
    <numFmt numFmtId="172" formatCode="0.000"/>
    <numFmt numFmtId="177" formatCode="_(&quot;$&quot;* #,##0_);_(&quot;$&quot;* \(#,##0\);_(&quot;$&quot;* &quot;-&quot;???_);_(@_)"/>
  </numFmts>
  <fonts count="5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2"/>
      <color theme="1"/>
      <name val="Calibri"/>
      <family val="2"/>
      <scheme val="minor"/>
    </font>
    <font>
      <u val="singleAccounting"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1">
    <xf numFmtId="0" fontId="0" fillId="0" borderId="0" xfId="0"/>
    <xf numFmtId="167" fontId="0" fillId="0" borderId="0" xfId="0" applyNumberFormat="1"/>
    <xf numFmtId="167" fontId="3" fillId="0" borderId="0" xfId="0" applyNumberFormat="1" applyFont="1"/>
    <xf numFmtId="9" fontId="0" fillId="0" borderId="0" xfId="0" applyNumberFormat="1"/>
    <xf numFmtId="172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167" fontId="0" fillId="0" borderId="0" xfId="0" applyNumberFormat="1" applyBorder="1"/>
    <xf numFmtId="167" fontId="0" fillId="0" borderId="5" xfId="0" applyNumberFormat="1" applyBorder="1"/>
    <xf numFmtId="167" fontId="3" fillId="0" borderId="0" xfId="0" applyNumberFormat="1" applyFont="1" applyBorder="1"/>
    <xf numFmtId="167" fontId="3" fillId="0" borderId="5" xfId="0" applyNumberFormat="1" applyFont="1" applyBorder="1"/>
    <xf numFmtId="0" fontId="0" fillId="0" borderId="7" xfId="0" applyBorder="1"/>
    <xf numFmtId="0" fontId="2" fillId="0" borderId="0" xfId="0" applyFont="1" applyAlignment="1">
      <alignment horizontal="center"/>
    </xf>
    <xf numFmtId="0" fontId="2" fillId="0" borderId="6" xfId="0" applyFont="1" applyBorder="1"/>
    <xf numFmtId="167" fontId="2" fillId="0" borderId="7" xfId="0" applyNumberFormat="1" applyFont="1" applyBorder="1"/>
    <xf numFmtId="167" fontId="2" fillId="0" borderId="8" xfId="0" applyNumberFormat="1" applyFont="1" applyBorder="1"/>
    <xf numFmtId="167" fontId="2" fillId="0" borderId="0" xfId="0" applyNumberFormat="1" applyFont="1"/>
    <xf numFmtId="44" fontId="2" fillId="0" borderId="0" xfId="0" applyNumberFormat="1" applyFont="1"/>
    <xf numFmtId="0" fontId="2" fillId="0" borderId="0" xfId="0" applyFont="1"/>
    <xf numFmtId="9" fontId="0" fillId="0" borderId="3" xfId="0" applyNumberFormat="1" applyBorder="1"/>
    <xf numFmtId="9" fontId="0" fillId="0" borderId="5" xfId="0" applyNumberFormat="1" applyBorder="1"/>
    <xf numFmtId="9" fontId="0" fillId="0" borderId="8" xfId="0" applyNumberFormat="1" applyBorder="1"/>
    <xf numFmtId="0" fontId="0" fillId="0" borderId="5" xfId="0" applyNumberFormat="1" applyBorder="1"/>
    <xf numFmtId="44" fontId="1" fillId="2" borderId="0" xfId="1" applyNumberFormat="1"/>
    <xf numFmtId="10" fontId="0" fillId="0" borderId="0" xfId="0" applyNumberFormat="1"/>
    <xf numFmtId="177" fontId="0" fillId="0" borderId="0" xfId="0" applyNumberFormat="1"/>
    <xf numFmtId="177" fontId="3" fillId="0" borderId="0" xfId="0" applyNumberFormat="1" applyFont="1"/>
    <xf numFmtId="0" fontId="0" fillId="0" borderId="0" xfId="0" applyFont="1"/>
    <xf numFmtId="177" fontId="0" fillId="0" borderId="0" xfId="0" applyNumberFormat="1" applyFont="1"/>
    <xf numFmtId="0" fontId="4" fillId="0" borderId="0" xfId="0" applyFont="1"/>
    <xf numFmtId="44" fontId="3" fillId="0" borderId="0" xfId="0" applyNumberFormat="1" applyFont="1"/>
    <xf numFmtId="0" fontId="2" fillId="0" borderId="7" xfId="0" applyFont="1" applyBorder="1" applyAlignment="1">
      <alignment horizontal="center"/>
    </xf>
    <xf numFmtId="0" fontId="0" fillId="0" borderId="6" xfId="0" applyFill="1" applyBorder="1"/>
    <xf numFmtId="0" fontId="0" fillId="0" borderId="0" xfId="0" applyFont="1" applyBorder="1"/>
    <xf numFmtId="167" fontId="0" fillId="0" borderId="0" xfId="0" applyNumberFormat="1" applyFont="1" applyBorder="1"/>
    <xf numFmtId="0" fontId="2" fillId="0" borderId="0" xfId="0" applyFont="1" applyBorder="1" applyAlignment="1">
      <alignment horizontal="center"/>
    </xf>
    <xf numFmtId="167" fontId="1" fillId="2" borderId="0" xfId="1" applyNumberFormat="1"/>
    <xf numFmtId="167" fontId="0" fillId="0" borderId="0" xfId="0" applyNumberFormat="1" applyFont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E751C7-76D1-3543-8B04-1B28BDB4C594}">
  <dimension ref="A1:K35"/>
  <sheetViews>
    <sheetView tabSelected="1" workbookViewId="0">
      <selection activeCell="B15" sqref="B15"/>
    </sheetView>
  </sheetViews>
  <sheetFormatPr baseColWidth="10" defaultRowHeight="16" x14ac:dyDescent="0.2"/>
  <cols>
    <col min="1" max="1" width="21.6640625" bestFit="1" customWidth="1"/>
    <col min="2" max="2" width="21.6640625" customWidth="1"/>
    <col min="7" max="7" width="18.5" bestFit="1" customWidth="1"/>
    <col min="10" max="10" width="32.5" bestFit="1" customWidth="1"/>
  </cols>
  <sheetData>
    <row r="1" spans="1:11" x14ac:dyDescent="0.2">
      <c r="A1" s="15" t="s">
        <v>9</v>
      </c>
      <c r="B1" s="15"/>
      <c r="C1" s="15"/>
      <c r="D1" s="15"/>
      <c r="E1" s="15"/>
      <c r="F1" s="15"/>
      <c r="G1" s="15"/>
      <c r="H1" s="15"/>
    </row>
    <row r="2" spans="1:11" x14ac:dyDescent="0.2">
      <c r="A2" s="5" t="s">
        <v>0</v>
      </c>
      <c r="B2" s="6">
        <v>2008</v>
      </c>
      <c r="C2" s="6">
        <v>2009</v>
      </c>
      <c r="D2" s="6">
        <v>2010</v>
      </c>
      <c r="E2" s="6">
        <v>2011</v>
      </c>
      <c r="F2" s="6">
        <v>2012</v>
      </c>
      <c r="G2" s="7" t="s">
        <v>8</v>
      </c>
    </row>
    <row r="3" spans="1:11" x14ac:dyDescent="0.2">
      <c r="A3" s="8" t="s">
        <v>1</v>
      </c>
      <c r="B3" s="9"/>
      <c r="C3" s="10">
        <v>0</v>
      </c>
      <c r="D3" s="10">
        <v>102</v>
      </c>
      <c r="E3" s="10">
        <v>205</v>
      </c>
      <c r="F3" s="10">
        <v>256</v>
      </c>
      <c r="G3" s="11">
        <v>270</v>
      </c>
      <c r="J3" t="s">
        <v>10</v>
      </c>
    </row>
    <row r="4" spans="1:11" x14ac:dyDescent="0.2">
      <c r="A4" s="8" t="s">
        <v>2</v>
      </c>
      <c r="B4" s="9"/>
      <c r="C4" s="10">
        <v>44</v>
      </c>
      <c r="D4" s="10">
        <v>114</v>
      </c>
      <c r="E4" s="10">
        <v>118</v>
      </c>
      <c r="F4" s="10">
        <v>121</v>
      </c>
      <c r="G4" s="11">
        <v>125</v>
      </c>
      <c r="J4" s="5" t="s">
        <v>11</v>
      </c>
      <c r="K4" s="22">
        <v>0.09</v>
      </c>
    </row>
    <row r="5" spans="1:11" x14ac:dyDescent="0.2">
      <c r="A5" s="8" t="s">
        <v>3</v>
      </c>
      <c r="B5" s="9"/>
      <c r="C5" s="10">
        <v>38</v>
      </c>
      <c r="D5" s="10">
        <v>98</v>
      </c>
      <c r="E5" s="10">
        <v>109</v>
      </c>
      <c r="F5" s="10">
        <v>111</v>
      </c>
      <c r="G5" s="11">
        <v>112</v>
      </c>
      <c r="J5" s="8" t="s">
        <v>12</v>
      </c>
      <c r="K5" s="23">
        <v>0.02</v>
      </c>
    </row>
    <row r="6" spans="1:11" x14ac:dyDescent="0.2">
      <c r="A6" s="8" t="s">
        <v>4</v>
      </c>
      <c r="B6" s="9"/>
      <c r="C6" s="10">
        <v>38</v>
      </c>
      <c r="D6" s="10">
        <v>98</v>
      </c>
      <c r="E6" s="10">
        <v>101</v>
      </c>
      <c r="F6" s="10">
        <v>104</v>
      </c>
      <c r="G6" s="11">
        <v>107</v>
      </c>
      <c r="J6" s="8" t="s">
        <v>27</v>
      </c>
      <c r="K6" s="25">
        <f>1052</f>
        <v>1052</v>
      </c>
    </row>
    <row r="7" spans="1:11" x14ac:dyDescent="0.2">
      <c r="A7" s="8" t="s">
        <v>5</v>
      </c>
      <c r="B7" s="9"/>
      <c r="C7" s="10">
        <v>63</v>
      </c>
      <c r="D7" s="10">
        <v>103</v>
      </c>
      <c r="E7" s="10">
        <v>113</v>
      </c>
      <c r="F7" s="10">
        <v>123</v>
      </c>
      <c r="G7" s="11">
        <v>124</v>
      </c>
      <c r="J7" s="8" t="s">
        <v>21</v>
      </c>
      <c r="K7" s="23">
        <v>0.5</v>
      </c>
    </row>
    <row r="8" spans="1:11" ht="19" x14ac:dyDescent="0.35">
      <c r="A8" s="8" t="s">
        <v>6</v>
      </c>
      <c r="B8" s="9"/>
      <c r="C8" s="12">
        <v>40</v>
      </c>
      <c r="D8" s="12">
        <v>103</v>
      </c>
      <c r="E8" s="12">
        <v>106</v>
      </c>
      <c r="F8" s="12">
        <v>109</v>
      </c>
      <c r="G8" s="13">
        <v>113</v>
      </c>
      <c r="J8" s="8" t="s">
        <v>22</v>
      </c>
      <c r="K8" s="23">
        <v>0</v>
      </c>
    </row>
    <row r="9" spans="1:11" x14ac:dyDescent="0.2">
      <c r="A9" s="16" t="s">
        <v>7</v>
      </c>
      <c r="B9" s="14"/>
      <c r="C9" s="17">
        <f>SUM(C3:C8)</f>
        <v>223</v>
      </c>
      <c r="D9" s="17">
        <f t="shared" ref="D9:G9" si="0">SUM(D3:D8)</f>
        <v>618</v>
      </c>
      <c r="E9" s="17">
        <f t="shared" si="0"/>
        <v>752</v>
      </c>
      <c r="F9" s="17">
        <f t="shared" si="0"/>
        <v>824</v>
      </c>
      <c r="G9" s="18">
        <f t="shared" si="0"/>
        <v>851</v>
      </c>
      <c r="J9" s="8" t="s">
        <v>23</v>
      </c>
      <c r="K9" s="23">
        <v>1</v>
      </c>
    </row>
    <row r="10" spans="1:11" x14ac:dyDescent="0.2">
      <c r="A10" s="36" t="s">
        <v>59</v>
      </c>
      <c r="B10" s="36"/>
      <c r="C10" s="37">
        <f>C9*(1-$K$13)</f>
        <v>144.95000000000002</v>
      </c>
      <c r="D10" s="37">
        <f>D9*(1-$K$13)</f>
        <v>401.7</v>
      </c>
      <c r="E10" s="37">
        <f>E9*(1-$K$13)</f>
        <v>488.8</v>
      </c>
      <c r="F10" s="37">
        <f>F9*(1-$K$13)</f>
        <v>535.6</v>
      </c>
      <c r="G10" s="37">
        <f>G9*(1-$K$13)</f>
        <v>553.15</v>
      </c>
      <c r="J10" s="8" t="s">
        <v>24</v>
      </c>
      <c r="K10" s="23">
        <v>1</v>
      </c>
    </row>
    <row r="11" spans="1:11" x14ac:dyDescent="0.2">
      <c r="A11" t="s">
        <v>13</v>
      </c>
      <c r="C11" s="4">
        <f>1/(1+$K$4)^1</f>
        <v>0.9174311926605504</v>
      </c>
      <c r="D11" s="4">
        <f>1/(1+$K$4)^2</f>
        <v>0.84167999326655996</v>
      </c>
      <c r="E11" s="4">
        <f>1/(1+$K$4)^3</f>
        <v>0.77218348006106419</v>
      </c>
      <c r="F11" s="4">
        <f>1/(1+$K$4)^4</f>
        <v>0.7084252110651964</v>
      </c>
      <c r="G11" s="4">
        <f>1/(1+$K$4)^5</f>
        <v>0.64993138629834524</v>
      </c>
      <c r="J11" s="8" t="s">
        <v>25</v>
      </c>
      <c r="K11" s="23">
        <v>0.75</v>
      </c>
    </row>
    <row r="12" spans="1:11" x14ac:dyDescent="0.2">
      <c r="A12" t="s">
        <v>14</v>
      </c>
      <c r="C12" s="1">
        <f>C10*C11</f>
        <v>132.9816513761468</v>
      </c>
      <c r="D12" s="1">
        <f t="shared" ref="D12:G12" si="1">D10*D11</f>
        <v>338.10285329517711</v>
      </c>
      <c r="E12" s="1">
        <f t="shared" si="1"/>
        <v>377.44328505384817</v>
      </c>
      <c r="F12" s="1">
        <f t="shared" si="1"/>
        <v>379.43254304651919</v>
      </c>
      <c r="G12" s="1">
        <f t="shared" si="1"/>
        <v>359.50954633092965</v>
      </c>
      <c r="J12" s="8" t="s">
        <v>26</v>
      </c>
      <c r="K12" s="23">
        <v>0.37</v>
      </c>
    </row>
    <row r="13" spans="1:11" x14ac:dyDescent="0.2">
      <c r="A13" t="s">
        <v>15</v>
      </c>
      <c r="B13" s="1">
        <f>SUM(C12:G12)</f>
        <v>1587.469879102621</v>
      </c>
      <c r="J13" s="35" t="s">
        <v>31</v>
      </c>
      <c r="K13" s="24">
        <v>0.35</v>
      </c>
    </row>
    <row r="14" spans="1:11" x14ac:dyDescent="0.2">
      <c r="A14" t="s">
        <v>16</v>
      </c>
      <c r="G14" s="1">
        <f>G10/(K4-K5)</f>
        <v>7902.1428571428578</v>
      </c>
    </row>
    <row r="15" spans="1:11" ht="19" x14ac:dyDescent="0.35">
      <c r="A15" t="s">
        <v>17</v>
      </c>
      <c r="B15" s="2">
        <f>G14*G11</f>
        <v>5135.8506618704241</v>
      </c>
    </row>
    <row r="16" spans="1:11" x14ac:dyDescent="0.2">
      <c r="A16" s="21" t="s">
        <v>18</v>
      </c>
      <c r="B16" s="19">
        <f>B13+B15</f>
        <v>6723.3205409730454</v>
      </c>
    </row>
    <row r="17" spans="1:7" x14ac:dyDescent="0.2">
      <c r="A17" s="21" t="s">
        <v>19</v>
      </c>
      <c r="B17" s="26">
        <f>B16/K6</f>
        <v>6.3909891073888261</v>
      </c>
    </row>
    <row r="19" spans="1:7" x14ac:dyDescent="0.2">
      <c r="B19" t="s">
        <v>20</v>
      </c>
    </row>
    <row r="20" spans="1:7" x14ac:dyDescent="0.2">
      <c r="A20" s="5" t="s">
        <v>0</v>
      </c>
      <c r="B20" s="6">
        <v>2008</v>
      </c>
      <c r="C20" s="6">
        <v>2009</v>
      </c>
      <c r="D20" s="6">
        <v>2010</v>
      </c>
      <c r="E20" s="6">
        <v>2011</v>
      </c>
      <c r="F20" s="6">
        <v>2012</v>
      </c>
      <c r="G20" s="7" t="s">
        <v>8</v>
      </c>
    </row>
    <row r="21" spans="1:7" x14ac:dyDescent="0.2">
      <c r="A21" s="8" t="s">
        <v>1</v>
      </c>
      <c r="B21" s="9"/>
      <c r="C21" s="10">
        <f>0*K7</f>
        <v>0</v>
      </c>
      <c r="D21" s="10">
        <f>102*K7</f>
        <v>51</v>
      </c>
      <c r="E21" s="10">
        <f>205*K7</f>
        <v>102.5</v>
      </c>
      <c r="F21" s="10">
        <f>256*K7</f>
        <v>128</v>
      </c>
      <c r="G21" s="11">
        <f>270*K7</f>
        <v>135</v>
      </c>
    </row>
    <row r="22" spans="1:7" x14ac:dyDescent="0.2">
      <c r="A22" s="8" t="s">
        <v>2</v>
      </c>
      <c r="B22" s="9"/>
      <c r="C22" s="10">
        <f>44*K8</f>
        <v>0</v>
      </c>
      <c r="D22" s="10">
        <f>114*K8</f>
        <v>0</v>
      </c>
      <c r="E22" s="10">
        <f>118*K8</f>
        <v>0</v>
      </c>
      <c r="F22" s="10">
        <f>121*K8</f>
        <v>0</v>
      </c>
      <c r="G22" s="11">
        <f>125*K8</f>
        <v>0</v>
      </c>
    </row>
    <row r="23" spans="1:7" x14ac:dyDescent="0.2">
      <c r="A23" s="8" t="s">
        <v>3</v>
      </c>
      <c r="B23" s="9"/>
      <c r="C23" s="10">
        <f>38*K9</f>
        <v>38</v>
      </c>
      <c r="D23" s="10">
        <f>98*K9</f>
        <v>98</v>
      </c>
      <c r="E23" s="10">
        <f>109*K9</f>
        <v>109</v>
      </c>
      <c r="F23" s="10">
        <f>111*K9</f>
        <v>111</v>
      </c>
      <c r="G23" s="11">
        <f>112*K9</f>
        <v>112</v>
      </c>
    </row>
    <row r="24" spans="1:7" x14ac:dyDescent="0.2">
      <c r="A24" s="8" t="s">
        <v>4</v>
      </c>
      <c r="B24" s="9"/>
      <c r="C24" s="10">
        <f>38*K10</f>
        <v>38</v>
      </c>
      <c r="D24" s="10">
        <f>98*K10</f>
        <v>98</v>
      </c>
      <c r="E24" s="10">
        <f>101*K10</f>
        <v>101</v>
      </c>
      <c r="F24" s="10">
        <f>104*K10</f>
        <v>104</v>
      </c>
      <c r="G24" s="11">
        <f>107*K10</f>
        <v>107</v>
      </c>
    </row>
    <row r="25" spans="1:7" x14ac:dyDescent="0.2">
      <c r="A25" s="8" t="s">
        <v>5</v>
      </c>
      <c r="B25" s="9"/>
      <c r="C25" s="10">
        <f>63*K11</f>
        <v>47.25</v>
      </c>
      <c r="D25" s="10">
        <f>103*K11</f>
        <v>77.25</v>
      </c>
      <c r="E25" s="10">
        <f>113*K11</f>
        <v>84.75</v>
      </c>
      <c r="F25" s="10">
        <f>123*K11</f>
        <v>92.25</v>
      </c>
      <c r="G25" s="11">
        <f>124*K11</f>
        <v>93</v>
      </c>
    </row>
    <row r="26" spans="1:7" ht="19" x14ac:dyDescent="0.35">
      <c r="A26" s="8" t="s">
        <v>6</v>
      </c>
      <c r="B26" s="9"/>
      <c r="C26" s="12">
        <f>40*K12</f>
        <v>14.8</v>
      </c>
      <c r="D26" s="12">
        <f>103*K12</f>
        <v>38.11</v>
      </c>
      <c r="E26" s="12">
        <f>106*K12</f>
        <v>39.22</v>
      </c>
      <c r="F26" s="12">
        <f>109*K12</f>
        <v>40.33</v>
      </c>
      <c r="G26" s="13">
        <f>113*K12</f>
        <v>41.81</v>
      </c>
    </row>
    <row r="27" spans="1:7" x14ac:dyDescent="0.2">
      <c r="A27" s="16" t="s">
        <v>7</v>
      </c>
      <c r="B27" s="14"/>
      <c r="C27" s="17">
        <f>SUM(C21:C26)</f>
        <v>138.05000000000001</v>
      </c>
      <c r="D27" s="17">
        <f t="shared" ref="D27" si="2">SUM(D21:D26)</f>
        <v>362.36</v>
      </c>
      <c r="E27" s="17">
        <f t="shared" ref="E27" si="3">SUM(E21:E26)</f>
        <v>436.47</v>
      </c>
      <c r="F27" s="17">
        <f t="shared" ref="F27" si="4">SUM(F21:F26)</f>
        <v>475.58</v>
      </c>
      <c r="G27" s="18">
        <f t="shared" ref="G27" si="5">SUM(G21:G26)</f>
        <v>488.81</v>
      </c>
    </row>
    <row r="28" spans="1:7" x14ac:dyDescent="0.2">
      <c r="A28" s="36" t="s">
        <v>59</v>
      </c>
      <c r="B28" s="36"/>
      <c r="C28" s="37">
        <f>C27*(1-$K$13)</f>
        <v>89.732500000000016</v>
      </c>
      <c r="D28" s="37">
        <f>D27*(1-$K$13)</f>
        <v>235.53400000000002</v>
      </c>
      <c r="E28" s="37">
        <f>E27*(1-$K$13)</f>
        <v>283.70550000000003</v>
      </c>
      <c r="F28" s="37">
        <f>F27*(1-$K$13)</f>
        <v>309.12700000000001</v>
      </c>
      <c r="G28" s="37">
        <f>G27*(1-$K$13)</f>
        <v>317.72649999999999</v>
      </c>
    </row>
    <row r="29" spans="1:7" x14ac:dyDescent="0.2">
      <c r="A29" t="s">
        <v>13</v>
      </c>
      <c r="C29" s="4">
        <f>1/(1+$K$4)^1</f>
        <v>0.9174311926605504</v>
      </c>
      <c r="D29" s="4">
        <f>1/(1+$K$4)^2</f>
        <v>0.84167999326655996</v>
      </c>
      <c r="E29" s="4">
        <f>1/(1+$K$4)^3</f>
        <v>0.77218348006106419</v>
      </c>
      <c r="F29" s="4">
        <f>1/(1+$K$4)^4</f>
        <v>0.7084252110651964</v>
      </c>
      <c r="G29" s="4">
        <f>1/(1+$K$4)^5</f>
        <v>0.64993138629834524</v>
      </c>
    </row>
    <row r="30" spans="1:7" x14ac:dyDescent="0.2">
      <c r="A30" t="s">
        <v>14</v>
      </c>
      <c r="C30" s="1">
        <f>C28*C29</f>
        <v>82.323394495412856</v>
      </c>
      <c r="D30" s="1">
        <f t="shared" ref="D30:G30" si="6">D28*D29</f>
        <v>198.24425553404595</v>
      </c>
      <c r="E30" s="1">
        <f t="shared" si="6"/>
        <v>219.07270030246426</v>
      </c>
      <c r="F30" s="1">
        <f t="shared" si="6"/>
        <v>218.99336022095096</v>
      </c>
      <c r="G30" s="1">
        <f t="shared" si="6"/>
        <v>206.50042460872118</v>
      </c>
    </row>
    <row r="31" spans="1:7" x14ac:dyDescent="0.2">
      <c r="A31" t="s">
        <v>15</v>
      </c>
      <c r="B31" s="1">
        <f>SUM(C30:G30)</f>
        <v>925.13413516159517</v>
      </c>
    </row>
    <row r="32" spans="1:7" x14ac:dyDescent="0.2">
      <c r="A32" t="s">
        <v>16</v>
      </c>
      <c r="G32" s="1">
        <f>G28/(K4-K5)</f>
        <v>4538.9500000000007</v>
      </c>
    </row>
    <row r="33" spans="1:2" ht="19" x14ac:dyDescent="0.35">
      <c r="A33" t="s">
        <v>17</v>
      </c>
      <c r="B33" s="2">
        <f>G32*G29</f>
        <v>2950.0060658388747</v>
      </c>
    </row>
    <row r="34" spans="1:2" x14ac:dyDescent="0.2">
      <c r="A34" s="21" t="s">
        <v>18</v>
      </c>
      <c r="B34" s="19">
        <f>B31+B33</f>
        <v>3875.1402010004699</v>
      </c>
    </row>
    <row r="35" spans="1:2" x14ac:dyDescent="0.2">
      <c r="A35" s="21" t="s">
        <v>19</v>
      </c>
      <c r="B35" s="26">
        <f>B34/K6</f>
        <v>3.6835933469586215</v>
      </c>
    </row>
  </sheetData>
  <mergeCells count="1">
    <mergeCell ref="A1:H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C7A19-0F04-204D-825C-54B5F285D62F}">
  <dimension ref="A1:R59"/>
  <sheetViews>
    <sheetView topLeftCell="A29" workbookViewId="0">
      <selection activeCell="P56" sqref="P56"/>
    </sheetView>
  </sheetViews>
  <sheetFormatPr baseColWidth="10" defaultRowHeight="16" x14ac:dyDescent="0.2"/>
  <cols>
    <col min="1" max="1" width="26.6640625" bestFit="1" customWidth="1"/>
    <col min="2" max="2" width="12.5" bestFit="1" customWidth="1"/>
    <col min="3" max="3" width="11.5" bestFit="1" customWidth="1"/>
    <col min="12" max="12" width="12.6640625" customWidth="1"/>
    <col min="15" max="15" width="25.83203125" bestFit="1" customWidth="1"/>
  </cols>
  <sheetData>
    <row r="1" spans="1:16" x14ac:dyDescent="0.2">
      <c r="B1" s="34" t="s">
        <v>28</v>
      </c>
      <c r="C1" s="34"/>
      <c r="D1" s="34"/>
      <c r="E1" s="34"/>
      <c r="F1" s="34"/>
      <c r="G1" s="34"/>
      <c r="H1" s="34"/>
      <c r="I1" s="34"/>
      <c r="J1" s="34"/>
      <c r="K1" s="34"/>
      <c r="L1" s="34"/>
    </row>
    <row r="2" spans="1:16" x14ac:dyDescent="0.2">
      <c r="A2" s="5"/>
      <c r="B2" s="6">
        <v>2008</v>
      </c>
      <c r="C2" s="6">
        <v>2009</v>
      </c>
      <c r="D2" s="6">
        <v>2010</v>
      </c>
      <c r="E2" s="6">
        <v>2011</v>
      </c>
      <c r="F2" s="6">
        <v>2012</v>
      </c>
      <c r="G2" s="6">
        <v>2013</v>
      </c>
      <c r="H2" s="6">
        <v>2014</v>
      </c>
      <c r="I2" s="6">
        <v>2015</v>
      </c>
      <c r="J2" s="6">
        <v>2016</v>
      </c>
      <c r="K2" s="6">
        <v>2017</v>
      </c>
      <c r="L2" s="7">
        <v>2018</v>
      </c>
      <c r="O2" t="s">
        <v>37</v>
      </c>
    </row>
    <row r="3" spans="1:16" x14ac:dyDescent="0.2">
      <c r="A3" s="8" t="s">
        <v>29</v>
      </c>
      <c r="B3" s="10">
        <v>13418</v>
      </c>
      <c r="C3" s="10">
        <v>13535</v>
      </c>
      <c r="D3" s="10">
        <f>C3*(1+$P$3)</f>
        <v>14482.45</v>
      </c>
      <c r="E3" s="10">
        <f>D3*(1+$P$3)</f>
        <v>15496.221500000001</v>
      </c>
      <c r="F3" s="10">
        <f>E3*(1+$P$3)</f>
        <v>16580.957005000004</v>
      </c>
      <c r="G3" s="10">
        <f>F3*(1+$P$3)</f>
        <v>17741.623995350004</v>
      </c>
      <c r="H3" s="10">
        <f t="shared" ref="H3:L3" si="0">G3*(1+$P$3)</f>
        <v>18983.537675024505</v>
      </c>
      <c r="I3" s="10">
        <f t="shared" si="0"/>
        <v>20312.385312276223</v>
      </c>
      <c r="J3" s="10">
        <f t="shared" si="0"/>
        <v>21734.25228413556</v>
      </c>
      <c r="K3" s="10">
        <f t="shared" si="0"/>
        <v>23255.649944025052</v>
      </c>
      <c r="L3" s="11">
        <f t="shared" si="0"/>
        <v>24883.545440106805</v>
      </c>
      <c r="O3" t="s">
        <v>38</v>
      </c>
      <c r="P3" s="27">
        <v>7.0000000000000007E-2</v>
      </c>
    </row>
    <row r="4" spans="1:16" x14ac:dyDescent="0.2">
      <c r="A4" s="8" t="s">
        <v>30</v>
      </c>
      <c r="B4" s="10">
        <v>5329</v>
      </c>
      <c r="C4" s="10">
        <v>5638</v>
      </c>
      <c r="D4" s="10">
        <f>D3*($P$5)</f>
        <v>6937.0935500000005</v>
      </c>
      <c r="E4" s="10">
        <f>E3*($P$5)</f>
        <v>7422.6900985000002</v>
      </c>
      <c r="F4" s="10">
        <f>F3*($P$5)</f>
        <v>7942.2784053950018</v>
      </c>
      <c r="G4" s="10">
        <f>G3*($P$5)</f>
        <v>8498.2378937726517</v>
      </c>
      <c r="H4" s="10">
        <f t="shared" ref="H4:L4" si="1">H3*($P$5)</f>
        <v>9093.1145463367375</v>
      </c>
      <c r="I4" s="10">
        <f t="shared" si="1"/>
        <v>9729.6325645803099</v>
      </c>
      <c r="J4" s="10">
        <f t="shared" si="1"/>
        <v>10410.706844100932</v>
      </c>
      <c r="K4" s="10">
        <f t="shared" si="1"/>
        <v>11139.456323188</v>
      </c>
      <c r="L4" s="11">
        <f t="shared" si="1"/>
        <v>11919.21826581116</v>
      </c>
      <c r="O4" t="s">
        <v>39</v>
      </c>
      <c r="P4" s="27">
        <v>0.02</v>
      </c>
    </row>
    <row r="5" spans="1:16" ht="19" x14ac:dyDescent="0.35">
      <c r="A5" s="8" t="s">
        <v>31</v>
      </c>
      <c r="B5" s="12">
        <v>2004</v>
      </c>
      <c r="C5" s="12">
        <v>1973</v>
      </c>
      <c r="D5" s="12">
        <f>D4*$P$6</f>
        <v>2427.9827424999999</v>
      </c>
      <c r="E5" s="12">
        <f>E4*$P$6</f>
        <v>2597.941534475</v>
      </c>
      <c r="F5" s="12">
        <f>F4*$P$6</f>
        <v>2779.7974418882504</v>
      </c>
      <c r="G5" s="12">
        <f>G4*$P$6</f>
        <v>2974.3832628204277</v>
      </c>
      <c r="H5" s="12">
        <f t="shared" ref="H5:L5" si="2">H4*$P$6</f>
        <v>3182.5900912178581</v>
      </c>
      <c r="I5" s="12">
        <f t="shared" si="2"/>
        <v>3405.3713976031081</v>
      </c>
      <c r="J5" s="12">
        <f t="shared" si="2"/>
        <v>3643.7473954353259</v>
      </c>
      <c r="K5" s="12">
        <f t="shared" si="2"/>
        <v>3898.8097131157997</v>
      </c>
      <c r="L5" s="13">
        <f t="shared" si="2"/>
        <v>4171.7263930339059</v>
      </c>
      <c r="O5" t="s">
        <v>40</v>
      </c>
      <c r="P5" s="27">
        <v>0.47899999999999998</v>
      </c>
    </row>
    <row r="6" spans="1:16" x14ac:dyDescent="0.2">
      <c r="A6" s="8" t="s">
        <v>32</v>
      </c>
      <c r="B6" s="10">
        <f>B4-B5</f>
        <v>3325</v>
      </c>
      <c r="C6" s="10">
        <f>C4-C5</f>
        <v>3665</v>
      </c>
      <c r="D6" s="10">
        <f>D4-D5</f>
        <v>4509.1108075000011</v>
      </c>
      <c r="E6" s="10">
        <f t="shared" ref="E6:G6" si="3">E4-E5</f>
        <v>4824.7485640249997</v>
      </c>
      <c r="F6" s="10">
        <f t="shared" si="3"/>
        <v>5162.4809635067513</v>
      </c>
      <c r="G6" s="10">
        <f t="shared" si="3"/>
        <v>5523.8546309522244</v>
      </c>
      <c r="H6" s="10">
        <f t="shared" ref="H6" si="4">H4-H5</f>
        <v>5910.5244551188789</v>
      </c>
      <c r="I6" s="10">
        <f t="shared" ref="I6" si="5">I4-I5</f>
        <v>6324.2611669772014</v>
      </c>
      <c r="J6" s="10">
        <f t="shared" ref="J6" si="6">J4-J5</f>
        <v>6766.959448665606</v>
      </c>
      <c r="K6" s="10">
        <f t="shared" ref="K6" si="7">K4-K5</f>
        <v>7240.6466100722009</v>
      </c>
      <c r="L6" s="11">
        <f t="shared" ref="L6" si="8">L4-L5</f>
        <v>7747.4918727772538</v>
      </c>
      <c r="O6" t="s">
        <v>31</v>
      </c>
      <c r="P6" s="3">
        <v>0.35</v>
      </c>
    </row>
    <row r="7" spans="1:16" x14ac:dyDescent="0.2">
      <c r="A7" s="8" t="s">
        <v>36</v>
      </c>
      <c r="B7" s="10">
        <v>592</v>
      </c>
      <c r="C7" s="10">
        <v>577</v>
      </c>
      <c r="D7" s="10">
        <f>D3*$P$7</f>
        <v>477.92085000000003</v>
      </c>
      <c r="E7" s="10">
        <f>E3*$P$7</f>
        <v>511.37530950000007</v>
      </c>
      <c r="F7" s="10">
        <f>F3*$P$7</f>
        <v>547.17158116500013</v>
      </c>
      <c r="G7" s="10">
        <f>G3*$P$7</f>
        <v>585.47359184655022</v>
      </c>
      <c r="H7" s="10">
        <f t="shared" ref="H7:L7" si="9">H3*$P$7</f>
        <v>626.45674327580866</v>
      </c>
      <c r="I7" s="10">
        <f t="shared" si="9"/>
        <v>670.30871530511536</v>
      </c>
      <c r="J7" s="10">
        <f t="shared" si="9"/>
        <v>717.2303253764735</v>
      </c>
      <c r="K7" s="10">
        <f t="shared" si="9"/>
        <v>767.43644815282676</v>
      </c>
      <c r="L7" s="11">
        <f t="shared" si="9"/>
        <v>821.15699952352463</v>
      </c>
      <c r="O7" t="s">
        <v>42</v>
      </c>
      <c r="P7" s="27">
        <v>3.3000000000000002E-2</v>
      </c>
    </row>
    <row r="8" spans="1:16" x14ac:dyDescent="0.2">
      <c r="A8" s="8" t="s">
        <v>33</v>
      </c>
      <c r="B8" s="10">
        <f>-705</f>
        <v>-705</v>
      </c>
      <c r="C8" s="10">
        <v>-457</v>
      </c>
      <c r="D8" s="10">
        <f>-(D3*$P$8)</f>
        <v>-188.27185</v>
      </c>
      <c r="E8" s="10">
        <f>-(E3*$P$8)</f>
        <v>-201.45087950000001</v>
      </c>
      <c r="F8" s="10">
        <f>-(F3*$P$8)</f>
        <v>-215.55244106500004</v>
      </c>
      <c r="G8" s="10">
        <f>-(G3*$P$8)</f>
        <v>-230.64111193955006</v>
      </c>
      <c r="H8" s="10">
        <f t="shared" ref="H8:L8" si="10">-(H3*$P$8)</f>
        <v>-246.78598977531854</v>
      </c>
      <c r="I8" s="10">
        <f t="shared" si="10"/>
        <v>-264.0610090595909</v>
      </c>
      <c r="J8" s="10">
        <f t="shared" si="10"/>
        <v>-282.54527969376227</v>
      </c>
      <c r="K8" s="10">
        <f t="shared" si="10"/>
        <v>-302.32344927232566</v>
      </c>
      <c r="L8" s="11">
        <f t="shared" si="10"/>
        <v>-323.48609072138845</v>
      </c>
      <c r="O8" t="s">
        <v>41</v>
      </c>
      <c r="P8" s="27">
        <v>1.2999999999999999E-2</v>
      </c>
    </row>
    <row r="9" spans="1:16" ht="19" x14ac:dyDescent="0.35">
      <c r="A9" s="8" t="s">
        <v>34</v>
      </c>
      <c r="B9" s="12">
        <f>-751</f>
        <v>-751</v>
      </c>
      <c r="C9" s="12">
        <v>-672</v>
      </c>
      <c r="D9" s="12">
        <f>-(D3*$P$9)</f>
        <v>-564.81555000000003</v>
      </c>
      <c r="E9" s="12">
        <f>-(E3*$P$9)</f>
        <v>-604.35263850000001</v>
      </c>
      <c r="F9" s="12">
        <f>-(F3*$P$9)</f>
        <v>-646.65732319500012</v>
      </c>
      <c r="G9" s="12">
        <f>-(G3*$P$9)</f>
        <v>-691.92333581865012</v>
      </c>
      <c r="H9" s="12">
        <f t="shared" ref="H9:L9" si="11">-(H3*$P$9)</f>
        <v>-740.35796932595565</v>
      </c>
      <c r="I9" s="12">
        <f t="shared" si="11"/>
        <v>-792.1830271787727</v>
      </c>
      <c r="J9" s="12">
        <f t="shared" si="11"/>
        <v>-847.6358390812868</v>
      </c>
      <c r="K9" s="12">
        <f t="shared" si="11"/>
        <v>-906.97034781697698</v>
      </c>
      <c r="L9" s="13">
        <f t="shared" si="11"/>
        <v>-970.45827216416546</v>
      </c>
      <c r="O9" t="s">
        <v>43</v>
      </c>
      <c r="P9" s="27">
        <v>3.9E-2</v>
      </c>
    </row>
    <row r="10" spans="1:16" x14ac:dyDescent="0.2">
      <c r="A10" s="8" t="s">
        <v>35</v>
      </c>
      <c r="B10" s="10">
        <f>B6+B7+B8+B9</f>
        <v>2461</v>
      </c>
      <c r="C10" s="10">
        <f>C6+C7+C8+C9</f>
        <v>3113</v>
      </c>
      <c r="D10" s="10">
        <f t="shared" ref="D10:G10" si="12">D6+D7+D8+D9</f>
        <v>4233.9442575000012</v>
      </c>
      <c r="E10" s="10">
        <f t="shared" si="12"/>
        <v>4530.3203555250002</v>
      </c>
      <c r="F10" s="10">
        <f t="shared" si="12"/>
        <v>4847.4427804117513</v>
      </c>
      <c r="G10" s="10">
        <f t="shared" si="12"/>
        <v>5186.7637750405747</v>
      </c>
      <c r="H10" s="10">
        <f t="shared" ref="H10" si="13">H6+H7+H8+H9</f>
        <v>5549.8372392934134</v>
      </c>
      <c r="I10" s="10">
        <f t="shared" ref="I10" si="14">I6+I7+I8+I9</f>
        <v>5938.3258460439529</v>
      </c>
      <c r="J10" s="10">
        <f t="shared" ref="J10" si="15">J6+J7+J8+J9</f>
        <v>6354.00865526703</v>
      </c>
      <c r="K10" s="10">
        <f t="shared" ref="K10" si="16">K6+K7+K8+K9</f>
        <v>6798.7892611357247</v>
      </c>
      <c r="L10" s="11">
        <f t="shared" ref="L10" si="17">L6+L7+L8+L9</f>
        <v>7274.7045094152254</v>
      </c>
      <c r="O10" t="s">
        <v>46</v>
      </c>
      <c r="P10" s="27">
        <v>1.2999999999999999E-2</v>
      </c>
    </row>
    <row r="11" spans="1:16" ht="19" x14ac:dyDescent="0.35">
      <c r="A11" s="8" t="s">
        <v>47</v>
      </c>
      <c r="B11" s="12">
        <v>0</v>
      </c>
      <c r="C11" s="12">
        <v>-1567</v>
      </c>
      <c r="D11" s="12">
        <f>-(D3*$P$10)</f>
        <v>-188.27185</v>
      </c>
      <c r="E11" s="12">
        <f>-(E3*$P$10)</f>
        <v>-201.45087950000001</v>
      </c>
      <c r="F11" s="12">
        <f>-(F3*$P$10)</f>
        <v>-215.55244106500004</v>
      </c>
      <c r="G11" s="12">
        <f>-(G3*$P$10)</f>
        <v>-230.64111193955006</v>
      </c>
      <c r="H11" s="12">
        <f t="shared" ref="H11:L11" si="18">-(H3*$P$10)</f>
        <v>-246.78598977531854</v>
      </c>
      <c r="I11" s="12">
        <f t="shared" si="18"/>
        <v>-264.0610090595909</v>
      </c>
      <c r="J11" s="12">
        <f t="shared" si="18"/>
        <v>-282.54527969376227</v>
      </c>
      <c r="K11" s="12">
        <f t="shared" si="18"/>
        <v>-302.32344927232566</v>
      </c>
      <c r="L11" s="13">
        <f t="shared" si="18"/>
        <v>-323.48609072138845</v>
      </c>
      <c r="O11" t="s">
        <v>44</v>
      </c>
      <c r="P11" s="1">
        <f>7000</f>
        <v>7000</v>
      </c>
    </row>
    <row r="12" spans="1:16" x14ac:dyDescent="0.2">
      <c r="A12" s="16" t="s">
        <v>48</v>
      </c>
      <c r="B12" s="17">
        <f>B10+B11</f>
        <v>2461</v>
      </c>
      <c r="C12" s="17">
        <f>C10+C11</f>
        <v>1546</v>
      </c>
      <c r="D12" s="17">
        <f t="shared" ref="D12:G12" si="19">D10+D11</f>
        <v>4045.6724075000011</v>
      </c>
      <c r="E12" s="17">
        <f t="shared" si="19"/>
        <v>4328.869476025</v>
      </c>
      <c r="F12" s="17">
        <f t="shared" si="19"/>
        <v>4631.8903393467517</v>
      </c>
      <c r="G12" s="17">
        <f t="shared" si="19"/>
        <v>4956.122663101025</v>
      </c>
      <c r="H12" s="17">
        <f t="shared" ref="H12" si="20">H10+H11</f>
        <v>5303.0512495180947</v>
      </c>
      <c r="I12" s="17">
        <f t="shared" ref="I12" si="21">I10+I11</f>
        <v>5674.2648369843619</v>
      </c>
      <c r="J12" s="17">
        <f t="shared" ref="J12" si="22">J10+J11</f>
        <v>6071.4633755732675</v>
      </c>
      <c r="K12" s="17">
        <f t="shared" ref="K12" si="23">K10+K11</f>
        <v>6496.4658118633988</v>
      </c>
      <c r="L12" s="18">
        <f t="shared" ref="L12" si="24">L10+L11</f>
        <v>6951.2184186938366</v>
      </c>
      <c r="O12" t="s">
        <v>45</v>
      </c>
      <c r="P12" s="1">
        <v>2829</v>
      </c>
    </row>
    <row r="13" spans="1:16" x14ac:dyDescent="0.2">
      <c r="A13" t="s">
        <v>13</v>
      </c>
      <c r="B13" s="4">
        <f>1/(1+$P$13)^0</f>
        <v>1</v>
      </c>
      <c r="C13" s="4">
        <f>1/(1+$P$13)^1</f>
        <v>0.9174311926605504</v>
      </c>
      <c r="D13" s="4">
        <f>1/(1+$P$13)^2</f>
        <v>0.84167999326655996</v>
      </c>
      <c r="E13" s="4">
        <f>1/(1+$P$13)^3</f>
        <v>0.77218348006106419</v>
      </c>
      <c r="F13" s="4">
        <f>1/(1+$P$13)^4</f>
        <v>0.7084252110651964</v>
      </c>
      <c r="G13" s="4">
        <f>1/(1+$P$13)^5</f>
        <v>0.64993138629834524</v>
      </c>
      <c r="H13" s="4">
        <f>1/(1+$P$13)^6</f>
        <v>0.5962673268792158</v>
      </c>
      <c r="I13" s="4">
        <f>1/(1+$P$13)^7</f>
        <v>0.54703424484331731</v>
      </c>
      <c r="J13" s="4">
        <f>1/(1+$P$13)^8</f>
        <v>0.50186627967276809</v>
      </c>
      <c r="K13" s="4">
        <f>1/(1+$P$13)^9</f>
        <v>0.46042777951630098</v>
      </c>
      <c r="L13" s="4">
        <f>1/(1+$P$13)^10</f>
        <v>0.42241080689568894</v>
      </c>
      <c r="O13" t="s">
        <v>11</v>
      </c>
      <c r="P13" s="3">
        <v>0.09</v>
      </c>
    </row>
    <row r="14" spans="1:16" ht="19" x14ac:dyDescent="0.35">
      <c r="A14" t="s">
        <v>50</v>
      </c>
      <c r="B14" s="29">
        <f>B12*B13</f>
        <v>2461</v>
      </c>
      <c r="C14" s="28">
        <f t="shared" ref="C14:G14" si="25">C12*C13</f>
        <v>1418.3486238532109</v>
      </c>
      <c r="D14" s="28">
        <f t="shared" si="25"/>
        <v>3405.1615247033083</v>
      </c>
      <c r="E14" s="28">
        <f t="shared" si="25"/>
        <v>3342.6814967270998</v>
      </c>
      <c r="F14" s="28">
        <f t="shared" si="25"/>
        <v>3281.3478912825667</v>
      </c>
      <c r="G14" s="28">
        <f t="shared" si="25"/>
        <v>3221.1396730938959</v>
      </c>
      <c r="H14" s="28">
        <f t="shared" ref="H14" si="26">H12*H13</f>
        <v>3162.0361928536395</v>
      </c>
      <c r="I14" s="28">
        <f t="shared" ref="I14" si="27">I12*I13</f>
        <v>3104.0171801407296</v>
      </c>
      <c r="J14" s="28">
        <f t="shared" ref="J14" si="28">J12*J13</f>
        <v>3047.0627364684219</v>
      </c>
      <c r="K14" s="28">
        <f t="shared" ref="K14" si="29">K12*K13</f>
        <v>2991.1533284598281</v>
      </c>
      <c r="L14" s="28">
        <f t="shared" ref="L14" si="30">L12*L13</f>
        <v>2936.2697811486382</v>
      </c>
      <c r="O14" t="s">
        <v>55</v>
      </c>
      <c r="P14">
        <v>1052</v>
      </c>
    </row>
    <row r="15" spans="1:16" x14ac:dyDescent="0.2">
      <c r="A15" s="30" t="s">
        <v>49</v>
      </c>
      <c r="B15" s="31">
        <f>SUM(B14:L14)</f>
        <v>32370.218428731347</v>
      </c>
    </row>
    <row r="16" spans="1:16" x14ac:dyDescent="0.2">
      <c r="A16" t="s">
        <v>16</v>
      </c>
      <c r="B16" s="32"/>
      <c r="L16" s="28">
        <f>L12*(1+P4)/(P13-P4)</f>
        <v>101289.18267239592</v>
      </c>
    </row>
    <row r="17" spans="1:18" ht="19" x14ac:dyDescent="0.35">
      <c r="A17" s="30" t="s">
        <v>17</v>
      </c>
      <c r="B17" s="33">
        <f>L16*L13</f>
        <v>42785.645382451599</v>
      </c>
    </row>
    <row r="18" spans="1:18" x14ac:dyDescent="0.2">
      <c r="A18" s="21" t="s">
        <v>51</v>
      </c>
      <c r="B18" s="20">
        <f>B15+B17</f>
        <v>75155.86381118295</v>
      </c>
    </row>
    <row r="19" spans="1:18" ht="19" x14ac:dyDescent="0.35">
      <c r="A19" t="s">
        <v>52</v>
      </c>
      <c r="B19" s="2">
        <f>P12-P11</f>
        <v>-4171</v>
      </c>
    </row>
    <row r="20" spans="1:18" x14ac:dyDescent="0.2">
      <c r="A20" s="21" t="s">
        <v>53</v>
      </c>
      <c r="B20" s="26">
        <f>B18-B19</f>
        <v>79326.86381118295</v>
      </c>
    </row>
    <row r="21" spans="1:18" x14ac:dyDescent="0.2">
      <c r="A21" s="21" t="s">
        <v>54</v>
      </c>
      <c r="B21" s="26">
        <f>B20/P14</f>
        <v>75.405764079071247</v>
      </c>
    </row>
    <row r="24" spans="1:18" x14ac:dyDescent="0.2">
      <c r="B24" s="38" t="s">
        <v>28</v>
      </c>
      <c r="C24" s="38"/>
      <c r="D24" s="38"/>
      <c r="E24" s="38"/>
      <c r="F24" s="38"/>
      <c r="G24" s="38"/>
      <c r="H24" s="38"/>
      <c r="I24" s="38"/>
      <c r="J24" s="38"/>
      <c r="K24" s="38"/>
      <c r="L24" s="38"/>
    </row>
    <row r="25" spans="1:18" x14ac:dyDescent="0.2">
      <c r="A25" s="5"/>
      <c r="B25" s="6">
        <v>2008</v>
      </c>
      <c r="C25" s="6">
        <v>2009</v>
      </c>
      <c r="D25" s="6">
        <v>2010</v>
      </c>
      <c r="E25" s="6">
        <v>2011</v>
      </c>
      <c r="F25" s="6">
        <v>2012</v>
      </c>
      <c r="G25" s="6">
        <v>2013</v>
      </c>
      <c r="H25" s="6">
        <v>2014</v>
      </c>
      <c r="I25" s="6">
        <v>2015</v>
      </c>
      <c r="J25" s="6">
        <v>2016</v>
      </c>
      <c r="K25" s="6">
        <v>2017</v>
      </c>
      <c r="L25" s="6">
        <v>2018</v>
      </c>
      <c r="M25" s="6">
        <v>2019</v>
      </c>
      <c r="N25" s="6">
        <v>2020</v>
      </c>
      <c r="O25" s="6">
        <v>2021</v>
      </c>
      <c r="P25" s="6">
        <v>2022</v>
      </c>
      <c r="Q25" s="6">
        <v>2023</v>
      </c>
      <c r="R25" s="7">
        <v>2024</v>
      </c>
    </row>
    <row r="26" spans="1:18" x14ac:dyDescent="0.2">
      <c r="A26" s="8" t="s">
        <v>29</v>
      </c>
      <c r="B26" s="10">
        <v>13418</v>
      </c>
      <c r="C26" s="10">
        <v>14118</v>
      </c>
      <c r="D26" s="10">
        <f>C26*(1+$P$46)</f>
        <v>15092.142</v>
      </c>
      <c r="E26" s="10">
        <f>D26*(1+$P$46)</f>
        <v>16133.499797999999</v>
      </c>
      <c r="F26" s="10">
        <f>E26*(1+$P$46)</f>
        <v>17246.711284061999</v>
      </c>
      <c r="G26" s="10">
        <f>F26*(1+$P$46)</f>
        <v>18436.734362662275</v>
      </c>
      <c r="H26" s="10">
        <f>G26*(1+$P$46)</f>
        <v>19708.869033685973</v>
      </c>
      <c r="I26" s="10">
        <f>H26*(1+$P$46)</f>
        <v>21068.780997010304</v>
      </c>
      <c r="J26" s="10">
        <f>I26*(1+$P$46)</f>
        <v>22522.526885804014</v>
      </c>
      <c r="K26" s="10">
        <f>J26*(1+$P$46)</f>
        <v>24076.58124092449</v>
      </c>
      <c r="L26" s="10">
        <f>K26*(1+$P$46)</f>
        <v>25737.865346548278</v>
      </c>
      <c r="M26" s="10">
        <f t="shared" ref="M26:R26" si="31">L26*(1+$P$46)</f>
        <v>27513.778055460109</v>
      </c>
      <c r="N26" s="10">
        <f t="shared" si="31"/>
        <v>29412.228741286854</v>
      </c>
      <c r="O26" s="10">
        <f t="shared" si="31"/>
        <v>31441.672524435646</v>
      </c>
      <c r="P26" s="10">
        <f t="shared" si="31"/>
        <v>33611.147928621707</v>
      </c>
      <c r="Q26" s="10">
        <f t="shared" si="31"/>
        <v>35930.317135696605</v>
      </c>
      <c r="R26" s="11">
        <f t="shared" si="31"/>
        <v>38409.509018059667</v>
      </c>
    </row>
    <row r="27" spans="1:18" x14ac:dyDescent="0.2">
      <c r="A27" s="8" t="s">
        <v>30</v>
      </c>
      <c r="B27" s="10">
        <v>5329</v>
      </c>
      <c r="C27" s="10">
        <v>5638</v>
      </c>
      <c r="D27" s="10">
        <f>D26*($P$48)</f>
        <v>7198.9517339999993</v>
      </c>
      <c r="E27" s="10">
        <f>E26*($P$48)</f>
        <v>7695.6794036459987</v>
      </c>
      <c r="F27" s="10">
        <f>F26*($P$48)</f>
        <v>8226.6812824975732</v>
      </c>
      <c r="G27" s="10">
        <f>G26*($P$48)</f>
        <v>8794.322290989905</v>
      </c>
      <c r="H27" s="10">
        <f>H26*($P$48)</f>
        <v>9401.1305290682085</v>
      </c>
      <c r="I27" s="10">
        <f>I26*($P$48)</f>
        <v>10049.808535573915</v>
      </c>
      <c r="J27" s="10">
        <f>J26*($P$48)</f>
        <v>10743.245324528514</v>
      </c>
      <c r="K27" s="10">
        <f>K26*($P$48)</f>
        <v>11484.529251920982</v>
      </c>
      <c r="L27" s="10">
        <f>L26*($P$48)</f>
        <v>12276.961770303529</v>
      </c>
      <c r="M27" s="10">
        <f t="shared" ref="M27:R27" si="32">M26*($P$48)</f>
        <v>13124.072132454472</v>
      </c>
      <c r="N27" s="10">
        <f t="shared" si="32"/>
        <v>14029.633109593829</v>
      </c>
      <c r="O27" s="10">
        <f t="shared" si="32"/>
        <v>14997.677794155803</v>
      </c>
      <c r="P27" s="10">
        <f t="shared" si="32"/>
        <v>16032.517561952554</v>
      </c>
      <c r="Q27" s="10">
        <f t="shared" si="32"/>
        <v>17138.761273727279</v>
      </c>
      <c r="R27" s="11">
        <f t="shared" si="32"/>
        <v>18321.335801614459</v>
      </c>
    </row>
    <row r="28" spans="1:18" ht="19" x14ac:dyDescent="0.35">
      <c r="A28" s="8" t="s">
        <v>31</v>
      </c>
      <c r="B28" s="12">
        <v>2004</v>
      </c>
      <c r="C28" s="12">
        <v>1973</v>
      </c>
      <c r="D28" s="12">
        <f>D27*$P$49</f>
        <v>2210.0781823379998</v>
      </c>
      <c r="E28" s="12">
        <f>E27*$P$49</f>
        <v>2362.5735769193216</v>
      </c>
      <c r="F28" s="12">
        <f>F27*$P$49</f>
        <v>2525.5911537267548</v>
      </c>
      <c r="G28" s="12">
        <f>G27*$P$49</f>
        <v>2699.8569433339007</v>
      </c>
      <c r="H28" s="12">
        <f>H27*$P$49</f>
        <v>2886.1470724239398</v>
      </c>
      <c r="I28" s="12">
        <f>I27*$P$49</f>
        <v>3085.2912204211916</v>
      </c>
      <c r="J28" s="12">
        <f>J27*$P$49</f>
        <v>3298.1763146302537</v>
      </c>
      <c r="K28" s="12">
        <f>K27*$P$49</f>
        <v>3525.7504803397414</v>
      </c>
      <c r="L28" s="12">
        <f>L27*$P$49</f>
        <v>3769.0272634831836</v>
      </c>
      <c r="M28" s="12">
        <f t="shared" ref="M28:R28" si="33">M27*$P$49</f>
        <v>4029.090144663523</v>
      </c>
      <c r="N28" s="12">
        <f t="shared" si="33"/>
        <v>4307.0973646453058</v>
      </c>
      <c r="O28" s="12">
        <f t="shared" si="33"/>
        <v>4604.2870828058312</v>
      </c>
      <c r="P28" s="12">
        <f t="shared" si="33"/>
        <v>4921.9828915194339</v>
      </c>
      <c r="Q28" s="12">
        <f t="shared" si="33"/>
        <v>5261.5997110342751</v>
      </c>
      <c r="R28" s="13">
        <f t="shared" si="33"/>
        <v>5624.6500910956393</v>
      </c>
    </row>
    <row r="29" spans="1:18" x14ac:dyDescent="0.2">
      <c r="A29" s="8" t="s">
        <v>32</v>
      </c>
      <c r="B29" s="10">
        <f>B27-B28</f>
        <v>3325</v>
      </c>
      <c r="C29" s="10">
        <f>C27-C28</f>
        <v>3665</v>
      </c>
      <c r="D29" s="10">
        <f>D27-D28</f>
        <v>4988.873551662</v>
      </c>
      <c r="E29" s="10">
        <f>E27-E28</f>
        <v>5333.1058267266772</v>
      </c>
      <c r="F29" s="10">
        <f>F27-F28</f>
        <v>5701.0901287708184</v>
      </c>
      <c r="G29" s="10">
        <f>G27-G28</f>
        <v>6094.4653476560043</v>
      </c>
      <c r="H29" s="10">
        <f>H27-H28</f>
        <v>6514.9834566442687</v>
      </c>
      <c r="I29" s="10">
        <f>I27-I28</f>
        <v>6964.5173151527233</v>
      </c>
      <c r="J29" s="10">
        <f>J27-J28</f>
        <v>7445.0690098982604</v>
      </c>
      <c r="K29" s="10">
        <f>K27-K28</f>
        <v>7958.7787715812401</v>
      </c>
      <c r="L29" s="10">
        <f>L27-L28</f>
        <v>8507.9345068203456</v>
      </c>
      <c r="M29" s="10">
        <f t="shared" ref="M29:R29" si="34">M27-M28</f>
        <v>9094.9819877909486</v>
      </c>
      <c r="N29" s="10">
        <f t="shared" si="34"/>
        <v>9722.5357449485236</v>
      </c>
      <c r="O29" s="10">
        <f t="shared" si="34"/>
        <v>10393.390711349972</v>
      </c>
      <c r="P29" s="10">
        <f t="shared" si="34"/>
        <v>11110.53467043312</v>
      </c>
      <c r="Q29" s="10">
        <f t="shared" si="34"/>
        <v>11877.161562693003</v>
      </c>
      <c r="R29" s="11">
        <f t="shared" si="34"/>
        <v>12696.685710518821</v>
      </c>
    </row>
    <row r="30" spans="1:18" x14ac:dyDescent="0.2">
      <c r="A30" s="8" t="s">
        <v>36</v>
      </c>
      <c r="B30" s="10">
        <v>592</v>
      </c>
      <c r="C30" s="10">
        <v>577</v>
      </c>
      <c r="D30" s="10">
        <f>D26*$P$50</f>
        <v>437.67211800000001</v>
      </c>
      <c r="E30" s="10">
        <f>E26*$P$50</f>
        <v>467.87149414200002</v>
      </c>
      <c r="F30" s="10">
        <f>F26*$P$50</f>
        <v>500.15462723779802</v>
      </c>
      <c r="G30" s="10">
        <f>G26*$P$50</f>
        <v>534.665296517206</v>
      </c>
      <c r="H30" s="10">
        <f>H26*$P$50</f>
        <v>571.55720197689323</v>
      </c>
      <c r="I30" s="10">
        <f>I26*$P$50</f>
        <v>610.99464891329887</v>
      </c>
      <c r="J30" s="10">
        <f>J26*$P$50</f>
        <v>653.1532796883165</v>
      </c>
      <c r="K30" s="10">
        <f>K26*$P$50</f>
        <v>698.22085598681019</v>
      </c>
      <c r="L30" s="10">
        <f>L26*$P$50</f>
        <v>746.39809504990012</v>
      </c>
      <c r="M30" s="10">
        <f t="shared" ref="M30:R30" si="35">M26*$P$50</f>
        <v>797.89956360834321</v>
      </c>
      <c r="N30" s="10">
        <f t="shared" si="35"/>
        <v>852.95463349731881</v>
      </c>
      <c r="O30" s="10">
        <f t="shared" si="35"/>
        <v>911.80850320863374</v>
      </c>
      <c r="P30" s="10">
        <f t="shared" si="35"/>
        <v>974.72328993002952</v>
      </c>
      <c r="Q30" s="10">
        <f t="shared" si="35"/>
        <v>1041.9791969352016</v>
      </c>
      <c r="R30" s="11">
        <f t="shared" si="35"/>
        <v>1113.8757615237305</v>
      </c>
    </row>
    <row r="31" spans="1:18" x14ac:dyDescent="0.2">
      <c r="A31" s="8" t="s">
        <v>33</v>
      </c>
      <c r="B31" s="10">
        <f>-705</f>
        <v>-705</v>
      </c>
      <c r="C31" s="10">
        <v>-457</v>
      </c>
      <c r="D31" s="10">
        <f>-(D26*$P$51)</f>
        <v>-105.644994</v>
      </c>
      <c r="E31" s="10">
        <f>-(E26*$P$51)</f>
        <v>-112.93449858599999</v>
      </c>
      <c r="F31" s="10">
        <f>-(F26*$P$51)</f>
        <v>-120.726978988434</v>
      </c>
      <c r="G31" s="10">
        <f>-(G26*$P$51)</f>
        <v>-129.05714053863593</v>
      </c>
      <c r="H31" s="10">
        <f>-(H26*$P$51)</f>
        <v>-137.9620832358018</v>
      </c>
      <c r="I31" s="10">
        <f>-(I26*$P$51)</f>
        <v>-147.48146697907214</v>
      </c>
      <c r="J31" s="10">
        <f>-(J26*$P$51)</f>
        <v>-157.65768820062812</v>
      </c>
      <c r="K31" s="10">
        <f>-(K26*$P$51)</f>
        <v>-168.53606868647142</v>
      </c>
      <c r="L31" s="10">
        <f>-(L26*$P$51)</f>
        <v>-180.16505742583794</v>
      </c>
      <c r="M31" s="10">
        <f t="shared" ref="M31:R31" si="36">-(M26*$P$51)</f>
        <v>-192.59644638822076</v>
      </c>
      <c r="N31" s="10">
        <f t="shared" si="36"/>
        <v>-205.88560118900799</v>
      </c>
      <c r="O31" s="10">
        <f t="shared" si="36"/>
        <v>-220.09170767104953</v>
      </c>
      <c r="P31" s="10">
        <f t="shared" si="36"/>
        <v>-235.27803550035196</v>
      </c>
      <c r="Q31" s="10">
        <f t="shared" si="36"/>
        <v>-251.51221994987625</v>
      </c>
      <c r="R31" s="11">
        <f t="shared" si="36"/>
        <v>-268.8665631264177</v>
      </c>
    </row>
    <row r="32" spans="1:18" ht="19" x14ac:dyDescent="0.35">
      <c r="A32" s="8" t="s">
        <v>34</v>
      </c>
      <c r="B32" s="12">
        <f>-751</f>
        <v>-751</v>
      </c>
      <c r="C32" s="12">
        <v>-672</v>
      </c>
      <c r="D32" s="12">
        <f>-(D26*$P$52)</f>
        <v>-467.856402</v>
      </c>
      <c r="E32" s="12">
        <f>-(E26*$P$52)</f>
        <v>-500.13849373799997</v>
      </c>
      <c r="F32" s="12">
        <f>-(F26*$P$52)</f>
        <v>-534.64804980592203</v>
      </c>
      <c r="G32" s="12">
        <f>-(G26*$P$52)</f>
        <v>-571.53876524253053</v>
      </c>
      <c r="H32" s="12">
        <f>-(H26*$P$52)</f>
        <v>-610.97494004426517</v>
      </c>
      <c r="I32" s="12">
        <f>-(I26*$P$52)</f>
        <v>-653.1322109073194</v>
      </c>
      <c r="J32" s="12">
        <f>-(J26*$P$52)</f>
        <v>-698.19833345992447</v>
      </c>
      <c r="K32" s="12">
        <f>-(K26*$P$52)</f>
        <v>-746.37401846865919</v>
      </c>
      <c r="L32" s="12">
        <f>-(L26*$P$52)</f>
        <v>-797.87382574299659</v>
      </c>
      <c r="M32" s="12">
        <f t="shared" ref="M32:R32" si="37">-(M26*$P$52)</f>
        <v>-852.92711971926337</v>
      </c>
      <c r="N32" s="12">
        <f t="shared" si="37"/>
        <v>-911.77909097989243</v>
      </c>
      <c r="O32" s="12">
        <f t="shared" si="37"/>
        <v>-974.69184825750506</v>
      </c>
      <c r="P32" s="12">
        <f t="shared" si="37"/>
        <v>-1041.9455857872729</v>
      </c>
      <c r="Q32" s="12">
        <f t="shared" si="37"/>
        <v>-1113.8398312065947</v>
      </c>
      <c r="R32" s="13">
        <f t="shared" si="37"/>
        <v>-1190.6947795598496</v>
      </c>
    </row>
    <row r="33" spans="1:18" x14ac:dyDescent="0.2">
      <c r="A33" s="8" t="s">
        <v>35</v>
      </c>
      <c r="B33" s="10">
        <f>B29+B30+B31+B32</f>
        <v>2461</v>
      </c>
      <c r="C33" s="10">
        <f>C29+C30+C31+C32</f>
        <v>3113</v>
      </c>
      <c r="D33" s="10">
        <f>D29+D30+D31+D32</f>
        <v>4853.0442736619998</v>
      </c>
      <c r="E33" s="10">
        <f>E29+E30+E31+E32</f>
        <v>5187.9043285446778</v>
      </c>
      <c r="F33" s="10">
        <f>F29+F30+F31+F32</f>
        <v>5545.8697272142608</v>
      </c>
      <c r="G33" s="10">
        <f>G29+G30+G31+G32</f>
        <v>5928.5347383920434</v>
      </c>
      <c r="H33" s="10">
        <f>H29+H30+H31+H32</f>
        <v>6337.6036353410955</v>
      </c>
      <c r="I33" s="10">
        <f>I29+I30+I31+I32</f>
        <v>6774.8982861796303</v>
      </c>
      <c r="J33" s="10">
        <f>J29+J30+J31+J32</f>
        <v>7242.3662679260242</v>
      </c>
      <c r="K33" s="10">
        <f>K29+K30+K31+K32</f>
        <v>7742.0895404129187</v>
      </c>
      <c r="L33" s="10">
        <f>L29+L30+L31+L32</f>
        <v>8276.2937187014122</v>
      </c>
      <c r="M33" s="10">
        <f t="shared" ref="M33:R33" si="38">M29+M30+M31+M32</f>
        <v>8847.3579852918083</v>
      </c>
      <c r="N33" s="10">
        <f t="shared" si="38"/>
        <v>9457.8256862769413</v>
      </c>
      <c r="O33" s="10">
        <f t="shared" si="38"/>
        <v>10110.415658630049</v>
      </c>
      <c r="P33" s="10">
        <f t="shared" si="38"/>
        <v>10808.034339075524</v>
      </c>
      <c r="Q33" s="10">
        <f t="shared" si="38"/>
        <v>11553.788708471733</v>
      </c>
      <c r="R33" s="11">
        <f t="shared" si="38"/>
        <v>12351.000129356284</v>
      </c>
    </row>
    <row r="34" spans="1:18" ht="19" x14ac:dyDescent="0.35">
      <c r="A34" s="8" t="s">
        <v>47</v>
      </c>
      <c r="B34" s="12">
        <v>0</v>
      </c>
      <c r="C34" s="12">
        <v>-1567</v>
      </c>
      <c r="D34" s="12">
        <f>-(D26*$P$53)</f>
        <v>0</v>
      </c>
      <c r="E34" s="12">
        <f>-(E26*$P$53)</f>
        <v>0</v>
      </c>
      <c r="F34" s="12">
        <f>-(F26*$P$53)</f>
        <v>0</v>
      </c>
      <c r="G34" s="12">
        <f>-(G26*$P$53)</f>
        <v>0</v>
      </c>
      <c r="H34" s="12">
        <f>-(H26*$P$53)</f>
        <v>0</v>
      </c>
      <c r="I34" s="12">
        <f>-(I26*$P$53)</f>
        <v>0</v>
      </c>
      <c r="J34" s="12">
        <f>-(J26*$P$53)</f>
        <v>0</v>
      </c>
      <c r="K34" s="12">
        <f>-(K26*$P$53)</f>
        <v>0</v>
      </c>
      <c r="L34" s="12">
        <f>-(L26*$P$53)</f>
        <v>0</v>
      </c>
      <c r="M34" s="12">
        <f t="shared" ref="M34:R34" si="39">-(M26*$P$53)</f>
        <v>0</v>
      </c>
      <c r="N34" s="12">
        <f t="shared" si="39"/>
        <v>0</v>
      </c>
      <c r="O34" s="12">
        <f t="shared" si="39"/>
        <v>0</v>
      </c>
      <c r="P34" s="12">
        <f t="shared" si="39"/>
        <v>0</v>
      </c>
      <c r="Q34" s="12">
        <f t="shared" si="39"/>
        <v>0</v>
      </c>
      <c r="R34" s="13">
        <f t="shared" si="39"/>
        <v>0</v>
      </c>
    </row>
    <row r="35" spans="1:18" x14ac:dyDescent="0.2">
      <c r="A35" s="16" t="s">
        <v>48</v>
      </c>
      <c r="B35" s="17">
        <f>B33+B34</f>
        <v>2461</v>
      </c>
      <c r="C35" s="17">
        <f>C33+C34</f>
        <v>1546</v>
      </c>
      <c r="D35" s="17">
        <f>D33+D34</f>
        <v>4853.0442736619998</v>
      </c>
      <c r="E35" s="17">
        <f>E33+E34</f>
        <v>5187.9043285446778</v>
      </c>
      <c r="F35" s="17">
        <f>F33+F34</f>
        <v>5545.8697272142608</v>
      </c>
      <c r="G35" s="17">
        <f>G33+G34</f>
        <v>5928.5347383920434</v>
      </c>
      <c r="H35" s="17">
        <f>H33+H34</f>
        <v>6337.6036353410955</v>
      </c>
      <c r="I35" s="17">
        <f>I33+I34</f>
        <v>6774.8982861796303</v>
      </c>
      <c r="J35" s="17">
        <f>J33+J34</f>
        <v>7242.3662679260242</v>
      </c>
      <c r="K35" s="17">
        <f>K33+K34</f>
        <v>7742.0895404129187</v>
      </c>
      <c r="L35" s="17">
        <f>L33+L34</f>
        <v>8276.2937187014122</v>
      </c>
      <c r="M35" s="17">
        <f t="shared" ref="M35:R35" si="40">M33+M34</f>
        <v>8847.3579852918083</v>
      </c>
      <c r="N35" s="17">
        <f t="shared" si="40"/>
        <v>9457.8256862769413</v>
      </c>
      <c r="O35" s="17">
        <f t="shared" si="40"/>
        <v>10110.415658630049</v>
      </c>
      <c r="P35" s="17">
        <f t="shared" si="40"/>
        <v>10808.034339075524</v>
      </c>
      <c r="Q35" s="17">
        <f t="shared" si="40"/>
        <v>11553.788708471733</v>
      </c>
      <c r="R35" s="18">
        <f t="shared" si="40"/>
        <v>12351.000129356284</v>
      </c>
    </row>
    <row r="36" spans="1:18" x14ac:dyDescent="0.2">
      <c r="A36" t="s">
        <v>13</v>
      </c>
      <c r="B36" s="4">
        <f>1/(1+$P$56)^0</f>
        <v>1</v>
      </c>
      <c r="C36" s="4">
        <f>1/(1+$P$56)^1</f>
        <v>0.9174311926605504</v>
      </c>
      <c r="D36" s="4">
        <f>1/(1+$P$56)^2</f>
        <v>0.84167999326655996</v>
      </c>
      <c r="E36" s="4">
        <f>1/(1+$P$56)^3</f>
        <v>0.77218348006106419</v>
      </c>
      <c r="F36" s="4">
        <f>1/(1+$P$56)^4</f>
        <v>0.7084252110651964</v>
      </c>
      <c r="G36" s="4">
        <f>1/(1+$P$56)^5</f>
        <v>0.64993138629834524</v>
      </c>
      <c r="H36" s="4">
        <f>1/(1+$P$56)^6</f>
        <v>0.5962673268792158</v>
      </c>
      <c r="I36" s="4">
        <f>1/(1+$P$56)^7</f>
        <v>0.54703424484331731</v>
      </c>
      <c r="J36" s="4">
        <f>1/(1+$P$56)^8</f>
        <v>0.50186627967276809</v>
      </c>
      <c r="K36" s="4">
        <f>1/(1+$P$56)^9</f>
        <v>0.46042777951630098</v>
      </c>
      <c r="L36" s="4">
        <f>1/(1+$P$56)^10</f>
        <v>0.42241080689568894</v>
      </c>
      <c r="M36" s="4">
        <f>1/(1+$P$56)^11</f>
        <v>0.38753285036301738</v>
      </c>
      <c r="N36" s="4">
        <f>1/(1+$P$56)^12</f>
        <v>0.35553472510368567</v>
      </c>
      <c r="O36" s="4">
        <f>1/(1+$P$56)^13</f>
        <v>0.32617864688411524</v>
      </c>
      <c r="P36" s="4">
        <f>1/(1+$P$56)^14</f>
        <v>0.29924646503129837</v>
      </c>
      <c r="Q36" s="4">
        <f>1/(1+$P$56)^15</f>
        <v>0.27453804131311776</v>
      </c>
      <c r="R36" s="4">
        <f>1/(1+$P$56)^16</f>
        <v>0.2518697626725851</v>
      </c>
    </row>
    <row r="37" spans="1:18" ht="19" x14ac:dyDescent="0.35">
      <c r="A37" t="s">
        <v>50</v>
      </c>
      <c r="B37" s="29">
        <f>B35*B36</f>
        <v>2461</v>
      </c>
      <c r="C37" s="28">
        <f>C35*C36</f>
        <v>1418.3486238532109</v>
      </c>
      <c r="D37" s="28">
        <f>D35*D36</f>
        <v>4084.7102715781493</v>
      </c>
      <c r="E37" s="28">
        <f>E35*E36</f>
        <v>4006.0140186394879</v>
      </c>
      <c r="F37" s="28">
        <f>F35*F36</f>
        <v>3928.8339320418459</v>
      </c>
      <c r="G37" s="28">
        <f>G35*G36</f>
        <v>3853.1408012410384</v>
      </c>
      <c r="H37" s="28">
        <f>H35*H36</f>
        <v>3778.9059784648352</v>
      </c>
      <c r="I37" s="28">
        <f>I35*I36</f>
        <v>3706.1013678705585</v>
      </c>
      <c r="J37" s="28">
        <f>J35*J36</f>
        <v>3634.6994149115835</v>
      </c>
      <c r="K37" s="28">
        <f>K35*K36</f>
        <v>3564.6730959086995</v>
      </c>
      <c r="L37" s="28">
        <f>L35*L36</f>
        <v>3495.9959078223856</v>
      </c>
      <c r="M37" s="28">
        <f t="shared" ref="M37:R37" si="41">M35*M36</f>
        <v>3428.6418582221372</v>
      </c>
      <c r="N37" s="28">
        <f t="shared" si="41"/>
        <v>3362.5854554490497</v>
      </c>
      <c r="O37" s="28">
        <f t="shared" si="41"/>
        <v>3297.8016989679199</v>
      </c>
      <c r="P37" s="28">
        <f t="shared" si="41"/>
        <v>3234.2660699052358</v>
      </c>
      <c r="Q37" s="28">
        <f t="shared" si="41"/>
        <v>3171.9545217694463</v>
      </c>
      <c r="R37" s="28">
        <f t="shared" si="41"/>
        <v>3110.8434713500351</v>
      </c>
    </row>
    <row r="38" spans="1:18" x14ac:dyDescent="0.2">
      <c r="A38" s="30" t="s">
        <v>49</v>
      </c>
      <c r="B38" s="31">
        <f>SUM(B37:R37)</f>
        <v>57538.516487995621</v>
      </c>
    </row>
    <row r="39" spans="1:18" x14ac:dyDescent="0.2">
      <c r="A39" t="s">
        <v>16</v>
      </c>
      <c r="B39" s="32"/>
      <c r="L39" s="28"/>
      <c r="R39" s="37">
        <f>R35*(1+P47)/(P56-P47)</f>
        <v>179971.71617062014</v>
      </c>
    </row>
    <row r="40" spans="1:18" ht="19" x14ac:dyDescent="0.35">
      <c r="A40" s="30" t="s">
        <v>17</v>
      </c>
      <c r="B40" s="2">
        <f>R39*R36</f>
        <v>45329.433439671942</v>
      </c>
    </row>
    <row r="41" spans="1:18" x14ac:dyDescent="0.2">
      <c r="A41" s="21" t="s">
        <v>51</v>
      </c>
      <c r="B41" s="19">
        <f>B38+B40</f>
        <v>102867.94992766756</v>
      </c>
    </row>
    <row r="42" spans="1:18" x14ac:dyDescent="0.2">
      <c r="A42" s="30" t="s">
        <v>56</v>
      </c>
      <c r="B42" s="40">
        <f>SUM(P58:P59)</f>
        <v>-3230</v>
      </c>
    </row>
    <row r="43" spans="1:18" ht="19" x14ac:dyDescent="0.35">
      <c r="A43" t="s">
        <v>52</v>
      </c>
      <c r="B43" s="2">
        <f>P55-P54</f>
        <v>-4171</v>
      </c>
    </row>
    <row r="44" spans="1:18" x14ac:dyDescent="0.2">
      <c r="A44" s="21" t="s">
        <v>53</v>
      </c>
      <c r="B44" s="39">
        <f>B41+B42-B43</f>
        <v>103808.94992766756</v>
      </c>
    </row>
    <row r="45" spans="1:18" x14ac:dyDescent="0.2">
      <c r="A45" s="21" t="s">
        <v>54</v>
      </c>
      <c r="B45" s="26">
        <f>B44/P57</f>
        <v>98.677709056718214</v>
      </c>
      <c r="O45" t="s">
        <v>37</v>
      </c>
    </row>
    <row r="46" spans="1:18" x14ac:dyDescent="0.2">
      <c r="O46" t="s">
        <v>38</v>
      </c>
      <c r="P46" s="27">
        <v>6.9000000000000006E-2</v>
      </c>
    </row>
    <row r="47" spans="1:18" x14ac:dyDescent="0.2">
      <c r="O47" t="s">
        <v>39</v>
      </c>
      <c r="P47" s="27">
        <v>0.02</v>
      </c>
    </row>
    <row r="48" spans="1:18" x14ac:dyDescent="0.2">
      <c r="O48" t="s">
        <v>40</v>
      </c>
      <c r="P48" s="27">
        <v>0.47699999999999998</v>
      </c>
    </row>
    <row r="49" spans="15:16" x14ac:dyDescent="0.2">
      <c r="O49" t="s">
        <v>31</v>
      </c>
      <c r="P49" s="3">
        <v>0.307</v>
      </c>
    </row>
    <row r="50" spans="15:16" x14ac:dyDescent="0.2">
      <c r="O50" t="s">
        <v>42</v>
      </c>
      <c r="P50" s="27">
        <v>2.9000000000000001E-2</v>
      </c>
    </row>
    <row r="51" spans="15:16" x14ac:dyDescent="0.2">
      <c r="O51" t="s">
        <v>41</v>
      </c>
      <c r="P51" s="27">
        <v>7.0000000000000001E-3</v>
      </c>
    </row>
    <row r="52" spans="15:16" x14ac:dyDescent="0.2">
      <c r="O52" t="s">
        <v>43</v>
      </c>
      <c r="P52" s="27">
        <v>3.1E-2</v>
      </c>
    </row>
    <row r="53" spans="15:16" x14ac:dyDescent="0.2">
      <c r="O53" t="s">
        <v>46</v>
      </c>
      <c r="P53" s="27">
        <v>0</v>
      </c>
    </row>
    <row r="54" spans="15:16" x14ac:dyDescent="0.2">
      <c r="O54" t="s">
        <v>44</v>
      </c>
      <c r="P54" s="1">
        <f>7000</f>
        <v>7000</v>
      </c>
    </row>
    <row r="55" spans="15:16" x14ac:dyDescent="0.2">
      <c r="O55" t="s">
        <v>45</v>
      </c>
      <c r="P55" s="1">
        <v>2829</v>
      </c>
    </row>
    <row r="56" spans="15:16" x14ac:dyDescent="0.2">
      <c r="O56" t="s">
        <v>11</v>
      </c>
      <c r="P56" s="3">
        <v>0.09</v>
      </c>
    </row>
    <row r="57" spans="15:16" x14ac:dyDescent="0.2">
      <c r="O57" t="s">
        <v>55</v>
      </c>
      <c r="P57">
        <v>1052</v>
      </c>
    </row>
    <row r="58" spans="15:16" x14ac:dyDescent="0.2">
      <c r="O58" t="s">
        <v>57</v>
      </c>
      <c r="P58">
        <f>-11420</f>
        <v>-11420</v>
      </c>
    </row>
    <row r="59" spans="15:16" x14ac:dyDescent="0.2">
      <c r="O59" t="s">
        <v>58</v>
      </c>
      <c r="P59">
        <f>8190</f>
        <v>8190</v>
      </c>
    </row>
  </sheetData>
  <mergeCells count="2">
    <mergeCell ref="B1:L1"/>
    <mergeCell ref="B24:L2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Synergies</vt:lpstr>
      <vt:lpstr>DCF of Genentech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Riley</dc:creator>
  <cp:lastModifiedBy>Riley</cp:lastModifiedBy>
  <dcterms:created xsi:type="dcterms:W3CDTF">2019-02-19T01:05:11Z</dcterms:created>
  <dcterms:modified xsi:type="dcterms:W3CDTF">2019-02-21T20:51:59Z</dcterms:modified>
</cp:coreProperties>
</file>