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202300"/>
  <mc:AlternateContent xmlns:mc="http://schemas.openxmlformats.org/markup-compatibility/2006">
    <mc:Choice Requires="x15">
      <x15ac:absPath xmlns:x15ac="http://schemas.microsoft.com/office/spreadsheetml/2010/11/ac" url="C:\Users\bundi\Downloads\"/>
    </mc:Choice>
  </mc:AlternateContent>
  <xr:revisionPtr revIDLastSave="0" documentId="13_ncr:1_{DFDFCF13-D923-4C25-BB6B-2F239476D0FE}" xr6:coauthVersionLast="47" xr6:coauthVersionMax="47" xr10:uidLastSave="{00000000-0000-0000-0000-000000000000}"/>
  <bookViews>
    <workbookView xWindow="-28920" yWindow="-2085" windowWidth="29040" windowHeight="15720" tabRatio="719" xr2:uid="{E5198956-E95B-4580-A8FE-69FB91EAD67D}"/>
  </bookViews>
  <sheets>
    <sheet name="Dashboard" sheetId="13" r:id="rId1"/>
    <sheet name="Pivot table 1" sheetId="12" r:id="rId2"/>
    <sheet name="Pivot table 2" sheetId="15" r:id="rId3"/>
    <sheet name="Vehicle Data" sheetId="14" r:id="rId4"/>
    <sheet name="Data" sheetId="11" r:id="rId5"/>
  </sheets>
  <definedNames>
    <definedName name="Slicer_Category">#N/A</definedName>
    <definedName name="Slicer_Category1">#N/A</definedName>
    <definedName name="Slicer_Fuel">#N/A</definedName>
    <definedName name="Slicer_Fuel1">#N/A</definedName>
    <definedName name="Slicer_Fuel2">#N/A</definedName>
    <definedName name="Slicer_Fuel3">#N/A</definedName>
    <definedName name="Slicer_Scope">#N/A</definedName>
    <definedName name="Slicer_Solar">#N/A</definedName>
    <definedName name="Slicer_Vehicle">#N/A</definedName>
    <definedName name="Slicer_Vehicle_Type">#N/A</definedName>
    <definedName name="Slicer_Water_source">#N/A</definedName>
  </definedNames>
  <calcPr calcId="191029"/>
  <pivotCaches>
    <pivotCache cacheId="27" r:id="rId6"/>
    <pivotCache cacheId="28" r:id="rId7"/>
    <pivotCache cacheId="29" r:id="rId8"/>
    <pivotCache cacheId="30" r:id="rId9"/>
    <pivotCache cacheId="31" r:id="rId10"/>
    <pivotCache cacheId="32" r:id="rId11"/>
    <pivotCache cacheId="33" r:id="rId12"/>
    <pivotCache cacheId="34" r:id="rId13"/>
    <pivotCache cacheId="35" r:id="rId14"/>
  </pivotCaches>
  <extLst>
    <ext xmlns:x14="http://schemas.microsoft.com/office/spreadsheetml/2009/9/main" uri="{BBE1A952-AA13-448e-AADC-164F8A28A991}">
      <x14:slicerCaches>
        <x14:slicerCache r:id="rId15"/>
        <x14:slicerCache r:id="rId16"/>
        <x14:slicerCache r:id="rId17"/>
        <x14:slicerCache r:id="rId18"/>
        <x14:slicerCache r:id="rId19"/>
        <x14:slicerCache r:id="rId20"/>
        <x14:slicerCache r:id="rId21"/>
        <x14:slicerCache r:id="rId22"/>
        <x14:slicerCache r:id="rId23"/>
        <x14:slicerCache r:id="rId24"/>
        <x14:slicerCache r:id="rId2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14" l="1"/>
  <c r="O3" i="14"/>
  <c r="O4" i="14"/>
  <c r="O5" i="14"/>
  <c r="O6" i="14"/>
  <c r="O7" i="14"/>
  <c r="O8" i="14"/>
  <c r="O9" i="14"/>
  <c r="O10" i="14"/>
  <c r="O11" i="14"/>
  <c r="O12" i="14"/>
  <c r="O13" i="14"/>
  <c r="O14" i="14"/>
  <c r="O15" i="14"/>
  <c r="O16" i="14"/>
  <c r="O17" i="14"/>
  <c r="X19" i="12" l="1"/>
  <c r="X16" i="12"/>
  <c r="X17" i="12"/>
  <c r="X18" i="12"/>
  <c r="X15" i="12"/>
  <c r="W20" i="12"/>
  <c r="Q13" i="13" a="1"/>
  <c r="Q13" i="13" s="1"/>
  <c r="W12" i="12"/>
  <c r="X10" i="12" s="1"/>
  <c r="AH32" i="11"/>
  <c r="AH31" i="11"/>
  <c r="AH30" i="11"/>
  <c r="AH29" i="11"/>
  <c r="AH28" i="11"/>
  <c r="AH27" i="11"/>
  <c r="AH26" i="11"/>
  <c r="AH25" i="11"/>
  <c r="AH24" i="11"/>
  <c r="AH23" i="11"/>
  <c r="AH22" i="11"/>
  <c r="AH21" i="11"/>
  <c r="AH20" i="11"/>
  <c r="AH19" i="11"/>
  <c r="AH18" i="11"/>
  <c r="AH17" i="11"/>
  <c r="AH16" i="11"/>
  <c r="AH15" i="11"/>
  <c r="AH14" i="11"/>
  <c r="AH13" i="11"/>
  <c r="AH11" i="11"/>
  <c r="AH10" i="11"/>
  <c r="AH9" i="11"/>
  <c r="AH8" i="11"/>
  <c r="AH7" i="11"/>
  <c r="AH6" i="11"/>
  <c r="AH5" i="11"/>
  <c r="AH4" i="11"/>
  <c r="AH3" i="11"/>
  <c r="AH2" i="11"/>
  <c r="K36" i="12"/>
  <c r="E51" i="11"/>
  <c r="E52" i="11"/>
  <c r="E53" i="11"/>
  <c r="E54" i="11"/>
  <c r="E55" i="11"/>
  <c r="E56" i="11"/>
  <c r="E57" i="11"/>
  <c r="E58" i="11"/>
  <c r="E59" i="11"/>
  <c r="E60" i="11"/>
  <c r="E61" i="11"/>
  <c r="E50" i="11"/>
  <c r="J71" i="12"/>
  <c r="J104" i="12"/>
  <c r="R104" i="12"/>
  <c r="J53" i="12"/>
  <c r="J90" i="12"/>
  <c r="X9" i="12" l="1"/>
  <c r="X8" i="12"/>
  <c r="X7" i="12"/>
  <c r="X11" i="12"/>
  <c r="K18" i="12"/>
  <c r="Q18" i="12"/>
  <c r="B19" i="15"/>
  <c r="B38" i="15"/>
  <c r="W4" i="12"/>
  <c r="W3" i="12"/>
  <c r="W5"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<sst xmlns="http://schemas.openxmlformats.org/spreadsheetml/2006/main" count="1529" uniqueCount="102">
  <si>
    <t>Jan</t>
  </si>
  <si>
    <t>Feb</t>
  </si>
  <si>
    <t>Mar</t>
  </si>
  <si>
    <t>Apr</t>
  </si>
  <si>
    <t>May</t>
  </si>
  <si>
    <t>Jun</t>
  </si>
  <si>
    <t>Jul</t>
  </si>
  <si>
    <t>Aug</t>
  </si>
  <si>
    <t>Sep</t>
  </si>
  <si>
    <t>Oct</t>
  </si>
  <si>
    <t>Nov</t>
  </si>
  <si>
    <t>Dec</t>
  </si>
  <si>
    <t>Month</t>
  </si>
  <si>
    <t>Mvule</t>
  </si>
  <si>
    <t>Keri</t>
  </si>
  <si>
    <t>Mbagathi Borehole</t>
  </si>
  <si>
    <t>STC Borehole</t>
  </si>
  <si>
    <t>Petrol</t>
  </si>
  <si>
    <t>Diesel</t>
  </si>
  <si>
    <t>KAC 328E</t>
  </si>
  <si>
    <t>KAC 354E</t>
  </si>
  <si>
    <t>KBD 129P</t>
  </si>
  <si>
    <t>KBD 130P</t>
  </si>
  <si>
    <t>KBK 734Q</t>
  </si>
  <si>
    <t>KBR 449P</t>
  </si>
  <si>
    <t>KBW 306M</t>
  </si>
  <si>
    <t>KBW 334B</t>
  </si>
  <si>
    <t>KCA 330Z</t>
  </si>
  <si>
    <t>KCK 806Z</t>
  </si>
  <si>
    <t>KCV 353L</t>
  </si>
  <si>
    <t>KCV 355E</t>
  </si>
  <si>
    <t>KDB 063U</t>
  </si>
  <si>
    <t>KDE 903R</t>
  </si>
  <si>
    <t>KDH 268N</t>
  </si>
  <si>
    <t>KDN 295D</t>
  </si>
  <si>
    <t>Generators</t>
  </si>
  <si>
    <t>Litres</t>
  </si>
  <si>
    <t>Sports Field</t>
  </si>
  <si>
    <t>Quantities</t>
  </si>
  <si>
    <t>Fuel</t>
  </si>
  <si>
    <t>Costs</t>
  </si>
  <si>
    <t>LPG</t>
  </si>
  <si>
    <t>Row Labels</t>
  </si>
  <si>
    <t>Grand Total</t>
  </si>
  <si>
    <t>Sum of Costs</t>
  </si>
  <si>
    <t>Sum of Quantities</t>
  </si>
  <si>
    <t xml:space="preserve">Electricity </t>
  </si>
  <si>
    <t>Energy</t>
  </si>
  <si>
    <t>Sum of Energy</t>
  </si>
  <si>
    <t>Quantity</t>
  </si>
  <si>
    <t>Vehicle</t>
  </si>
  <si>
    <t>Column Labels</t>
  </si>
  <si>
    <t>Sum of Litres</t>
  </si>
  <si>
    <t>Cost</t>
  </si>
  <si>
    <t>Sum of Cost</t>
  </si>
  <si>
    <t>.</t>
  </si>
  <si>
    <t>Sports Complex</t>
  </si>
  <si>
    <t>Demand</t>
  </si>
  <si>
    <t>Sum of Demand</t>
  </si>
  <si>
    <t>Account</t>
  </si>
  <si>
    <t>Water source</t>
  </si>
  <si>
    <t>Mbagathi NCWSC</t>
  </si>
  <si>
    <t>Langata Gate</t>
  </si>
  <si>
    <t>Fire Hydrant</t>
  </si>
  <si>
    <t>Sum of Quantity</t>
  </si>
  <si>
    <t>Solar</t>
  </si>
  <si>
    <t>Export</t>
  </si>
  <si>
    <t>Captive use</t>
  </si>
  <si>
    <t>Solar PV</t>
  </si>
  <si>
    <t>Scope</t>
  </si>
  <si>
    <t>Scope 1</t>
  </si>
  <si>
    <t>Scope 2</t>
  </si>
  <si>
    <t>Purchased Electricity</t>
  </si>
  <si>
    <t>Stationary &amp; mobile combustion</t>
  </si>
  <si>
    <t>LPG combustion</t>
  </si>
  <si>
    <t>Refrigerants</t>
  </si>
  <si>
    <t>Category</t>
  </si>
  <si>
    <t>Scope 1 Total</t>
  </si>
  <si>
    <t>Account Number</t>
  </si>
  <si>
    <t>Consumption</t>
  </si>
  <si>
    <t>Charge</t>
  </si>
  <si>
    <t>Boreholes</t>
  </si>
  <si>
    <t>Government</t>
  </si>
  <si>
    <t>Commercial</t>
  </si>
  <si>
    <t>Domestic</t>
  </si>
  <si>
    <t>Sum of Consumption</t>
  </si>
  <si>
    <t>Sum of Charge</t>
  </si>
  <si>
    <t>Electricity</t>
  </si>
  <si>
    <t xml:space="preserve"> </t>
  </si>
  <si>
    <t>Vehicle Registration</t>
  </si>
  <si>
    <t>Annual Mileage</t>
  </si>
  <si>
    <t>Fuel Purchased</t>
  </si>
  <si>
    <t>Fuel Costs</t>
  </si>
  <si>
    <t>Fuel Efficiency</t>
  </si>
  <si>
    <t>Vehicle Type</t>
  </si>
  <si>
    <t>Bus</t>
  </si>
  <si>
    <t>Pickup</t>
  </si>
  <si>
    <t>Station Wagon</t>
  </si>
  <si>
    <t>Van</t>
  </si>
  <si>
    <t>SUV</t>
  </si>
  <si>
    <t>Double cab</t>
  </si>
  <si>
    <t>Average of Fuel 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</si>
</sst>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5" x14ac:knownFonts="1">
    <font>
      <sz val="11"/>
      <color theme="1"/>
      <name val="Aptos Narrow"/>
      <family val="2"/>
      <scheme val="minor"/>
    </font>
    <font>
      <sz val="8"/>
      <name val="Aptos Narrow"/>
      <family val="2"/>
      <scheme val="minor"/>
    </font>
    <font>
      <sz val="11"/>
      <color theme="1"/>
      <name val="Aptos Narrow"/>
      <family val="2"/>
      <scheme val="minor"/>
    </font>
    <font>
      <sz val="11"/>
      <color theme="3"/>
      <name val="Aptos Narrow"/>
      <family val="2"/>
      <scheme val="minor"/>
    </font>
    <font>
      <b/>
      <sz val="11"/>
      <color theme="0"/>
      <name val="Aptos Narrow"/>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6">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diagonal/>
    </border>
  </borders>
  <cellStyleXfs count="3">
    <xf numFmtId="0" fontId="0" fillId="0" borderId="0"/>
    <xf numFmtId="43" fontId="2" fillId="0" borderId="0" applyFont="0" applyFill="0" applyBorder="0" applyAlignment="0" applyProtection="0"/>
    <xf numFmtId="9" fontId="2" fillId="0" borderId="0" applyFont="0" applyFill="0" applyBorder="0" applyAlignment="0" applyProtection="0"/>
  </cellStyleXfs>
  <cellXfs count="23">
    <xf numFmtId="0" fontId="0" fillId="0" borderId="0" xfId="0"/>
    <xf numFmtId="164" fontId="0" fillId="0" borderId="0" xfId="0" applyNumberFormat="1"/>
    <xf numFmtId="43" fontId="0" fillId="0" borderId="0" xfId="1" applyFont="1"/>
    <xf numFmtId="164" fontId="0" fillId="0" borderId="0" xfId="1" applyNumberFormat="1" applyFont="1"/>
    <xf numFmtId="43" fontId="0" fillId="0" borderId="0" xfId="0" applyNumberFormat="1"/>
    <xf numFmtId="10" fontId="0" fillId="0" borderId="0" xfId="2" applyNumberFormat="1" applyFont="1"/>
    <xf numFmtId="0" fontId="0" fillId="0" borderId="0" xfId="0" pivotButton="1"/>
    <xf numFmtId="0" fontId="0" fillId="0" borderId="0" xfId="0" applyAlignment="1">
      <alignment horizontal="left"/>
    </xf>
    <xf numFmtId="0" fontId="3" fillId="0" borderId="0" xfId="0" applyFont="1"/>
    <xf numFmtId="0" fontId="4" fillId="2" borderId="1" xfId="0" applyFont="1" applyFill="1" applyBorder="1"/>
    <xf numFmtId="0" fontId="0" fillId="3" borderId="1" xfId="0" applyFill="1" applyBorder="1"/>
    <xf numFmtId="0" fontId="0" fillId="0" borderId="1" xfId="0" applyBorder="1"/>
    <xf numFmtId="164" fontId="0" fillId="3" borderId="1" xfId="1" applyNumberFormat="1" applyFont="1" applyFill="1" applyBorder="1"/>
    <xf numFmtId="164" fontId="0" fillId="0" borderId="1" xfId="1" applyNumberFormat="1" applyFont="1" applyBorder="1"/>
    <xf numFmtId="9" fontId="0" fillId="0" borderId="0" xfId="2" applyFont="1"/>
    <xf numFmtId="0" fontId="4" fillId="2" borderId="0" xfId="0" applyFont="1" applyFill="1"/>
    <xf numFmtId="0" fontId="4" fillId="2" borderId="2" xfId="0" applyFont="1" applyFill="1" applyBorder="1"/>
    <xf numFmtId="0" fontId="4" fillId="2" borderId="3" xfId="0" applyFont="1" applyFill="1" applyBorder="1"/>
    <xf numFmtId="0" fontId="0" fillId="0" borderId="4" xfId="0" applyBorder="1"/>
    <xf numFmtId="0" fontId="0" fillId="3" borderId="4" xfId="0" applyFill="1" applyBorder="1"/>
    <xf numFmtId="0" fontId="0" fillId="0" borderId="5" xfId="0" applyBorder="1"/>
    <xf numFmtId="164" fontId="0" fillId="0" borderId="5" xfId="1" applyNumberFormat="1" applyFont="1" applyBorder="1"/>
    <xf numFmtId="0" fontId="0" fillId="3" borderId="0" xfId="0" applyFill="1"/>
  </cellXfs>
  <cellStyles count="3">
    <cellStyle name="Comma" xfId="1" builtinId="3"/>
    <cellStyle name="Normal" xfId="0" builtinId="0"/>
    <cellStyle name="Per cent" xfId="2" builtinId="5"/>
  </cellStyles>
  <dxfs count="32">
    <dxf>
      <numFmt numFmtId="164" formatCode="_(* #,##0_);_(* \(#,##0\);_(* &quot;-&quot;??_);_(@_)"/>
    </dxf>
    <dxf>
      <numFmt numFmtId="164" formatCode="_(* #,##0_);_(* \(#,##0\);_(* &quot;-&quot;??_);_(@_)"/>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fill>
        <patternFill patternType="none">
          <fgColor indexed="64"/>
          <bgColor auto="1"/>
        </patternFill>
      </fill>
    </dxf>
    <dxf>
      <font>
        <b val="0"/>
        <i val="0"/>
        <strike val="0"/>
        <condense val="0"/>
        <extend val="0"/>
        <outline val="0"/>
        <shadow val="0"/>
        <u val="none"/>
        <vertAlign val="baseline"/>
        <sz val="11"/>
        <color theme="1"/>
        <name val="Aptos Narrow"/>
        <family val="2"/>
        <scheme val="minor"/>
      </font>
      <border diagonalUp="0" diagonalDown="0" outline="0">
        <left/>
        <right/>
        <top style="thin">
          <color theme="4" tint="0.39997558519241921"/>
        </top>
        <bottom style="thin">
          <color theme="4" tint="0.39997558519241921"/>
        </bottom>
      </border>
    </dxf>
    <dxf>
      <border outline="0">
        <left style="thin">
          <color theme="4" tint="0.39997558519241921"/>
        </left>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numFmt numFmtId="164" formatCode="_(* #,##0_);_(* \(#,##0\);_(* &quot;-&quot;??_);_(@_)"/>
    </dxf>
    <dxf>
      <font>
        <b val="0"/>
        <i val="0"/>
        <strike val="0"/>
        <condense val="0"/>
        <extend val="0"/>
        <outline val="0"/>
        <shadow val="0"/>
        <u val="none"/>
        <vertAlign val="baseline"/>
        <sz val="11"/>
        <color theme="1"/>
        <name val="Aptos Narrow"/>
        <family val="2"/>
        <scheme val="minor"/>
      </font>
      <numFmt numFmtId="164" formatCode="_(* #,##0_);_(* \(#,##0\);_(* &quot;-&quot;??_);_(@_)"/>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64" formatCode="_(* #,##0_);_(* \(#,##0\);_(* &quot;-&quot;??_);_(@_)"/>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border outline="0">
        <left style="thin">
          <color theme="4" tint="0.39997558519241921"/>
        </left>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numFmt numFmtId="164" formatCode="_(* #,##0_);_(* \(#,##0\);_(* &quot;-&quot;??_);_(@_)"/>
    </dxf>
    <dxf>
      <font>
        <b val="0"/>
        <i val="0"/>
        <strike val="0"/>
        <condense val="0"/>
        <extend val="0"/>
        <outline val="0"/>
        <shadow val="0"/>
        <u val="none"/>
        <vertAlign val="baseline"/>
        <sz val="11"/>
        <color theme="1"/>
        <name val="Aptos Narrow"/>
        <family val="2"/>
        <scheme val="minor"/>
      </font>
      <numFmt numFmtId="164" formatCode="_(* #,##0_);_(* \(#,##0\);_(* &quot;-&quot;??_);_(@_)"/>
    </dxf>
    <dxf>
      <numFmt numFmtId="35" formatCode="_(* #,##0.00_);_(* \(#,##0.00\);_(* &quot;-&quot;??_);_(@_)"/>
    </dxf>
    <dxf>
      <numFmt numFmtId="164" formatCode="_(* #,##0_);_(* \(#,##0\);_(* &quot;-&quot;??_);_(@_)"/>
    </dxf>
    <dxf>
      <numFmt numFmtId="164" formatCode="_(* #,##0_);_(* \(#,##0\);_(* &quot;-&quot;??_);_(@_)"/>
    </dxf>
    <dxf>
      <numFmt numFmtId="164" formatCode="_(* #,##0_);_(* \(#,##0\);_(* &quot;-&quot;??_);_(@_)"/>
    </dxf>
    <dxf>
      <border diagonalUp="0" diagonalDown="0" outline="0">
        <left/>
        <right/>
        <top style="thin">
          <color theme="4" tint="0.39997558519241921"/>
        </top>
        <bottom style="thin">
          <color theme="4" tint="0.39997558519241921"/>
        </bottom>
      </border>
    </dxf>
    <dxf>
      <numFmt numFmtId="164" formatCode="_(* #,##0_);_(* \(#,##0\);_(* &quot;-&quot;??_);_(@_)"/>
    </dxf>
    <dxf>
      <numFmt numFmtId="164" formatCode="_(* #,##0_);_(* \(#,##0\);_(* &quot;-&quot;??_);_(@_)"/>
    </dxf>
    <dxf>
      <numFmt numFmtId="164" formatCode="_(* #,##0_);_(* \(#,##0\);_(* &quot;-&quot;??_);_(@_)"/>
    </dxf>
    <dxf>
      <numFmt numFmtId="164" formatCode="_(* #,##0_);_(* \(#,##0\);_(* &quot;-&quot;??_);_(@_)"/>
    </dxf>
  </dxfs>
  <tableStyles count="0" defaultTableStyle="TableStyleMedium2" defaultPivotStyle="PivotStyleLight16"/>
  <colors>
    <mruColors>
      <color rgb="FFE03C31"/>
      <color rgb="FFEED484"/>
      <color rgb="FF3A5DAE"/>
      <color rgb="FFCBA0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microsoft.com/office/2007/relationships/slicerCache" Target="slicerCaches/slicerCache4.xml"/><Relationship Id="rId26" Type="http://schemas.openxmlformats.org/officeDocument/2006/relationships/theme" Target="theme/theme1.xml"/><Relationship Id="rId3" Type="http://schemas.openxmlformats.org/officeDocument/2006/relationships/worksheet" Target="worksheets/sheet3.xml"/><Relationship Id="rId21" Type="http://schemas.microsoft.com/office/2007/relationships/slicerCache" Target="slicerCaches/slicerCache7.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microsoft.com/office/2007/relationships/slicerCache" Target="slicerCaches/slicerCache3.xml"/><Relationship Id="rId25" Type="http://schemas.microsoft.com/office/2007/relationships/slicerCache" Target="slicerCaches/slicerCache11.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microsoft.com/office/2007/relationships/slicerCache" Target="slicerCaches/slicerCache10.xml"/><Relationship Id="rId5" Type="http://schemas.openxmlformats.org/officeDocument/2006/relationships/worksheet" Target="worksheets/sheet5.xml"/><Relationship Id="rId15" Type="http://schemas.microsoft.com/office/2007/relationships/slicerCache" Target="slicerCaches/slicerCache1.xml"/><Relationship Id="rId23" Type="http://schemas.microsoft.com/office/2007/relationships/slicerCache" Target="slicerCaches/slicerCache9.xml"/><Relationship Id="rId28" Type="http://schemas.openxmlformats.org/officeDocument/2006/relationships/sharedStrings" Target="sharedStrings.xml"/><Relationship Id="rId10" Type="http://schemas.openxmlformats.org/officeDocument/2006/relationships/pivotCacheDefinition" Target="pivotCache/pivotCacheDefinition5.xml"/><Relationship Id="rId19" Type="http://schemas.microsoft.com/office/2007/relationships/slicerCache" Target="slicerCaches/slicerCache5.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microsoft.com/office/2007/relationships/slicerCache" Target="slicerCaches/slicerCache8.xml"/><Relationship Id="rId27" Type="http://schemas.openxmlformats.org/officeDocument/2006/relationships/styles" Target="styles.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[2024 Energy Dashboard.xlsx]Pivot table 1!PivotTable1</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Costs in Kenya Shillings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3A5DA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1'!$B$3</c:f>
              <c:strCache>
                <c:ptCount val="1"/>
                <c:pt idx="0">
                  <c:v>Total</c:v>
                </c:pt>
              </c:strCache>
            </c:strRef>
          </c:tx>
          <c:spPr>
            <a:solidFill>
              <a:srgbClr val="3A5DAE"/>
            </a:solidFill>
            <a:ln>
              <a:noFill/>
            </a:ln>
            <a:effectLst/>
          </c:spPr>
          <c:invertIfNegative val="0"/>
          <c:cat>
            <c:strRef>
              <c:f>'Pivot table 1'!$A$4:$A$16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1'!$B$4:$B$16</c:f>
              <c:numCache>
                <c:formatCode>_(* #,##0_);_(* \(#,##0\);_(* "-"??_);_(@_)</c:formatCode>
                <c:ptCount val="12"/>
                <c:pt idx="0">
                  <c:v>116250</c:v>
                </c:pt>
                <c:pt idx="1">
                  <c:v>80000</c:v>
                </c:pt>
                <c:pt idx="2">
                  <c:v>120000</c:v>
                </c:pt>
                <c:pt idx="3">
                  <c:v>80000</c:v>
                </c:pt>
                <c:pt idx="4">
                  <c:v>80000</c:v>
                </c:pt>
                <c:pt idx="5">
                  <c:v>77500</c:v>
                </c:pt>
                <c:pt idx="6">
                  <c:v>77500</c:v>
                </c:pt>
                <c:pt idx="7">
                  <c:v>100250</c:v>
                </c:pt>
                <c:pt idx="8">
                  <c:v>64000</c:v>
                </c:pt>
                <c:pt idx="9">
                  <c:v>64000</c:v>
                </c:pt>
                <c:pt idx="10">
                  <c:v>128000</c:v>
                </c:pt>
                <c:pt idx="11">
                  <c:v>33250</c:v>
                </c:pt>
              </c:numCache>
            </c:numRef>
          </c:val>
          <c:extLst>
            <c:ext xmlns:c16="http://schemas.microsoft.com/office/drawing/2014/chart" uri="{C3380CC4-5D6E-409C-BE32-E72D297353CC}">
              <c16:uniqueId val="{00000010-ED4E-4367-A0D3-328F1B3A71A9}"/>
            </c:ext>
          </c:extLst>
        </c:ser>
        <c:dLbls>
          <c:showLegendKey val="0"/>
          <c:showVal val="0"/>
          <c:showCatName val="0"/>
          <c:showSerName val="0"/>
          <c:showPercent val="0"/>
          <c:showBubbleSize val="0"/>
        </c:dLbls>
        <c:gapWidth val="40"/>
        <c:overlap val="-27"/>
        <c:axId val="1410159695"/>
        <c:axId val="1410164975"/>
      </c:barChart>
      <c:catAx>
        <c:axId val="1410159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410164975"/>
        <c:crosses val="autoZero"/>
        <c:auto val="1"/>
        <c:lblAlgn val="ctr"/>
        <c:lblOffset val="100"/>
        <c:noMultiLvlLbl val="0"/>
      </c:catAx>
      <c:valAx>
        <c:axId val="1410164975"/>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41015969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[2024 Energy Dashboard.xlsx]Pivot table 1!PivotTable2</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Quantity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E03C3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lumMod val="50000"/>
              <a:lumOff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tx2">
              <a:lumMod val="25000"/>
              <a:lumOff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3A5DA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1'!$B$19:$B$20</c:f>
              <c:strCache>
                <c:ptCount val="1"/>
                <c:pt idx="0">
                  <c:v>LPG</c:v>
                </c:pt>
              </c:strCache>
            </c:strRef>
          </c:tx>
          <c:spPr>
            <a:solidFill>
              <a:schemeClr val="tx2">
                <a:lumMod val="50000"/>
                <a:lumOff val="50000"/>
              </a:schemeClr>
            </a:solidFill>
            <a:ln>
              <a:noFill/>
            </a:ln>
            <a:effectLst/>
          </c:spPr>
          <c:invertIfNegative val="0"/>
          <c:cat>
            <c:strRef>
              <c:f>'Pivot table 1'!$A$21:$A$33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1'!$B$21:$B$33</c:f>
              <c:numCache>
                <c:formatCode>_(* #,##0_);_(* \(#,##0\);_(* "-"??_);_(@_)</c:formatCode>
                <c:ptCount val="12"/>
                <c:pt idx="0">
                  <c:v>465</c:v>
                </c:pt>
                <c:pt idx="1">
                  <c:v>320</c:v>
                </c:pt>
                <c:pt idx="2">
                  <c:v>480</c:v>
                </c:pt>
                <c:pt idx="3">
                  <c:v>320</c:v>
                </c:pt>
                <c:pt idx="4">
                  <c:v>320</c:v>
                </c:pt>
                <c:pt idx="5">
                  <c:v>310</c:v>
                </c:pt>
                <c:pt idx="6">
                  <c:v>310</c:v>
                </c:pt>
                <c:pt idx="7">
                  <c:v>401</c:v>
                </c:pt>
                <c:pt idx="8">
                  <c:v>256</c:v>
                </c:pt>
                <c:pt idx="9">
                  <c:v>256</c:v>
                </c:pt>
                <c:pt idx="10">
                  <c:v>512</c:v>
                </c:pt>
                <c:pt idx="11">
                  <c:v>133</c:v>
                </c:pt>
              </c:numCache>
            </c:numRef>
          </c:val>
          <c:extLst>
            <c:ext xmlns:c16="http://schemas.microsoft.com/office/drawing/2014/chart" uri="{C3380CC4-5D6E-409C-BE32-E72D297353CC}">
              <c16:uniqueId val="{00000000-0706-41B3-96B8-721358CA5607}"/>
            </c:ext>
          </c:extLst>
        </c:ser>
        <c:dLbls>
          <c:showLegendKey val="0"/>
          <c:showVal val="0"/>
          <c:showCatName val="0"/>
          <c:showSerName val="0"/>
          <c:showPercent val="0"/>
          <c:showBubbleSize val="0"/>
        </c:dLbls>
        <c:gapWidth val="40"/>
        <c:overlap val="100"/>
        <c:axId val="1419737615"/>
        <c:axId val="1419731855"/>
      </c:barChart>
      <c:catAx>
        <c:axId val="1419737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419731855"/>
        <c:crosses val="autoZero"/>
        <c:auto val="1"/>
        <c:lblAlgn val="ctr"/>
        <c:lblOffset val="100"/>
        <c:noMultiLvlLbl val="0"/>
      </c:catAx>
      <c:valAx>
        <c:axId val="1419731855"/>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4197376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[2024 Energy Dashboard.xlsx]Pivot table 1!PivotTable4</c:name>
    <c:fmtId val="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Energy in Megajoules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bg1"/>
            </a:solidFill>
            <a:ln w="19050">
              <a:solidFill>
                <a:srgbClr val="E03C3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1'!$B$35</c:f>
              <c:strCache>
                <c:ptCount val="1"/>
                <c:pt idx="0">
                  <c:v>Total</c:v>
                </c:pt>
              </c:strCache>
            </c:strRef>
          </c:tx>
          <c:spPr>
            <a:ln w="28575" cap="rnd">
              <a:solidFill>
                <a:schemeClr val="accent1"/>
              </a:solidFill>
              <a:round/>
            </a:ln>
            <a:effectLst/>
          </c:spPr>
          <c:marker>
            <c:symbol val="circle"/>
            <c:size val="5"/>
            <c:spPr>
              <a:solidFill>
                <a:schemeClr val="bg1"/>
              </a:solidFill>
              <a:ln w="19050">
                <a:solidFill>
                  <a:srgbClr val="E03C31"/>
                </a:solidFill>
              </a:ln>
              <a:effectLst/>
            </c:spPr>
          </c:marker>
          <c:cat>
            <c:strRef>
              <c:f>'Pivot table 1'!$A$36:$A$48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1'!$B$36:$B$48</c:f>
              <c:numCache>
                <c:formatCode>_(* #,##0.00_);_(* \(#,##0.00\);_(* "-"??_);_(@_)</c:formatCode>
                <c:ptCount val="12"/>
                <c:pt idx="0">
                  <c:v>21390</c:v>
                </c:pt>
                <c:pt idx="1">
                  <c:v>14720</c:v>
                </c:pt>
                <c:pt idx="2">
                  <c:v>22080</c:v>
                </c:pt>
                <c:pt idx="3">
                  <c:v>14720</c:v>
                </c:pt>
                <c:pt idx="4">
                  <c:v>14720</c:v>
                </c:pt>
                <c:pt idx="5">
                  <c:v>14260</c:v>
                </c:pt>
                <c:pt idx="6">
                  <c:v>14260</c:v>
                </c:pt>
                <c:pt idx="7">
                  <c:v>18446</c:v>
                </c:pt>
                <c:pt idx="8">
                  <c:v>11776</c:v>
                </c:pt>
                <c:pt idx="9">
                  <c:v>11776</c:v>
                </c:pt>
                <c:pt idx="10">
                  <c:v>23552</c:v>
                </c:pt>
                <c:pt idx="11">
                  <c:v>6118</c:v>
                </c:pt>
              </c:numCache>
            </c:numRef>
          </c:val>
          <c:smooth val="0"/>
          <c:extLst>
            <c:ext xmlns:c16="http://schemas.microsoft.com/office/drawing/2014/chart" uri="{C3380CC4-5D6E-409C-BE32-E72D297353CC}">
              <c16:uniqueId val="{00000000-DC5B-42FF-88E1-B14EB274A8C5}"/>
            </c:ext>
          </c:extLst>
        </c:ser>
        <c:dLbls>
          <c:showLegendKey val="0"/>
          <c:showVal val="0"/>
          <c:showCatName val="0"/>
          <c:showSerName val="0"/>
          <c:showPercent val="0"/>
          <c:showBubbleSize val="0"/>
        </c:dLbls>
        <c:marker val="1"/>
        <c:smooth val="0"/>
        <c:axId val="30222512"/>
        <c:axId val="30222992"/>
      </c:lineChart>
      <c:catAx>
        <c:axId val="30222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0222992"/>
        <c:crosses val="autoZero"/>
        <c:auto val="1"/>
        <c:lblAlgn val="ctr"/>
        <c:lblOffset val="100"/>
        <c:noMultiLvlLbl val="0"/>
      </c:catAx>
      <c:valAx>
        <c:axId val="30222992"/>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02225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[2024 Energy Dashboard.xlsx]Pivot table 2!PivotTable1</c:name>
    <c:fmtId val="3"/>
  </c:pivotSource>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rgbClr val="3A5DAE"/>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2'!$B$3:$B$4</c:f>
              <c:strCache>
                <c:ptCount val="1"/>
                <c:pt idx="0">
                  <c:v>KAC 328E</c:v>
                </c:pt>
              </c:strCache>
            </c:strRef>
          </c:tx>
          <c:spPr>
            <a:solidFill>
              <a:schemeClr val="accent1"/>
            </a:solidFill>
            <a:ln>
              <a:noFill/>
            </a:ln>
            <a:effectLst/>
          </c:spPr>
          <c:invertIfNegative val="0"/>
          <c:cat>
            <c:strRef>
              <c:f>'Pivot table 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2'!$B$5:$B$17</c:f>
              <c:numCache>
                <c:formatCode>_(* #,##0_);_(* \(#,##0\);_(* "-"??_);_(@_)</c:formatCode>
                <c:ptCount val="12"/>
                <c:pt idx="0">
                  <c:v>351.89</c:v>
                </c:pt>
                <c:pt idx="1">
                  <c:v>499.92</c:v>
                </c:pt>
                <c:pt idx="2">
                  <c:v>409.16</c:v>
                </c:pt>
                <c:pt idx="3">
                  <c:v>576.23</c:v>
                </c:pt>
                <c:pt idx="4">
                  <c:v>351.05</c:v>
                </c:pt>
                <c:pt idx="5">
                  <c:v>578.94000000000005</c:v>
                </c:pt>
                <c:pt idx="6">
                  <c:v>1042.77</c:v>
                </c:pt>
                <c:pt idx="7">
                  <c:v>432.52</c:v>
                </c:pt>
                <c:pt idx="8">
                  <c:v>1193.53</c:v>
                </c:pt>
                <c:pt idx="9">
                  <c:v>159.5</c:v>
                </c:pt>
                <c:pt idx="10">
                  <c:v>939.24</c:v>
                </c:pt>
                <c:pt idx="11">
                  <c:v>298.92</c:v>
                </c:pt>
              </c:numCache>
            </c:numRef>
          </c:val>
          <c:extLst>
            <c:ext xmlns:c16="http://schemas.microsoft.com/office/drawing/2014/chart" uri="{C3380CC4-5D6E-409C-BE32-E72D297353CC}">
              <c16:uniqueId val="{00000000-666B-4DBB-A978-412CFEEAE4E8}"/>
            </c:ext>
          </c:extLst>
        </c:ser>
        <c:dLbls>
          <c:showLegendKey val="0"/>
          <c:showVal val="0"/>
          <c:showCatName val="0"/>
          <c:showSerName val="0"/>
          <c:showPercent val="0"/>
          <c:showBubbleSize val="0"/>
        </c:dLbls>
        <c:gapWidth val="40"/>
        <c:overlap val="-27"/>
        <c:axId val="443601167"/>
        <c:axId val="443601647"/>
      </c:barChart>
      <c:catAx>
        <c:axId val="443601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443601647"/>
        <c:crosses val="autoZero"/>
        <c:auto val="1"/>
        <c:lblAlgn val="ctr"/>
        <c:lblOffset val="100"/>
        <c:noMultiLvlLbl val="0"/>
      </c:catAx>
      <c:valAx>
        <c:axId val="4436016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Litres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44360116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[2024 Energy Dashboard.xlsx]Pivot table 2!PivotTable3</c:name>
    <c:fmtId val="4"/>
  </c:pivotSource>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rgbClr val="3A5DAE"/>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2'!$B$22:$B$23</c:f>
              <c:strCache>
                <c:ptCount val="1"/>
                <c:pt idx="0">
                  <c:v>KAC 328E</c:v>
                </c:pt>
              </c:strCache>
            </c:strRef>
          </c:tx>
          <c:spPr>
            <a:solidFill>
              <a:schemeClr val="accent1"/>
            </a:solidFill>
            <a:ln>
              <a:noFill/>
            </a:ln>
            <a:effectLst/>
          </c:spPr>
          <c:invertIfNegative val="0"/>
          <c:cat>
            <c:strRef>
              <c:f>'Pivot table 2'!$A$24:$A$36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2'!$B$24:$B$36</c:f>
              <c:numCache>
                <c:formatCode>_(* #,##0_);_(* \(#,##0\);_(* "-"??_);_(@_)</c:formatCode>
                <c:ptCount val="12"/>
                <c:pt idx="0">
                  <c:v>62594.152789646956</c:v>
                </c:pt>
                <c:pt idx="1">
                  <c:v>88925.712190173945</c:v>
                </c:pt>
                <c:pt idx="2">
                  <c:v>72781.333812873199</c:v>
                </c:pt>
                <c:pt idx="3">
                  <c:v>102499.72622688416</c:v>
                </c:pt>
                <c:pt idx="4">
                  <c:v>62444.7336861109</c:v>
                </c:pt>
                <c:pt idx="5">
                  <c:v>102981.78071567311</c:v>
                </c:pt>
                <c:pt idx="6">
                  <c:v>185487.80785035141</c:v>
                </c:pt>
                <c:pt idx="7">
                  <c:v>76936.607930256898</c:v>
                </c:pt>
                <c:pt idx="8">
                  <c:v>212304.97933737058</c:v>
                </c:pt>
                <c:pt idx="9">
                  <c:v>28371.84168333482</c:v>
                </c:pt>
                <c:pt idx="10">
                  <c:v>167071.90333953226</c:v>
                </c:pt>
                <c:pt idx="11">
                  <c:v>53171.855272617206</c:v>
                </c:pt>
              </c:numCache>
            </c:numRef>
          </c:val>
          <c:extLst>
            <c:ext xmlns:c16="http://schemas.microsoft.com/office/drawing/2014/chart" uri="{C3380CC4-5D6E-409C-BE32-E72D297353CC}">
              <c16:uniqueId val="{00000000-1436-4CE7-A7E6-DB6BB3446B10}"/>
            </c:ext>
          </c:extLst>
        </c:ser>
        <c:dLbls>
          <c:showLegendKey val="0"/>
          <c:showVal val="0"/>
          <c:showCatName val="0"/>
          <c:showSerName val="0"/>
          <c:showPercent val="0"/>
          <c:showBubbleSize val="0"/>
        </c:dLbls>
        <c:gapWidth val="40"/>
        <c:overlap val="-27"/>
        <c:axId val="564398287"/>
        <c:axId val="564398767"/>
      </c:barChart>
      <c:catAx>
        <c:axId val="564398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64398767"/>
        <c:crosses val="autoZero"/>
        <c:auto val="1"/>
        <c:lblAlgn val="ctr"/>
        <c:lblOffset val="100"/>
        <c:noMultiLvlLbl val="0"/>
      </c:catAx>
      <c:valAx>
        <c:axId val="5643987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Kenya Shillings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6439828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[2024 Energy Dashboard.xlsx]Pivot table 1!PivotTable6</c:name>
    <c:fmtId val="4"/>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3A5DA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E03C3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CBA05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1'!$J$3:$J$4</c:f>
              <c:strCache>
                <c:ptCount val="1"/>
                <c:pt idx="0">
                  <c:v>Keri</c:v>
                </c:pt>
              </c:strCache>
            </c:strRef>
          </c:tx>
          <c:spPr>
            <a:solidFill>
              <a:srgbClr val="3A5DAE"/>
            </a:solidFill>
            <a:ln>
              <a:noFill/>
            </a:ln>
            <a:effectLst/>
          </c:spPr>
          <c:invertIfNegative val="0"/>
          <c:cat>
            <c:strRef>
              <c:f>'Pivot table 1'!$I$5:$I$17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1'!$J$5:$J$17</c:f>
              <c:numCache>
                <c:formatCode>_(* #,##0_);_(* \(#,##0\);_(* "-"??_);_(@_)</c:formatCode>
                <c:ptCount val="12"/>
                <c:pt idx="0">
                  <c:v>29120</c:v>
                </c:pt>
                <c:pt idx="1">
                  <c:v>27524</c:v>
                </c:pt>
                <c:pt idx="2">
                  <c:v>25014</c:v>
                </c:pt>
                <c:pt idx="3">
                  <c:v>36155</c:v>
                </c:pt>
                <c:pt idx="4">
                  <c:v>32727</c:v>
                </c:pt>
                <c:pt idx="5">
                  <c:v>29107</c:v>
                </c:pt>
                <c:pt idx="6">
                  <c:v>38062</c:v>
                </c:pt>
                <c:pt idx="7">
                  <c:v>32895</c:v>
                </c:pt>
                <c:pt idx="8">
                  <c:v>31711</c:v>
                </c:pt>
                <c:pt idx="9">
                  <c:v>26343</c:v>
                </c:pt>
                <c:pt idx="10">
                  <c:v>26464</c:v>
                </c:pt>
                <c:pt idx="11">
                  <c:v>21136</c:v>
                </c:pt>
              </c:numCache>
            </c:numRef>
          </c:val>
          <c:extLst>
            <c:ext xmlns:c16="http://schemas.microsoft.com/office/drawing/2014/chart" uri="{C3380CC4-5D6E-409C-BE32-E72D297353CC}">
              <c16:uniqueId val="{00000000-86AC-4251-A89E-2C53943FD25C}"/>
            </c:ext>
          </c:extLst>
        </c:ser>
        <c:ser>
          <c:idx val="1"/>
          <c:order val="1"/>
          <c:tx>
            <c:strRef>
              <c:f>'Pivot table 1'!$K$3:$K$4</c:f>
              <c:strCache>
                <c:ptCount val="1"/>
                <c:pt idx="0">
                  <c:v>Mvule</c:v>
                </c:pt>
              </c:strCache>
            </c:strRef>
          </c:tx>
          <c:spPr>
            <a:solidFill>
              <a:srgbClr val="E03C31"/>
            </a:solidFill>
            <a:ln>
              <a:noFill/>
            </a:ln>
            <a:effectLst/>
          </c:spPr>
          <c:invertIfNegative val="0"/>
          <c:cat>
            <c:strRef>
              <c:f>'Pivot table 1'!$I$5:$I$17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1'!$K$5:$K$17</c:f>
              <c:numCache>
                <c:formatCode>_(* #,##0_);_(* \(#,##0\);_(* "-"??_);_(@_)</c:formatCode>
                <c:ptCount val="12"/>
                <c:pt idx="0">
                  <c:v>86016</c:v>
                </c:pt>
                <c:pt idx="1">
                  <c:v>81429</c:v>
                </c:pt>
                <c:pt idx="2">
                  <c:v>79643</c:v>
                </c:pt>
                <c:pt idx="3">
                  <c:v>103875</c:v>
                </c:pt>
                <c:pt idx="4">
                  <c:v>92677</c:v>
                </c:pt>
                <c:pt idx="5">
                  <c:v>89876</c:v>
                </c:pt>
                <c:pt idx="6">
                  <c:v>114423</c:v>
                </c:pt>
                <c:pt idx="7">
                  <c:v>79007</c:v>
                </c:pt>
                <c:pt idx="8">
                  <c:v>83063</c:v>
                </c:pt>
                <c:pt idx="9">
                  <c:v>94477</c:v>
                </c:pt>
                <c:pt idx="10">
                  <c:v>86302</c:v>
                </c:pt>
                <c:pt idx="11">
                  <c:v>77732</c:v>
                </c:pt>
              </c:numCache>
            </c:numRef>
          </c:val>
          <c:extLst>
            <c:ext xmlns:c16="http://schemas.microsoft.com/office/drawing/2014/chart" uri="{C3380CC4-5D6E-409C-BE32-E72D297353CC}">
              <c16:uniqueId val="{00000001-7DDE-46D9-8F16-D7D0407CED89}"/>
            </c:ext>
          </c:extLst>
        </c:ser>
        <c:ser>
          <c:idx val="2"/>
          <c:order val="2"/>
          <c:tx>
            <c:strRef>
              <c:f>'Pivot table 1'!$L$3:$L$4</c:f>
              <c:strCache>
                <c:ptCount val="1"/>
                <c:pt idx="0">
                  <c:v>Sports Complex</c:v>
                </c:pt>
              </c:strCache>
            </c:strRef>
          </c:tx>
          <c:spPr>
            <a:solidFill>
              <a:srgbClr val="CBA052"/>
            </a:solidFill>
            <a:ln>
              <a:noFill/>
            </a:ln>
            <a:effectLst/>
          </c:spPr>
          <c:invertIfNegative val="0"/>
          <c:cat>
            <c:strRef>
              <c:f>'Pivot table 1'!$I$5:$I$17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1'!$L$5:$L$17</c:f>
              <c:numCache>
                <c:formatCode>_(* #,##0_);_(* \(#,##0\);_(* "-"??_);_(@_)</c:formatCode>
                <c:ptCount val="12"/>
                <c:pt idx="0">
                  <c:v>0</c:v>
                </c:pt>
                <c:pt idx="1">
                  <c:v>0</c:v>
                </c:pt>
                <c:pt idx="2">
                  <c:v>0</c:v>
                </c:pt>
                <c:pt idx="3">
                  <c:v>0</c:v>
                </c:pt>
                <c:pt idx="4">
                  <c:v>0</c:v>
                </c:pt>
                <c:pt idx="5">
                  <c:v>0</c:v>
                </c:pt>
                <c:pt idx="6">
                  <c:v>326</c:v>
                </c:pt>
                <c:pt idx="7">
                  <c:v>336</c:v>
                </c:pt>
                <c:pt idx="8">
                  <c:v>387</c:v>
                </c:pt>
                <c:pt idx="9">
                  <c:v>400</c:v>
                </c:pt>
                <c:pt idx="10">
                  <c:v>387</c:v>
                </c:pt>
                <c:pt idx="11">
                  <c:v>373.38841846490027</c:v>
                </c:pt>
              </c:numCache>
            </c:numRef>
          </c:val>
          <c:extLst>
            <c:ext xmlns:c16="http://schemas.microsoft.com/office/drawing/2014/chart" uri="{C3380CC4-5D6E-409C-BE32-E72D297353CC}">
              <c16:uniqueId val="{00000002-7DDE-46D9-8F16-D7D0407CED89}"/>
            </c:ext>
          </c:extLst>
        </c:ser>
        <c:dLbls>
          <c:showLegendKey val="0"/>
          <c:showVal val="0"/>
          <c:showCatName val="0"/>
          <c:showSerName val="0"/>
          <c:showPercent val="0"/>
          <c:showBubbleSize val="0"/>
        </c:dLbls>
        <c:gapWidth val="40"/>
        <c:overlap val="100"/>
        <c:axId val="1246465856"/>
        <c:axId val="1246466336"/>
      </c:barChart>
      <c:catAx>
        <c:axId val="1246465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246466336"/>
        <c:crosses val="autoZero"/>
        <c:auto val="1"/>
        <c:lblAlgn val="ctr"/>
        <c:lblOffset val="100"/>
        <c:noMultiLvlLbl val="0"/>
      </c:catAx>
      <c:valAx>
        <c:axId val="124646633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2464658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[2024 Energy Dashboard.xlsx]Pivot table 1!PivotTable7</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3A5DA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E03C3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CBA05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1'!$P$3:$P$4</c:f>
              <c:strCache>
                <c:ptCount val="1"/>
                <c:pt idx="0">
                  <c:v>Keri</c:v>
                </c:pt>
              </c:strCache>
            </c:strRef>
          </c:tx>
          <c:spPr>
            <a:solidFill>
              <a:srgbClr val="3A5DAE"/>
            </a:solidFill>
            <a:ln>
              <a:noFill/>
            </a:ln>
            <a:effectLst/>
          </c:spPr>
          <c:invertIfNegative val="0"/>
          <c:cat>
            <c:strRef>
              <c:f>'Pivot table 1'!$O$5:$O$17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1'!$P$5:$P$17</c:f>
              <c:numCache>
                <c:formatCode>_(* #,##0_);_(* \(#,##0\);_(* "-"??_);_(@_)</c:formatCode>
                <c:ptCount val="12"/>
                <c:pt idx="0">
                  <c:v>971891</c:v>
                </c:pt>
                <c:pt idx="1">
                  <c:v>844806</c:v>
                </c:pt>
                <c:pt idx="2">
                  <c:v>776046</c:v>
                </c:pt>
                <c:pt idx="3">
                  <c:v>962102</c:v>
                </c:pt>
                <c:pt idx="4">
                  <c:v>879091</c:v>
                </c:pt>
                <c:pt idx="5">
                  <c:v>818086</c:v>
                </c:pt>
                <c:pt idx="6">
                  <c:v>934168</c:v>
                </c:pt>
                <c:pt idx="7">
                  <c:v>873004</c:v>
                </c:pt>
                <c:pt idx="8">
                  <c:v>831377</c:v>
                </c:pt>
                <c:pt idx="9">
                  <c:v>714456</c:v>
                </c:pt>
                <c:pt idx="10">
                  <c:v>708743</c:v>
                </c:pt>
                <c:pt idx="11">
                  <c:v>580099</c:v>
                </c:pt>
              </c:numCache>
            </c:numRef>
          </c:val>
          <c:extLst>
            <c:ext xmlns:c16="http://schemas.microsoft.com/office/drawing/2014/chart" uri="{C3380CC4-5D6E-409C-BE32-E72D297353CC}">
              <c16:uniqueId val="{00000000-7C55-4DF2-9D4E-5E3172299142}"/>
            </c:ext>
          </c:extLst>
        </c:ser>
        <c:ser>
          <c:idx val="1"/>
          <c:order val="1"/>
          <c:tx>
            <c:strRef>
              <c:f>'Pivot table 1'!$Q$3:$Q$4</c:f>
              <c:strCache>
                <c:ptCount val="1"/>
                <c:pt idx="0">
                  <c:v>Mvule</c:v>
                </c:pt>
              </c:strCache>
            </c:strRef>
          </c:tx>
          <c:spPr>
            <a:solidFill>
              <a:srgbClr val="E03C31"/>
            </a:solidFill>
            <a:ln>
              <a:noFill/>
            </a:ln>
            <a:effectLst/>
          </c:spPr>
          <c:invertIfNegative val="0"/>
          <c:cat>
            <c:strRef>
              <c:f>'Pivot table 1'!$O$5:$O$17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1'!$Q$5:$Q$17</c:f>
              <c:numCache>
                <c:formatCode>_(* #,##0_);_(* \(#,##0\);_(* "-"??_);_(@_)</c:formatCode>
                <c:ptCount val="12"/>
                <c:pt idx="0">
                  <c:v>2924169</c:v>
                </c:pt>
                <c:pt idx="1">
                  <c:v>2539907</c:v>
                </c:pt>
                <c:pt idx="2">
                  <c:v>2444624</c:v>
                </c:pt>
                <c:pt idx="3">
                  <c:v>2874120</c:v>
                </c:pt>
                <c:pt idx="4">
                  <c:v>2571741</c:v>
                </c:pt>
                <c:pt idx="5">
                  <c:v>2572738</c:v>
                </c:pt>
                <c:pt idx="6">
                  <c:v>2925671</c:v>
                </c:pt>
                <c:pt idx="7">
                  <c:v>2661737</c:v>
                </c:pt>
                <c:pt idx="8">
                  <c:v>2334412</c:v>
                </c:pt>
                <c:pt idx="9">
                  <c:v>2512809</c:v>
                </c:pt>
                <c:pt idx="10">
                  <c:v>2407846</c:v>
                </c:pt>
                <c:pt idx="11">
                  <c:v>2126692</c:v>
                </c:pt>
              </c:numCache>
            </c:numRef>
          </c:val>
          <c:extLst>
            <c:ext xmlns:c16="http://schemas.microsoft.com/office/drawing/2014/chart" uri="{C3380CC4-5D6E-409C-BE32-E72D297353CC}">
              <c16:uniqueId val="{00000001-15E3-47D9-90CD-5213C4E3F10A}"/>
            </c:ext>
          </c:extLst>
        </c:ser>
        <c:ser>
          <c:idx val="2"/>
          <c:order val="2"/>
          <c:tx>
            <c:strRef>
              <c:f>'Pivot table 1'!$R$3:$R$4</c:f>
              <c:strCache>
                <c:ptCount val="1"/>
                <c:pt idx="0">
                  <c:v>Sports Complex</c:v>
                </c:pt>
              </c:strCache>
            </c:strRef>
          </c:tx>
          <c:spPr>
            <a:solidFill>
              <a:srgbClr val="CBA052"/>
            </a:solidFill>
            <a:ln>
              <a:noFill/>
            </a:ln>
            <a:effectLst/>
          </c:spPr>
          <c:invertIfNegative val="0"/>
          <c:cat>
            <c:strRef>
              <c:f>'Pivot table 1'!$O$5:$O$17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1'!$R$5:$R$17</c:f>
              <c:numCache>
                <c:formatCode>_(* #,##0_);_(* \(#,##0\);_(* "-"??_);_(@_)</c:formatCode>
                <c:ptCount val="12"/>
                <c:pt idx="0">
                  <c:v>0</c:v>
                </c:pt>
                <c:pt idx="1">
                  <c:v>0</c:v>
                </c:pt>
                <c:pt idx="2">
                  <c:v>0</c:v>
                </c:pt>
                <c:pt idx="3">
                  <c:v>0</c:v>
                </c:pt>
                <c:pt idx="4">
                  <c:v>0</c:v>
                </c:pt>
                <c:pt idx="5">
                  <c:v>0</c:v>
                </c:pt>
                <c:pt idx="6">
                  <c:v>10145.700000000001</c:v>
                </c:pt>
                <c:pt idx="7">
                  <c:v>9747.7000000000007</c:v>
                </c:pt>
                <c:pt idx="8">
                  <c:v>11235.3</c:v>
                </c:pt>
                <c:pt idx="9">
                  <c:v>11425.3</c:v>
                </c:pt>
                <c:pt idx="10">
                  <c:v>11111.8</c:v>
                </c:pt>
                <c:pt idx="11">
                  <c:v>10935.8</c:v>
                </c:pt>
              </c:numCache>
            </c:numRef>
          </c:val>
          <c:extLst>
            <c:ext xmlns:c16="http://schemas.microsoft.com/office/drawing/2014/chart" uri="{C3380CC4-5D6E-409C-BE32-E72D297353CC}">
              <c16:uniqueId val="{00000002-15E3-47D9-90CD-5213C4E3F10A}"/>
            </c:ext>
          </c:extLst>
        </c:ser>
        <c:dLbls>
          <c:showLegendKey val="0"/>
          <c:showVal val="0"/>
          <c:showCatName val="0"/>
          <c:showSerName val="0"/>
          <c:showPercent val="0"/>
          <c:showBubbleSize val="0"/>
        </c:dLbls>
        <c:gapWidth val="40"/>
        <c:overlap val="100"/>
        <c:axId val="1246482176"/>
        <c:axId val="1246486976"/>
      </c:barChart>
      <c:catAx>
        <c:axId val="1246482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246486976"/>
        <c:crosses val="autoZero"/>
        <c:auto val="1"/>
        <c:lblAlgn val="ctr"/>
        <c:lblOffset val="100"/>
        <c:noMultiLvlLbl val="0"/>
      </c:catAx>
      <c:valAx>
        <c:axId val="124648697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2464821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[2024 Energy Dashboard.xlsx]Pivot table 1!PivotTable10</c:name>
    <c:fmtId val="6"/>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3A5DA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E03C3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'Pivot table 1'!$J$21:$J$22</c:f>
              <c:strCache>
                <c:ptCount val="1"/>
                <c:pt idx="0">
                  <c:v>Keri</c:v>
                </c:pt>
              </c:strCache>
            </c:strRef>
          </c:tx>
          <c:spPr>
            <a:solidFill>
              <a:srgbClr val="3A5DAE"/>
            </a:solidFill>
            <a:ln>
              <a:noFill/>
            </a:ln>
            <a:effectLst/>
          </c:spPr>
          <c:cat>
            <c:strRef>
              <c:f>'Pivot table 1'!$I$23:$I$35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1'!$J$23:$J$35</c:f>
              <c:numCache>
                <c:formatCode>General</c:formatCode>
                <c:ptCount val="12"/>
                <c:pt idx="0">
                  <c:v>104</c:v>
                </c:pt>
                <c:pt idx="1">
                  <c:v>107</c:v>
                </c:pt>
                <c:pt idx="2">
                  <c:v>101</c:v>
                </c:pt>
                <c:pt idx="3">
                  <c:v>104</c:v>
                </c:pt>
                <c:pt idx="4">
                  <c:v>109</c:v>
                </c:pt>
                <c:pt idx="5">
                  <c:v>96</c:v>
                </c:pt>
                <c:pt idx="6">
                  <c:v>101</c:v>
                </c:pt>
                <c:pt idx="7">
                  <c:v>109</c:v>
                </c:pt>
                <c:pt idx="8">
                  <c:v>102</c:v>
                </c:pt>
                <c:pt idx="9">
                  <c:v>102</c:v>
                </c:pt>
                <c:pt idx="10">
                  <c:v>97</c:v>
                </c:pt>
                <c:pt idx="11">
                  <c:v>86</c:v>
                </c:pt>
              </c:numCache>
            </c:numRef>
          </c:val>
          <c:extLst>
            <c:ext xmlns:c16="http://schemas.microsoft.com/office/drawing/2014/chart" uri="{C3380CC4-5D6E-409C-BE32-E72D297353CC}">
              <c16:uniqueId val="{00000000-81F6-40FE-A8B5-D02C01963861}"/>
            </c:ext>
          </c:extLst>
        </c:ser>
        <c:ser>
          <c:idx val="1"/>
          <c:order val="1"/>
          <c:tx>
            <c:strRef>
              <c:f>'Pivot table 1'!$K$21:$K$22</c:f>
              <c:strCache>
                <c:ptCount val="1"/>
                <c:pt idx="0">
                  <c:v>Mvule</c:v>
                </c:pt>
              </c:strCache>
            </c:strRef>
          </c:tx>
          <c:spPr>
            <a:solidFill>
              <a:srgbClr val="E03C31"/>
            </a:solidFill>
            <a:ln w="25400">
              <a:noFill/>
            </a:ln>
            <a:effectLst/>
          </c:spPr>
          <c:cat>
            <c:strRef>
              <c:f>'Pivot table 1'!$I$23:$I$35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1'!$K$23:$K$35</c:f>
              <c:numCache>
                <c:formatCode>General</c:formatCode>
                <c:ptCount val="12"/>
                <c:pt idx="0">
                  <c:v>306</c:v>
                </c:pt>
                <c:pt idx="1">
                  <c:v>332</c:v>
                </c:pt>
                <c:pt idx="2">
                  <c:v>301</c:v>
                </c:pt>
                <c:pt idx="3">
                  <c:v>344</c:v>
                </c:pt>
                <c:pt idx="4">
                  <c:v>343</c:v>
                </c:pt>
                <c:pt idx="5">
                  <c:v>333</c:v>
                </c:pt>
                <c:pt idx="6">
                  <c:v>364</c:v>
                </c:pt>
                <c:pt idx="7">
                  <c:v>301</c:v>
                </c:pt>
                <c:pt idx="8">
                  <c:v>390</c:v>
                </c:pt>
                <c:pt idx="9">
                  <c:v>327</c:v>
                </c:pt>
                <c:pt idx="10">
                  <c:v>390</c:v>
                </c:pt>
                <c:pt idx="11">
                  <c:v>311</c:v>
                </c:pt>
              </c:numCache>
            </c:numRef>
          </c:val>
          <c:extLst>
            <c:ext xmlns:c16="http://schemas.microsoft.com/office/drawing/2014/chart" uri="{C3380CC4-5D6E-409C-BE32-E72D297353CC}">
              <c16:uniqueId val="{00000003-5999-47F1-A442-7F48F294E8D8}"/>
            </c:ext>
          </c:extLst>
        </c:ser>
        <c:ser>
          <c:idx val="2"/>
          <c:order val="2"/>
          <c:tx>
            <c:strRef>
              <c:f>'Pivot table 1'!$L$21:$L$22</c:f>
              <c:strCache>
                <c:ptCount val="1"/>
                <c:pt idx="0">
                  <c:v>Sports Complex</c:v>
                </c:pt>
              </c:strCache>
            </c:strRef>
          </c:tx>
          <c:spPr>
            <a:solidFill>
              <a:schemeClr val="accent3"/>
            </a:solidFill>
            <a:ln w="25400">
              <a:noFill/>
            </a:ln>
            <a:effectLst/>
          </c:spPr>
          <c:cat>
            <c:strRef>
              <c:f>'Pivot table 1'!$I$23:$I$35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1'!$L$23:$L$35</c:f>
              <c:numCache>
                <c:formatCode>General</c:formatCode>
                <c:ptCount val="12"/>
              </c:numCache>
            </c:numRef>
          </c:val>
          <c:extLst>
            <c:ext xmlns:c16="http://schemas.microsoft.com/office/drawing/2014/chart" uri="{C3380CC4-5D6E-409C-BE32-E72D297353CC}">
              <c16:uniqueId val="{00000004-5999-47F1-A442-7F48F294E8D8}"/>
            </c:ext>
          </c:extLst>
        </c:ser>
        <c:dLbls>
          <c:showLegendKey val="0"/>
          <c:showVal val="0"/>
          <c:showCatName val="0"/>
          <c:showSerName val="0"/>
          <c:showPercent val="0"/>
          <c:showBubbleSize val="0"/>
        </c:dLbls>
        <c:axId val="1246291136"/>
        <c:axId val="1246302656"/>
      </c:areaChart>
      <c:catAx>
        <c:axId val="12462911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246302656"/>
        <c:crosses val="autoZero"/>
        <c:auto val="1"/>
        <c:lblAlgn val="ctr"/>
        <c:lblOffset val="100"/>
        <c:noMultiLvlLbl val="0"/>
      </c:catAx>
      <c:valAx>
        <c:axId val="1246302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24629113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[2024 Energy Dashboard.xlsx]Pivot table 1!PivotTable11</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1'!$J$38:$J$39</c:f>
              <c:strCache>
                <c:ptCount val="1"/>
                <c:pt idx="0">
                  <c:v>Mbagathi Borehole</c:v>
                </c:pt>
              </c:strCache>
            </c:strRef>
          </c:tx>
          <c:spPr>
            <a:solidFill>
              <a:schemeClr val="accent1"/>
            </a:solidFill>
            <a:ln>
              <a:noFill/>
            </a:ln>
            <a:effectLst/>
          </c:spPr>
          <c:invertIfNegative val="0"/>
          <c:cat>
            <c:strRef>
              <c:f>'Pivot table 1'!$I$40:$I$52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1'!$J$40:$J$52</c:f>
              <c:numCache>
                <c:formatCode>_(* #,##0_);_(* \(#,##0\);_(* "-"??_);_(@_)</c:formatCode>
                <c:ptCount val="12"/>
                <c:pt idx="0">
                  <c:v>1775</c:v>
                </c:pt>
                <c:pt idx="1">
                  <c:v>1475</c:v>
                </c:pt>
                <c:pt idx="2">
                  <c:v>1140</c:v>
                </c:pt>
                <c:pt idx="3">
                  <c:v>1371</c:v>
                </c:pt>
                <c:pt idx="4">
                  <c:v>1265</c:v>
                </c:pt>
                <c:pt idx="5">
                  <c:v>1373</c:v>
                </c:pt>
                <c:pt idx="6">
                  <c:v>1535</c:v>
                </c:pt>
                <c:pt idx="7">
                  <c:v>1929</c:v>
                </c:pt>
                <c:pt idx="8">
                  <c:v>1773</c:v>
                </c:pt>
                <c:pt idx="9">
                  <c:v>2722</c:v>
                </c:pt>
                <c:pt idx="10">
                  <c:v>2647</c:v>
                </c:pt>
                <c:pt idx="11">
                  <c:v>561</c:v>
                </c:pt>
              </c:numCache>
            </c:numRef>
          </c:val>
          <c:extLst>
            <c:ext xmlns:c16="http://schemas.microsoft.com/office/drawing/2014/chart" uri="{C3380CC4-5D6E-409C-BE32-E72D297353CC}">
              <c16:uniqueId val="{00000000-FEB6-4AE3-A023-DFC388E9BA82}"/>
            </c:ext>
          </c:extLst>
        </c:ser>
        <c:dLbls>
          <c:showLegendKey val="0"/>
          <c:showVal val="0"/>
          <c:showCatName val="0"/>
          <c:showSerName val="0"/>
          <c:showPercent val="0"/>
          <c:showBubbleSize val="0"/>
        </c:dLbls>
        <c:gapWidth val="40"/>
        <c:overlap val="100"/>
        <c:axId val="1246427936"/>
        <c:axId val="1246415456"/>
      </c:barChart>
      <c:catAx>
        <c:axId val="1246427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246415456"/>
        <c:crosses val="autoZero"/>
        <c:auto val="1"/>
        <c:lblAlgn val="ctr"/>
        <c:lblOffset val="100"/>
        <c:noMultiLvlLbl val="0"/>
      </c:catAx>
      <c:valAx>
        <c:axId val="124641545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2464279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[2024 Energy Dashboard.xlsx]Pivot table 1!PivotTable3</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3A5DA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E03C3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1'!$J$56:$J$57</c:f>
              <c:strCache>
                <c:ptCount val="1"/>
                <c:pt idx="0">
                  <c:v>Captive use</c:v>
                </c:pt>
              </c:strCache>
            </c:strRef>
          </c:tx>
          <c:spPr>
            <a:solidFill>
              <a:srgbClr val="3A5DAE"/>
            </a:solidFill>
            <a:ln>
              <a:noFill/>
            </a:ln>
            <a:effectLst/>
          </c:spPr>
          <c:invertIfNegative val="0"/>
          <c:cat>
            <c:strRef>
              <c:f>'Pivot table 1'!$I$58:$I$70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1'!$J$58:$J$70</c:f>
              <c:numCache>
                <c:formatCode>_(* #,##0.00_);_(* \(#,##0.00\);_(* "-"??_);_(@_)</c:formatCode>
                <c:ptCount val="12"/>
                <c:pt idx="0">
                  <c:v>39793</c:v>
                </c:pt>
                <c:pt idx="1">
                  <c:v>44070.6</c:v>
                </c:pt>
                <c:pt idx="2">
                  <c:v>48508.800000000003</c:v>
                </c:pt>
                <c:pt idx="3">
                  <c:v>36741.199999999997</c:v>
                </c:pt>
                <c:pt idx="4">
                  <c:v>39007.599999999999</c:v>
                </c:pt>
                <c:pt idx="5">
                  <c:v>35300.199999999997</c:v>
                </c:pt>
                <c:pt idx="6">
                  <c:v>33126.800000000003</c:v>
                </c:pt>
                <c:pt idx="7">
                  <c:v>36806</c:v>
                </c:pt>
                <c:pt idx="8">
                  <c:v>46545</c:v>
                </c:pt>
                <c:pt idx="9">
                  <c:v>49876.2</c:v>
                </c:pt>
                <c:pt idx="10">
                  <c:v>42387.4</c:v>
                </c:pt>
                <c:pt idx="11">
                  <c:v>41836.199999999997</c:v>
                </c:pt>
              </c:numCache>
            </c:numRef>
          </c:val>
          <c:extLst>
            <c:ext xmlns:c16="http://schemas.microsoft.com/office/drawing/2014/chart" uri="{C3380CC4-5D6E-409C-BE32-E72D297353CC}">
              <c16:uniqueId val="{00000000-2B95-44FA-B72C-BB9C5D94D3C7}"/>
            </c:ext>
          </c:extLst>
        </c:ser>
        <c:ser>
          <c:idx val="1"/>
          <c:order val="1"/>
          <c:tx>
            <c:strRef>
              <c:f>'Pivot table 1'!$K$56:$K$57</c:f>
              <c:strCache>
                <c:ptCount val="1"/>
                <c:pt idx="0">
                  <c:v>Export</c:v>
                </c:pt>
              </c:strCache>
            </c:strRef>
          </c:tx>
          <c:spPr>
            <a:solidFill>
              <a:srgbClr val="E03C31"/>
            </a:solidFill>
            <a:ln>
              <a:noFill/>
            </a:ln>
            <a:effectLst/>
          </c:spPr>
          <c:invertIfNegative val="0"/>
          <c:cat>
            <c:strRef>
              <c:f>'Pivot table 1'!$I$58:$I$70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1'!$K$58:$K$70</c:f>
              <c:numCache>
                <c:formatCode>_(* #,##0.00_);_(* \(#,##0.00\);_(* "-"??_);_(@_)</c:formatCode>
                <c:ptCount val="12"/>
                <c:pt idx="0">
                  <c:v>6357</c:v>
                </c:pt>
                <c:pt idx="1">
                  <c:v>6099.4</c:v>
                </c:pt>
                <c:pt idx="2">
                  <c:v>8531.2000000000007</c:v>
                </c:pt>
                <c:pt idx="3">
                  <c:v>3308.8</c:v>
                </c:pt>
                <c:pt idx="4">
                  <c:v>2962.4</c:v>
                </c:pt>
                <c:pt idx="5">
                  <c:v>3159.8</c:v>
                </c:pt>
                <c:pt idx="6">
                  <c:v>1953.2</c:v>
                </c:pt>
                <c:pt idx="7">
                  <c:v>2454</c:v>
                </c:pt>
                <c:pt idx="8">
                  <c:v>5375</c:v>
                </c:pt>
                <c:pt idx="9">
                  <c:v>7813.8</c:v>
                </c:pt>
                <c:pt idx="10">
                  <c:v>4412.6000000000004</c:v>
                </c:pt>
                <c:pt idx="11">
                  <c:v>15823.8</c:v>
                </c:pt>
              </c:numCache>
            </c:numRef>
          </c:val>
          <c:extLst>
            <c:ext xmlns:c16="http://schemas.microsoft.com/office/drawing/2014/chart" uri="{C3380CC4-5D6E-409C-BE32-E72D297353CC}">
              <c16:uniqueId val="{00000002-5895-43C3-B874-4A749CF4CEBC}"/>
            </c:ext>
          </c:extLst>
        </c:ser>
        <c:dLbls>
          <c:showLegendKey val="0"/>
          <c:showVal val="0"/>
          <c:showCatName val="0"/>
          <c:showSerName val="0"/>
          <c:showPercent val="0"/>
          <c:showBubbleSize val="0"/>
        </c:dLbls>
        <c:gapWidth val="40"/>
        <c:overlap val="100"/>
        <c:axId val="1139420783"/>
        <c:axId val="1139413583"/>
      </c:barChart>
      <c:catAx>
        <c:axId val="1139420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139413583"/>
        <c:crosses val="autoZero"/>
        <c:auto val="1"/>
        <c:lblAlgn val="ctr"/>
        <c:lblOffset val="100"/>
        <c:noMultiLvlLbl val="0"/>
      </c:catAx>
      <c:valAx>
        <c:axId val="1139413583"/>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13942078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[2024 Energy Dashboard.xlsx]Pivot table 1!PivotTable5</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EED484"/>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3A5DA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E03C3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CBA052"/>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119504741735634"/>
          <c:y val="9.127037521363271E-2"/>
          <c:w val="0.79285312230055449"/>
          <c:h val="0.67097733064347298"/>
        </c:manualLayout>
      </c:layout>
      <c:barChart>
        <c:barDir val="col"/>
        <c:grouping val="stacked"/>
        <c:varyColors val="0"/>
        <c:ser>
          <c:idx val="0"/>
          <c:order val="0"/>
          <c:tx>
            <c:strRef>
              <c:f>'Pivot table 1'!$J$74:$J$76</c:f>
              <c:strCache>
                <c:ptCount val="1"/>
                <c:pt idx="0">
                  <c:v>Scope 1 - Refrigerants</c:v>
                </c:pt>
              </c:strCache>
            </c:strRef>
          </c:tx>
          <c:spPr>
            <a:solidFill>
              <a:srgbClr val="3A5DAE"/>
            </a:solidFill>
            <a:ln>
              <a:noFill/>
            </a:ln>
            <a:effectLst/>
          </c:spPr>
          <c:invertIfNegative val="0"/>
          <c:cat>
            <c:strRef>
              <c:f>'Pivot table 1'!$I$77:$I$89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1'!$J$77:$J$89</c:f>
              <c:numCache>
                <c:formatCode>_(* #,##0.00_);_(* \(#,##0.00\);_(* "-"??_);_(@_)</c:formatCode>
                <c:ptCount val="12"/>
                <c:pt idx="0">
                  <c:v>23.4</c:v>
                </c:pt>
                <c:pt idx="1">
                  <c:v>11.7</c:v>
                </c:pt>
                <c:pt idx="2">
                  <c:v>11.7</c:v>
                </c:pt>
                <c:pt idx="3">
                  <c:v>15.6</c:v>
                </c:pt>
                <c:pt idx="4">
                  <c:v>11.7</c:v>
                </c:pt>
                <c:pt idx="5">
                  <c:v>195</c:v>
                </c:pt>
                <c:pt idx="6">
                  <c:v>19.5</c:v>
                </c:pt>
                <c:pt idx="7">
                  <c:v>31.2</c:v>
                </c:pt>
                <c:pt idx="8">
                  <c:v>31.2</c:v>
                </c:pt>
                <c:pt idx="9">
                  <c:v>19.5</c:v>
                </c:pt>
                <c:pt idx="10">
                  <c:v>15.6</c:v>
                </c:pt>
                <c:pt idx="11">
                  <c:v>19.5</c:v>
                </c:pt>
              </c:numCache>
            </c:numRef>
          </c:val>
          <c:extLst>
            <c:ext xmlns:c16="http://schemas.microsoft.com/office/drawing/2014/chart" uri="{C3380CC4-5D6E-409C-BE32-E72D297353CC}">
              <c16:uniqueId val="{00000000-93EF-4433-A48F-42F8167B5C9F}"/>
            </c:ext>
          </c:extLst>
        </c:ser>
        <c:dLbls>
          <c:showLegendKey val="0"/>
          <c:showVal val="0"/>
          <c:showCatName val="0"/>
          <c:showSerName val="0"/>
          <c:showPercent val="0"/>
          <c:showBubbleSize val="0"/>
        </c:dLbls>
        <c:gapWidth val="40"/>
        <c:overlap val="100"/>
        <c:axId val="1344019103"/>
        <c:axId val="1344029183"/>
      </c:barChart>
      <c:catAx>
        <c:axId val="1344019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344029183"/>
        <c:crosses val="autoZero"/>
        <c:auto val="1"/>
        <c:lblAlgn val="ctr"/>
        <c:lblOffset val="100"/>
        <c:noMultiLvlLbl val="0"/>
      </c:catAx>
      <c:valAx>
        <c:axId val="1344029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Tonnes of 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344019103"/>
        <c:crosses val="autoZero"/>
        <c:crossBetween val="between"/>
      </c:valAx>
      <c:spPr>
        <a:noFill/>
        <a:ln>
          <a:noFill/>
        </a:ln>
        <a:effectLst/>
      </c:spPr>
    </c:plotArea>
    <c:legend>
      <c:legendPos val="b"/>
      <c:layout>
        <c:manualLayout>
          <c:xMode val="edge"/>
          <c:yMode val="edge"/>
          <c:x val="3.7048513389249596E-2"/>
          <c:y val="0.86056336259402988"/>
          <c:w val="0.4450263498812348"/>
          <c:h val="4.887588252492325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[2024 Energy Dashboard.xlsx]Pivot table 1!PivotTable12</c:name>
    <c:fmtId val="4"/>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1'!$J$93:$J$94</c:f>
              <c:strCache>
                <c:ptCount val="1"/>
                <c:pt idx="0">
                  <c:v>Boreholes</c:v>
                </c:pt>
              </c:strCache>
            </c:strRef>
          </c:tx>
          <c:spPr>
            <a:solidFill>
              <a:schemeClr val="accent1"/>
            </a:solidFill>
            <a:ln>
              <a:noFill/>
            </a:ln>
            <a:effectLst/>
          </c:spPr>
          <c:invertIfNegative val="0"/>
          <c:cat>
            <c:strRef>
              <c:f>'Pivot table 1'!$I$95:$I$103</c:f>
              <c:strCache>
                <c:ptCount val="8"/>
                <c:pt idx="0">
                  <c:v>Jan</c:v>
                </c:pt>
                <c:pt idx="1">
                  <c:v>Feb</c:v>
                </c:pt>
                <c:pt idx="2">
                  <c:v>Mar</c:v>
                </c:pt>
                <c:pt idx="3">
                  <c:v>May</c:v>
                </c:pt>
                <c:pt idx="4">
                  <c:v>Jun</c:v>
                </c:pt>
                <c:pt idx="5">
                  <c:v>Jul</c:v>
                </c:pt>
                <c:pt idx="6">
                  <c:v>Nov</c:v>
                </c:pt>
                <c:pt idx="7">
                  <c:v>Dec</c:v>
                </c:pt>
              </c:strCache>
            </c:strRef>
          </c:cat>
          <c:val>
            <c:numRef>
              <c:f>'Pivot table 1'!$J$95:$J$103</c:f>
              <c:numCache>
                <c:formatCode>_(* #,##0_);_(* \(#,##0\);_(* "-"??_);_(@_)</c:formatCode>
                <c:ptCount val="8"/>
                <c:pt idx="0">
                  <c:v>183564</c:v>
                </c:pt>
                <c:pt idx="1">
                  <c:v>87822</c:v>
                </c:pt>
                <c:pt idx="2">
                  <c:v>189828</c:v>
                </c:pt>
                <c:pt idx="3">
                  <c:v>72270</c:v>
                </c:pt>
                <c:pt idx="4">
                  <c:v>166354</c:v>
                </c:pt>
                <c:pt idx="5">
                  <c:v>149166</c:v>
                </c:pt>
                <c:pt idx="6">
                  <c:v>247356</c:v>
                </c:pt>
                <c:pt idx="7">
                  <c:v>191650</c:v>
                </c:pt>
              </c:numCache>
            </c:numRef>
          </c:val>
          <c:extLst>
            <c:ext xmlns:c16="http://schemas.microsoft.com/office/drawing/2014/chart" uri="{C3380CC4-5D6E-409C-BE32-E72D297353CC}">
              <c16:uniqueId val="{00000000-EAFD-4C12-B0B7-24C0E19A95F1}"/>
            </c:ext>
          </c:extLst>
        </c:ser>
        <c:ser>
          <c:idx val="1"/>
          <c:order val="1"/>
          <c:tx>
            <c:strRef>
              <c:f>'Pivot table 1'!$K$93:$K$94</c:f>
              <c:strCache>
                <c:ptCount val="1"/>
                <c:pt idx="0">
                  <c:v>Commercial</c:v>
                </c:pt>
              </c:strCache>
            </c:strRef>
          </c:tx>
          <c:spPr>
            <a:solidFill>
              <a:schemeClr val="accent2"/>
            </a:solidFill>
            <a:ln>
              <a:noFill/>
            </a:ln>
            <a:effectLst/>
          </c:spPr>
          <c:invertIfNegative val="0"/>
          <c:cat>
            <c:strRef>
              <c:f>'Pivot table 1'!$I$95:$I$103</c:f>
              <c:strCache>
                <c:ptCount val="8"/>
                <c:pt idx="0">
                  <c:v>Jan</c:v>
                </c:pt>
                <c:pt idx="1">
                  <c:v>Feb</c:v>
                </c:pt>
                <c:pt idx="2">
                  <c:v>Mar</c:v>
                </c:pt>
                <c:pt idx="3">
                  <c:v>May</c:v>
                </c:pt>
                <c:pt idx="4">
                  <c:v>Jun</c:v>
                </c:pt>
                <c:pt idx="5">
                  <c:v>Jul</c:v>
                </c:pt>
                <c:pt idx="6">
                  <c:v>Nov</c:v>
                </c:pt>
                <c:pt idx="7">
                  <c:v>Dec</c:v>
                </c:pt>
              </c:strCache>
            </c:strRef>
          </c:cat>
          <c:val>
            <c:numRef>
              <c:f>'Pivot table 1'!$K$95:$K$103</c:f>
              <c:numCache>
                <c:formatCode>_(* #,##0_);_(* \(#,##0\);_(* "-"??_);_(@_)</c:formatCode>
                <c:ptCount val="8"/>
                <c:pt idx="0">
                  <c:v>35090</c:v>
                </c:pt>
                <c:pt idx="2">
                  <c:v>11434</c:v>
                </c:pt>
                <c:pt idx="3">
                  <c:v>15124</c:v>
                </c:pt>
                <c:pt idx="6">
                  <c:v>14903</c:v>
                </c:pt>
                <c:pt idx="7">
                  <c:v>11749</c:v>
                </c:pt>
              </c:numCache>
            </c:numRef>
          </c:val>
          <c:extLst>
            <c:ext xmlns:c16="http://schemas.microsoft.com/office/drawing/2014/chart" uri="{C3380CC4-5D6E-409C-BE32-E72D297353CC}">
              <c16:uniqueId val="{00000001-8A58-475D-9ACE-31463E2B0104}"/>
            </c:ext>
          </c:extLst>
        </c:ser>
        <c:ser>
          <c:idx val="2"/>
          <c:order val="2"/>
          <c:tx>
            <c:strRef>
              <c:f>'Pivot table 1'!$L$93:$L$94</c:f>
              <c:strCache>
                <c:ptCount val="1"/>
                <c:pt idx="0">
                  <c:v>Domestic</c:v>
                </c:pt>
              </c:strCache>
            </c:strRef>
          </c:tx>
          <c:spPr>
            <a:solidFill>
              <a:schemeClr val="accent3"/>
            </a:solidFill>
            <a:ln>
              <a:noFill/>
            </a:ln>
            <a:effectLst/>
          </c:spPr>
          <c:invertIfNegative val="0"/>
          <c:cat>
            <c:strRef>
              <c:f>'Pivot table 1'!$I$95:$I$103</c:f>
              <c:strCache>
                <c:ptCount val="8"/>
                <c:pt idx="0">
                  <c:v>Jan</c:v>
                </c:pt>
                <c:pt idx="1">
                  <c:v>Feb</c:v>
                </c:pt>
                <c:pt idx="2">
                  <c:v>Mar</c:v>
                </c:pt>
                <c:pt idx="3">
                  <c:v>May</c:v>
                </c:pt>
                <c:pt idx="4">
                  <c:v>Jun</c:v>
                </c:pt>
                <c:pt idx="5">
                  <c:v>Jul</c:v>
                </c:pt>
                <c:pt idx="6">
                  <c:v>Nov</c:v>
                </c:pt>
                <c:pt idx="7">
                  <c:v>Dec</c:v>
                </c:pt>
              </c:strCache>
            </c:strRef>
          </c:cat>
          <c:val>
            <c:numRef>
              <c:f>'Pivot table 1'!$L$95:$L$103</c:f>
              <c:numCache>
                <c:formatCode>_(* #,##0_);_(* \(#,##0\);_(* "-"??_);_(@_)</c:formatCode>
                <c:ptCount val="8"/>
                <c:pt idx="0">
                  <c:v>11307</c:v>
                </c:pt>
                <c:pt idx="2">
                  <c:v>15864</c:v>
                </c:pt>
                <c:pt idx="3">
                  <c:v>34810</c:v>
                </c:pt>
                <c:pt idx="5">
                  <c:v>24782</c:v>
                </c:pt>
                <c:pt idx="6">
                  <c:v>14486</c:v>
                </c:pt>
                <c:pt idx="7">
                  <c:v>19668</c:v>
                </c:pt>
              </c:numCache>
            </c:numRef>
          </c:val>
          <c:extLst>
            <c:ext xmlns:c16="http://schemas.microsoft.com/office/drawing/2014/chart" uri="{C3380CC4-5D6E-409C-BE32-E72D297353CC}">
              <c16:uniqueId val="{00000002-8A58-475D-9ACE-31463E2B0104}"/>
            </c:ext>
          </c:extLst>
        </c:ser>
        <c:ser>
          <c:idx val="3"/>
          <c:order val="3"/>
          <c:tx>
            <c:strRef>
              <c:f>'Pivot table 1'!$M$93:$M$94</c:f>
              <c:strCache>
                <c:ptCount val="1"/>
                <c:pt idx="0">
                  <c:v>Government</c:v>
                </c:pt>
              </c:strCache>
            </c:strRef>
          </c:tx>
          <c:spPr>
            <a:solidFill>
              <a:schemeClr val="accent4"/>
            </a:solidFill>
            <a:ln>
              <a:noFill/>
            </a:ln>
            <a:effectLst/>
          </c:spPr>
          <c:invertIfNegative val="0"/>
          <c:cat>
            <c:strRef>
              <c:f>'Pivot table 1'!$I$95:$I$103</c:f>
              <c:strCache>
                <c:ptCount val="8"/>
                <c:pt idx="0">
                  <c:v>Jan</c:v>
                </c:pt>
                <c:pt idx="1">
                  <c:v>Feb</c:v>
                </c:pt>
                <c:pt idx="2">
                  <c:v>Mar</c:v>
                </c:pt>
                <c:pt idx="3">
                  <c:v>May</c:v>
                </c:pt>
                <c:pt idx="4">
                  <c:v>Jun</c:v>
                </c:pt>
                <c:pt idx="5">
                  <c:v>Jul</c:v>
                </c:pt>
                <c:pt idx="6">
                  <c:v>Nov</c:v>
                </c:pt>
                <c:pt idx="7">
                  <c:v>Dec</c:v>
                </c:pt>
              </c:strCache>
            </c:strRef>
          </c:cat>
          <c:val>
            <c:numRef>
              <c:f>'Pivot table 1'!$M$95:$M$103</c:f>
              <c:numCache>
                <c:formatCode>_(* #,##0_);_(* \(#,##0\);_(* "-"??_);_(@_)</c:formatCode>
                <c:ptCount val="8"/>
                <c:pt idx="0">
                  <c:v>61960</c:v>
                </c:pt>
                <c:pt idx="1">
                  <c:v>47256</c:v>
                </c:pt>
                <c:pt idx="2">
                  <c:v>41788</c:v>
                </c:pt>
                <c:pt idx="3">
                  <c:v>80800</c:v>
                </c:pt>
                <c:pt idx="4">
                  <c:v>53748</c:v>
                </c:pt>
                <c:pt idx="6">
                  <c:v>50400</c:v>
                </c:pt>
                <c:pt idx="7">
                  <c:v>91416.99</c:v>
                </c:pt>
              </c:numCache>
            </c:numRef>
          </c:val>
          <c:extLst>
            <c:ext xmlns:c16="http://schemas.microsoft.com/office/drawing/2014/chart" uri="{C3380CC4-5D6E-409C-BE32-E72D297353CC}">
              <c16:uniqueId val="{00000003-8A58-475D-9ACE-31463E2B0104}"/>
            </c:ext>
          </c:extLst>
        </c:ser>
        <c:dLbls>
          <c:showLegendKey val="0"/>
          <c:showVal val="0"/>
          <c:showCatName val="0"/>
          <c:showSerName val="0"/>
          <c:showPercent val="0"/>
          <c:showBubbleSize val="0"/>
        </c:dLbls>
        <c:gapWidth val="40"/>
        <c:overlap val="100"/>
        <c:axId val="1482947055"/>
        <c:axId val="1482941295"/>
      </c:barChart>
      <c:catAx>
        <c:axId val="1482947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482941295"/>
        <c:crosses val="autoZero"/>
        <c:auto val="1"/>
        <c:lblAlgn val="ctr"/>
        <c:lblOffset val="100"/>
        <c:noMultiLvlLbl val="0"/>
      </c:catAx>
      <c:valAx>
        <c:axId val="1482941295"/>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48294705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[2024 Energy Dashboard.xlsx]Pivot table 1!PivotTable13</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1'!$R$93:$R$94</c:f>
              <c:strCache>
                <c:ptCount val="1"/>
                <c:pt idx="0">
                  <c:v>Boreholes</c:v>
                </c:pt>
              </c:strCache>
            </c:strRef>
          </c:tx>
          <c:spPr>
            <a:solidFill>
              <a:schemeClr val="accent1"/>
            </a:solidFill>
            <a:ln>
              <a:noFill/>
            </a:ln>
            <a:effectLst/>
          </c:spPr>
          <c:invertIfNegative val="0"/>
          <c:cat>
            <c:strRef>
              <c:f>'Pivot table 1'!$Q$95:$Q$103</c:f>
              <c:strCache>
                <c:ptCount val="8"/>
                <c:pt idx="0">
                  <c:v>Jan</c:v>
                </c:pt>
                <c:pt idx="1">
                  <c:v>Feb</c:v>
                </c:pt>
                <c:pt idx="2">
                  <c:v>Mar</c:v>
                </c:pt>
                <c:pt idx="3">
                  <c:v>May</c:v>
                </c:pt>
                <c:pt idx="4">
                  <c:v>Jun</c:v>
                </c:pt>
                <c:pt idx="5">
                  <c:v>Jul</c:v>
                </c:pt>
                <c:pt idx="6">
                  <c:v>Nov</c:v>
                </c:pt>
                <c:pt idx="7">
                  <c:v>Dec</c:v>
                </c:pt>
              </c:strCache>
            </c:strRef>
          </c:cat>
          <c:val>
            <c:numRef>
              <c:f>'Pivot table 1'!$R$95:$R$103</c:f>
              <c:numCache>
                <c:formatCode>_(* #,##0_);_(* \(#,##0\);_(* "-"??_);_(@_)</c:formatCode>
                <c:ptCount val="8"/>
                <c:pt idx="0">
                  <c:v>3466</c:v>
                </c:pt>
                <c:pt idx="1">
                  <c:v>1660</c:v>
                </c:pt>
                <c:pt idx="2">
                  <c:v>3583</c:v>
                </c:pt>
                <c:pt idx="3">
                  <c:v>1372</c:v>
                </c:pt>
                <c:pt idx="4">
                  <c:v>3154</c:v>
                </c:pt>
                <c:pt idx="5">
                  <c:v>4706</c:v>
                </c:pt>
                <c:pt idx="6">
                  <c:v>4648</c:v>
                </c:pt>
                <c:pt idx="7">
                  <c:v>3626</c:v>
                </c:pt>
              </c:numCache>
            </c:numRef>
          </c:val>
          <c:extLst>
            <c:ext xmlns:c16="http://schemas.microsoft.com/office/drawing/2014/chart" uri="{C3380CC4-5D6E-409C-BE32-E72D297353CC}">
              <c16:uniqueId val="{00000000-A6EF-4ACA-A100-37F9CAB21312}"/>
            </c:ext>
          </c:extLst>
        </c:ser>
        <c:ser>
          <c:idx val="1"/>
          <c:order val="1"/>
          <c:tx>
            <c:strRef>
              <c:f>'Pivot table 1'!$S$93:$S$94</c:f>
              <c:strCache>
                <c:ptCount val="1"/>
                <c:pt idx="0">
                  <c:v>Commercial</c:v>
                </c:pt>
              </c:strCache>
            </c:strRef>
          </c:tx>
          <c:spPr>
            <a:solidFill>
              <a:schemeClr val="accent2"/>
            </a:solidFill>
            <a:ln>
              <a:noFill/>
            </a:ln>
            <a:effectLst/>
          </c:spPr>
          <c:invertIfNegative val="0"/>
          <c:cat>
            <c:strRef>
              <c:f>'Pivot table 1'!$Q$95:$Q$103</c:f>
              <c:strCache>
                <c:ptCount val="8"/>
                <c:pt idx="0">
                  <c:v>Jan</c:v>
                </c:pt>
                <c:pt idx="1">
                  <c:v>Feb</c:v>
                </c:pt>
                <c:pt idx="2">
                  <c:v>Mar</c:v>
                </c:pt>
                <c:pt idx="3">
                  <c:v>May</c:v>
                </c:pt>
                <c:pt idx="4">
                  <c:v>Jun</c:v>
                </c:pt>
                <c:pt idx="5">
                  <c:v>Jul</c:v>
                </c:pt>
                <c:pt idx="6">
                  <c:v>Nov</c:v>
                </c:pt>
                <c:pt idx="7">
                  <c:v>Dec</c:v>
                </c:pt>
              </c:strCache>
            </c:strRef>
          </c:cat>
          <c:val>
            <c:numRef>
              <c:f>'Pivot table 1'!$S$95:$S$103</c:f>
              <c:numCache>
                <c:formatCode>_(* #,##0_);_(* \(#,##0\);_(* "-"??_);_(@_)</c:formatCode>
                <c:ptCount val="8"/>
                <c:pt idx="0">
                  <c:v>283</c:v>
                </c:pt>
                <c:pt idx="2">
                  <c:v>99</c:v>
                </c:pt>
                <c:pt idx="3">
                  <c:v>128</c:v>
                </c:pt>
                <c:pt idx="6">
                  <c:v>126</c:v>
                </c:pt>
                <c:pt idx="7">
                  <c:v>102</c:v>
                </c:pt>
              </c:numCache>
            </c:numRef>
          </c:val>
          <c:extLst>
            <c:ext xmlns:c16="http://schemas.microsoft.com/office/drawing/2014/chart" uri="{C3380CC4-5D6E-409C-BE32-E72D297353CC}">
              <c16:uniqueId val="{00000001-40FC-4A02-97F5-036D7FE9621D}"/>
            </c:ext>
          </c:extLst>
        </c:ser>
        <c:ser>
          <c:idx val="2"/>
          <c:order val="2"/>
          <c:tx>
            <c:strRef>
              <c:f>'Pivot table 1'!$T$93:$T$94</c:f>
              <c:strCache>
                <c:ptCount val="1"/>
                <c:pt idx="0">
                  <c:v>Domestic</c:v>
                </c:pt>
              </c:strCache>
            </c:strRef>
          </c:tx>
          <c:spPr>
            <a:solidFill>
              <a:schemeClr val="accent3"/>
            </a:solidFill>
            <a:ln>
              <a:noFill/>
            </a:ln>
            <a:effectLst/>
          </c:spPr>
          <c:invertIfNegative val="0"/>
          <c:cat>
            <c:strRef>
              <c:f>'Pivot table 1'!$Q$95:$Q$103</c:f>
              <c:strCache>
                <c:ptCount val="8"/>
                <c:pt idx="0">
                  <c:v>Jan</c:v>
                </c:pt>
                <c:pt idx="1">
                  <c:v>Feb</c:v>
                </c:pt>
                <c:pt idx="2">
                  <c:v>Mar</c:v>
                </c:pt>
                <c:pt idx="3">
                  <c:v>May</c:v>
                </c:pt>
                <c:pt idx="4">
                  <c:v>Jun</c:v>
                </c:pt>
                <c:pt idx="5">
                  <c:v>Jul</c:v>
                </c:pt>
                <c:pt idx="6">
                  <c:v>Nov</c:v>
                </c:pt>
                <c:pt idx="7">
                  <c:v>Dec</c:v>
                </c:pt>
              </c:strCache>
            </c:strRef>
          </c:cat>
          <c:val>
            <c:numRef>
              <c:f>'Pivot table 1'!$T$95:$T$103</c:f>
              <c:numCache>
                <c:formatCode>_(* #,##0_);_(* \(#,##0\);_(* "-"??_);_(@_)</c:formatCode>
                <c:ptCount val="8"/>
                <c:pt idx="0">
                  <c:v>97</c:v>
                </c:pt>
                <c:pt idx="2">
                  <c:v>133</c:v>
                </c:pt>
                <c:pt idx="3">
                  <c:v>280</c:v>
                </c:pt>
                <c:pt idx="5">
                  <c:v>202</c:v>
                </c:pt>
                <c:pt idx="6">
                  <c:v>122</c:v>
                </c:pt>
                <c:pt idx="7">
                  <c:v>164</c:v>
                </c:pt>
              </c:numCache>
            </c:numRef>
          </c:val>
          <c:extLst>
            <c:ext xmlns:c16="http://schemas.microsoft.com/office/drawing/2014/chart" uri="{C3380CC4-5D6E-409C-BE32-E72D297353CC}">
              <c16:uniqueId val="{00000002-40FC-4A02-97F5-036D7FE9621D}"/>
            </c:ext>
          </c:extLst>
        </c:ser>
        <c:ser>
          <c:idx val="3"/>
          <c:order val="3"/>
          <c:tx>
            <c:strRef>
              <c:f>'Pivot table 1'!$U$93:$U$94</c:f>
              <c:strCache>
                <c:ptCount val="1"/>
                <c:pt idx="0">
                  <c:v>Government</c:v>
                </c:pt>
              </c:strCache>
            </c:strRef>
          </c:tx>
          <c:spPr>
            <a:solidFill>
              <a:schemeClr val="accent4"/>
            </a:solidFill>
            <a:ln>
              <a:noFill/>
            </a:ln>
            <a:effectLst/>
          </c:spPr>
          <c:invertIfNegative val="0"/>
          <c:cat>
            <c:strRef>
              <c:f>'Pivot table 1'!$Q$95:$Q$103</c:f>
              <c:strCache>
                <c:ptCount val="8"/>
                <c:pt idx="0">
                  <c:v>Jan</c:v>
                </c:pt>
                <c:pt idx="1">
                  <c:v>Feb</c:v>
                </c:pt>
                <c:pt idx="2">
                  <c:v>Mar</c:v>
                </c:pt>
                <c:pt idx="3">
                  <c:v>May</c:v>
                </c:pt>
                <c:pt idx="4">
                  <c:v>Jun</c:v>
                </c:pt>
                <c:pt idx="5">
                  <c:v>Jul</c:v>
                </c:pt>
                <c:pt idx="6">
                  <c:v>Nov</c:v>
                </c:pt>
                <c:pt idx="7">
                  <c:v>Dec</c:v>
                </c:pt>
              </c:strCache>
            </c:strRef>
          </c:cat>
          <c:val>
            <c:numRef>
              <c:f>'Pivot table 1'!$U$95:$U$103</c:f>
              <c:numCache>
                <c:formatCode>_(* #,##0_);_(* \(#,##0\);_(* "-"??_);_(@_)</c:formatCode>
                <c:ptCount val="8"/>
                <c:pt idx="0">
                  <c:v>486</c:v>
                </c:pt>
                <c:pt idx="1">
                  <c:v>376</c:v>
                </c:pt>
                <c:pt idx="2">
                  <c:v>334</c:v>
                </c:pt>
                <c:pt idx="3">
                  <c:v>627</c:v>
                </c:pt>
                <c:pt idx="4">
                  <c:v>428</c:v>
                </c:pt>
                <c:pt idx="6">
                  <c:v>400</c:v>
                </c:pt>
                <c:pt idx="7">
                  <c:v>709</c:v>
                </c:pt>
              </c:numCache>
            </c:numRef>
          </c:val>
          <c:extLst>
            <c:ext xmlns:c16="http://schemas.microsoft.com/office/drawing/2014/chart" uri="{C3380CC4-5D6E-409C-BE32-E72D297353CC}">
              <c16:uniqueId val="{00000003-40FC-4A02-97F5-036D7FE9621D}"/>
            </c:ext>
          </c:extLst>
        </c:ser>
        <c:dLbls>
          <c:showLegendKey val="0"/>
          <c:showVal val="0"/>
          <c:showCatName val="0"/>
          <c:showSerName val="0"/>
          <c:showPercent val="0"/>
          <c:showBubbleSize val="0"/>
        </c:dLbls>
        <c:gapWidth val="40"/>
        <c:overlap val="100"/>
        <c:axId val="1513141839"/>
        <c:axId val="1483269743"/>
      </c:barChart>
      <c:catAx>
        <c:axId val="1513141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483269743"/>
        <c:crosses val="autoZero"/>
        <c:auto val="1"/>
        <c:lblAlgn val="ctr"/>
        <c:lblOffset val="100"/>
        <c:noMultiLvlLbl val="0"/>
      </c:catAx>
      <c:valAx>
        <c:axId val="1483269743"/>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51314183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GB" sz="2000"/>
              <a:t>Energy Consumed</a:t>
            </a: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8066512669861488"/>
          <c:y val="0.18329180913856302"/>
          <c:w val="0.47775040208757302"/>
          <c:h val="0.64311128244865901"/>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AB9-40CF-80F3-779231A97D1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AB9-40CF-80F3-779231A97D1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AB9-40CF-80F3-779231A97D1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AB9-40CF-80F3-779231A97D1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AB9-40CF-80F3-779231A97D14}"/>
              </c:ext>
            </c:extLst>
          </c:dPt>
          <c:dLbls>
            <c:dLbl>
              <c:idx val="0"/>
              <c:layout>
                <c:manualLayout>
                  <c:x val="0.12222222222222222"/>
                  <c:y val="2.777777777777777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AB9-40CF-80F3-779231A97D14}"/>
                </c:ext>
              </c:extLst>
            </c:dLbl>
            <c:dLbl>
              <c:idx val="1"/>
              <c:layout>
                <c:manualLayout>
                  <c:x val="-0.1"/>
                  <c:y val="9.2592592592592587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AB9-40CF-80F3-779231A97D14}"/>
                </c:ext>
              </c:extLst>
            </c:dLbl>
            <c:dLbl>
              <c:idx val="2"/>
              <c:layout>
                <c:manualLayout>
                  <c:x val="-0.11944444444444446"/>
                  <c:y val="-1.8518518518518563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AB9-40CF-80F3-779231A97D14}"/>
                </c:ext>
              </c:extLst>
            </c:dLbl>
            <c:dLbl>
              <c:idx val="3"/>
              <c:layout>
                <c:manualLayout>
                  <c:x val="-9.4444444444444497E-2"/>
                  <c:y val="-7.870370370370370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8AB9-40CF-80F3-779231A97D14}"/>
                </c:ext>
              </c:extLst>
            </c:dLbl>
            <c:dLbl>
              <c:idx val="4"/>
              <c:layout>
                <c:manualLayout>
                  <c:x val="0.11666666666666667"/>
                  <c:y val="-7.407407407407409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8AB9-40CF-80F3-779231A97D14}"/>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 1'!$V$7:$V$11</c:f>
              <c:strCache>
                <c:ptCount val="5"/>
                <c:pt idx="0">
                  <c:v>Electricity</c:v>
                </c:pt>
                <c:pt idx="1">
                  <c:v>Diesel</c:v>
                </c:pt>
                <c:pt idx="2">
                  <c:v>Solar PV</c:v>
                </c:pt>
                <c:pt idx="3">
                  <c:v>Petrol</c:v>
                </c:pt>
                <c:pt idx="4">
                  <c:v>LPG</c:v>
                </c:pt>
              </c:strCache>
            </c:strRef>
          </c:cat>
          <c:val>
            <c:numRef>
              <c:f>'Pivot table 1'!$X$7:$X$11</c:f>
              <c:numCache>
                <c:formatCode>0%</c:formatCode>
                <c:ptCount val="5"/>
                <c:pt idx="0">
                  <c:v>0.45344147203326007</c:v>
                </c:pt>
                <c:pt idx="1">
                  <c:v>0.32787936552946861</c:v>
                </c:pt>
                <c:pt idx="2">
                  <c:v>0.15697380058223082</c:v>
                </c:pt>
                <c:pt idx="3">
                  <c:v>4.5127221414723785E-2</c:v>
                </c:pt>
                <c:pt idx="4">
                  <c:v>1.6578140440316583E-2</c:v>
                </c:pt>
              </c:numCache>
            </c:numRef>
          </c:val>
          <c:extLst>
            <c:ext xmlns:c16="http://schemas.microsoft.com/office/drawing/2014/chart" uri="{C3380CC4-5D6E-409C-BE32-E72D297353CC}">
              <c16:uniqueId val="{0000000A-8AB9-40CF-80F3-779231A97D14}"/>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GB" sz="2000" b="0"/>
              <a:t>Energy</a:t>
            </a:r>
            <a:r>
              <a:rPr lang="en-GB" sz="2000" b="0" baseline="0"/>
              <a:t> Cost</a:t>
            </a:r>
            <a:endParaRPr lang="en-GB" sz="2000" b="0"/>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5AB-4B66-AFD5-EB8233E8C33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5AB-4B66-AFD5-EB8233E8C33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5AB-4B66-AFD5-EB8233E8C33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5AB-4B66-AFD5-EB8233E8C33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5AB-4B66-AFD5-EB8233E8C337}"/>
              </c:ext>
            </c:extLst>
          </c:dPt>
          <c:dLbls>
            <c:dLbl>
              <c:idx val="0"/>
              <c:layout>
                <c:manualLayout>
                  <c:x val="0.12501318095773692"/>
                  <c:y val="1.727642469968268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5AB-4B66-AFD5-EB8233E8C337}"/>
                </c:ext>
              </c:extLst>
            </c:dLbl>
            <c:dLbl>
              <c:idx val="1"/>
              <c:layout>
                <c:manualLayout>
                  <c:x val="-9.1155496922553536E-2"/>
                  <c:y val="0"/>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5AB-4B66-AFD5-EB8233E8C337}"/>
                </c:ext>
              </c:extLst>
            </c:dLbl>
            <c:dLbl>
              <c:idx val="2"/>
              <c:layout>
                <c:manualLayout>
                  <c:x val="-0.1432443523068698"/>
                  <c:y val="-2.0731709639619223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95AB-4B66-AFD5-EB8233E8C337}"/>
                </c:ext>
              </c:extLst>
            </c:dLbl>
            <c:dLbl>
              <c:idx val="3"/>
              <c:layout>
                <c:manualLayout>
                  <c:x val="-5.729774092274792E-2"/>
                  <c:y val="-8.983740843834996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95AB-4B66-AFD5-EB8233E8C337}"/>
                </c:ext>
              </c:extLst>
            </c:dLbl>
            <c:dLbl>
              <c:idx val="4"/>
              <c:layout>
                <c:manualLayout>
                  <c:x val="7.292439753804271E-2"/>
                  <c:y val="-7.60162686786038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95AB-4B66-AFD5-EB8233E8C337}"/>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 1'!$V$15:$V$19</c:f>
              <c:strCache>
                <c:ptCount val="5"/>
                <c:pt idx="0">
                  <c:v>Electricity</c:v>
                </c:pt>
                <c:pt idx="1">
                  <c:v>Diesel</c:v>
                </c:pt>
                <c:pt idx="2">
                  <c:v>Solar PV</c:v>
                </c:pt>
                <c:pt idx="3">
                  <c:v>Petrol</c:v>
                </c:pt>
                <c:pt idx="4">
                  <c:v>LPG</c:v>
                </c:pt>
              </c:strCache>
            </c:strRef>
          </c:cat>
          <c:val>
            <c:numRef>
              <c:f>'Pivot table 1'!$X$15:$X$19</c:f>
              <c:numCache>
                <c:formatCode>0%</c:formatCode>
                <c:ptCount val="5"/>
                <c:pt idx="0">
                  <c:v>0.6890379073213182</c:v>
                </c:pt>
                <c:pt idx="1">
                  <c:v>0.2449229537621434</c:v>
                </c:pt>
                <c:pt idx="2">
                  <c:v>0</c:v>
                </c:pt>
                <c:pt idx="3">
                  <c:v>4.8823705592085188E-2</c:v>
                </c:pt>
                <c:pt idx="4">
                  <c:v>1.7215433324453189E-2</c:v>
                </c:pt>
              </c:numCache>
            </c:numRef>
          </c:val>
          <c:extLst>
            <c:ext xmlns:c16="http://schemas.microsoft.com/office/drawing/2014/chart" uri="{C3380CC4-5D6E-409C-BE32-E72D297353CC}">
              <c16:uniqueId val="{0000000A-95AB-4B66-AFD5-EB8233E8C337}"/>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[2024 Energy Dashboard.xlsx]Pivot table 2!PivotTable2</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Fuel Efficiency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3A5DA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3A5DA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3A5DA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3A5DA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3A5DA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3A5DA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2'!$B$41:$B$42</c:f>
              <c:strCache>
                <c:ptCount val="1"/>
                <c:pt idx="0">
                  <c:v>Station Wagon</c:v>
                </c:pt>
              </c:strCache>
            </c:strRef>
          </c:tx>
          <c:spPr>
            <a:solidFill>
              <a:srgbClr val="3A5DAE"/>
            </a:solidFill>
            <a:ln>
              <a:noFill/>
            </a:ln>
            <a:effectLst/>
          </c:spPr>
          <c:invertIfNegative val="0"/>
          <c:cat>
            <c:strRef>
              <c:f>'Pivot table 2'!$A$43:$A$46</c:f>
              <c:strCache>
                <c:ptCount val="3"/>
                <c:pt idx="0">
                  <c:v>KBW 306M</c:v>
                </c:pt>
                <c:pt idx="1">
                  <c:v>KBW 334B</c:v>
                </c:pt>
                <c:pt idx="2">
                  <c:v>KCV 353L</c:v>
                </c:pt>
              </c:strCache>
            </c:strRef>
          </c:cat>
          <c:val>
            <c:numRef>
              <c:f>'Pivot table 2'!$B$43:$B$46</c:f>
              <c:numCache>
                <c:formatCode>_(* #,##0.00_);_(* \(#,##0.00\);_(* "-"??_);_(@_)</c:formatCode>
                <c:ptCount val="3"/>
                <c:pt idx="0">
                  <c:v>10.230025534143735</c:v>
                </c:pt>
                <c:pt idx="1">
                  <c:v>11.015607917451925</c:v>
                </c:pt>
                <c:pt idx="2">
                  <c:v>10.519772390379192</c:v>
                </c:pt>
              </c:numCache>
            </c:numRef>
          </c:val>
          <c:extLst>
            <c:ext xmlns:c16="http://schemas.microsoft.com/office/drawing/2014/chart" uri="{C3380CC4-5D6E-409C-BE32-E72D297353CC}">
              <c16:uniqueId val="{00000000-D504-4729-BF2E-5E4AC2506E0B}"/>
            </c:ext>
          </c:extLst>
        </c:ser>
        <c:dLbls>
          <c:showLegendKey val="0"/>
          <c:showVal val="0"/>
          <c:showCatName val="0"/>
          <c:showSerName val="0"/>
          <c:showPercent val="0"/>
          <c:showBubbleSize val="0"/>
        </c:dLbls>
        <c:gapWidth val="40"/>
        <c:overlap val="-27"/>
        <c:axId val="1817189072"/>
        <c:axId val="1817189552"/>
      </c:barChart>
      <c:catAx>
        <c:axId val="1817189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817189552"/>
        <c:crosses val="autoZero"/>
        <c:auto val="1"/>
        <c:lblAlgn val="ctr"/>
        <c:lblOffset val="100"/>
        <c:noMultiLvlLbl val="0"/>
      </c:catAx>
      <c:valAx>
        <c:axId val="1817189552"/>
        <c:scaling>
          <c:orientation val="minMax"/>
          <c:max val="14"/>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Km/Litre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8171890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chart" Target="../charts/chart12.xml"/><Relationship Id="rId3" Type="http://schemas.openxmlformats.org/officeDocument/2006/relationships/chart" Target="../charts/chart3.xml"/><Relationship Id="rId7" Type="http://schemas.openxmlformats.org/officeDocument/2006/relationships/chart" Target="../charts/chart6.xml"/><Relationship Id="rId12" Type="http://schemas.openxmlformats.org/officeDocument/2006/relationships/chart" Target="../charts/chart11.xml"/><Relationship Id="rId17" Type="http://schemas.openxmlformats.org/officeDocument/2006/relationships/chart" Target="../charts/chart16.xml"/><Relationship Id="rId2" Type="http://schemas.openxmlformats.org/officeDocument/2006/relationships/chart" Target="../charts/chart2.xml"/><Relationship Id="rId16" Type="http://schemas.openxmlformats.org/officeDocument/2006/relationships/chart" Target="../charts/chart15.xml"/><Relationship Id="rId1" Type="http://schemas.openxmlformats.org/officeDocument/2006/relationships/chart" Target="../charts/chart1.xml"/><Relationship Id="rId6" Type="http://schemas.openxmlformats.org/officeDocument/2006/relationships/image" Target="../media/image1.png"/><Relationship Id="rId11" Type="http://schemas.openxmlformats.org/officeDocument/2006/relationships/chart" Target="../charts/chart10.xml"/><Relationship Id="rId5" Type="http://schemas.openxmlformats.org/officeDocument/2006/relationships/chart" Target="../charts/chart5.xml"/><Relationship Id="rId15" Type="http://schemas.openxmlformats.org/officeDocument/2006/relationships/chart" Target="../charts/chart14.xml"/><Relationship Id="rId10" Type="http://schemas.openxmlformats.org/officeDocument/2006/relationships/chart" Target="../charts/chart9.xml"/><Relationship Id="rId4" Type="http://schemas.openxmlformats.org/officeDocument/2006/relationships/chart" Target="../charts/chart4.xml"/><Relationship Id="rId9" Type="http://schemas.openxmlformats.org/officeDocument/2006/relationships/chart" Target="../charts/chart8.xml"/><Relationship Id="rId1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3</xdr:col>
      <xdr:colOff>501650</xdr:colOff>
      <xdr:row>14</xdr:row>
      <xdr:rowOff>104775</xdr:rowOff>
    </xdr:from>
    <xdr:to>
      <xdr:col>12</xdr:col>
      <xdr:colOff>50800</xdr:colOff>
      <xdr:row>32</xdr:row>
      <xdr:rowOff>112939</xdr:rowOff>
    </xdr:to>
    <xdr:graphicFrame macro="">
      <xdr:nvGraphicFramePr>
        <xdr:cNvPr id="2" name="Chart 1">
          <a:extLst>
            <a:ext uri="{FF2B5EF4-FFF2-40B4-BE49-F238E27FC236}">
              <a16:creationId xmlns:a16="http://schemas.microsoft.com/office/drawing/2014/main" id="{906106B7-A979-4055-B927-06FFAFD1F1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138642</xdr:colOff>
      <xdr:row>15</xdr:row>
      <xdr:rowOff>53973</xdr:rowOff>
    </xdr:from>
    <xdr:to>
      <xdr:col>3</xdr:col>
      <xdr:colOff>496094</xdr:colOff>
      <xdr:row>25</xdr:row>
      <xdr:rowOff>78441</xdr:rowOff>
    </xdr:to>
    <mc:AlternateContent xmlns:mc="http://schemas.openxmlformats.org/markup-compatibility/2006" xmlns:a14="http://schemas.microsoft.com/office/drawing/2010/main">
      <mc:Choice Requires="a14">
        <xdr:graphicFrame macro="">
          <xdr:nvGraphicFramePr>
            <xdr:cNvPr id="11" name="Fuel">
              <a:extLst>
                <a:ext uri="{FF2B5EF4-FFF2-40B4-BE49-F238E27FC236}">
                  <a16:creationId xmlns:a16="http://schemas.microsoft.com/office/drawing/2014/main" id="{46288356-150F-46A2-33F1-EF426428E2DF}"/>
                </a:ext>
              </a:extLst>
            </xdr:cNvPr>
            <xdr:cNvGraphicFramePr/>
          </xdr:nvGraphicFramePr>
          <xdr:xfrm>
            <a:off x="0" y="0"/>
            <a:ext cx="0" cy="0"/>
          </xdr:xfrm>
          <a:graphic>
            <a:graphicData uri="http://schemas.microsoft.com/office/drawing/2010/slicer">
              <sle:slicer xmlns:sle="http://schemas.microsoft.com/office/drawing/2010/slicer" name="Fuel"/>
            </a:graphicData>
          </a:graphic>
        </xdr:graphicFrame>
      </mc:Choice>
      <mc:Fallback xmlns="">
        <xdr:sp macro="" textlink="">
          <xdr:nvSpPr>
            <xdr:cNvPr id="0" name=""/>
            <xdr:cNvSpPr>
              <a:spLocks noTextEdit="1"/>
            </xdr:cNvSpPr>
          </xdr:nvSpPr>
          <xdr:spPr>
            <a:xfrm>
              <a:off x="138642" y="2911475"/>
              <a:ext cx="2194416" cy="15335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311150</xdr:colOff>
      <xdr:row>14</xdr:row>
      <xdr:rowOff>104775</xdr:rowOff>
    </xdr:from>
    <xdr:to>
      <xdr:col>20</xdr:col>
      <xdr:colOff>463550</xdr:colOff>
      <xdr:row>32</xdr:row>
      <xdr:rowOff>112939</xdr:rowOff>
    </xdr:to>
    <xdr:graphicFrame macro="">
      <xdr:nvGraphicFramePr>
        <xdr:cNvPr id="16" name="Chart 15">
          <a:extLst>
            <a:ext uri="{FF2B5EF4-FFF2-40B4-BE49-F238E27FC236}">
              <a16:creationId xmlns:a16="http://schemas.microsoft.com/office/drawing/2014/main" id="{018A8D56-9609-4ADE-A95B-F6F6B935C3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130175</xdr:colOff>
      <xdr:row>14</xdr:row>
      <xdr:rowOff>114300</xdr:rowOff>
    </xdr:from>
    <xdr:to>
      <xdr:col>29</xdr:col>
      <xdr:colOff>282575</xdr:colOff>
      <xdr:row>32</xdr:row>
      <xdr:rowOff>122464</xdr:rowOff>
    </xdr:to>
    <xdr:graphicFrame macro="">
      <xdr:nvGraphicFramePr>
        <xdr:cNvPr id="5" name="Chart 4">
          <a:extLst>
            <a:ext uri="{FF2B5EF4-FFF2-40B4-BE49-F238E27FC236}">
              <a16:creationId xmlns:a16="http://schemas.microsoft.com/office/drawing/2014/main" id="{F0D0DEC3-2694-4234-BFDF-41415AE78C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66675</xdr:colOff>
      <xdr:row>0</xdr:row>
      <xdr:rowOff>57149</xdr:rowOff>
    </xdr:from>
    <xdr:to>
      <xdr:col>29</xdr:col>
      <xdr:colOff>523875</xdr:colOff>
      <xdr:row>7</xdr:row>
      <xdr:rowOff>142874</xdr:rowOff>
    </xdr:to>
    <xdr:sp macro="" textlink="">
      <xdr:nvSpPr>
        <xdr:cNvPr id="8" name="Rectangle: Rounded Corners 7">
          <a:extLst>
            <a:ext uri="{FF2B5EF4-FFF2-40B4-BE49-F238E27FC236}">
              <a16:creationId xmlns:a16="http://schemas.microsoft.com/office/drawing/2014/main" id="{2A1EA05B-6F7F-C492-2324-2F314BAF1C80}"/>
            </a:ext>
          </a:extLst>
        </xdr:cNvPr>
        <xdr:cNvSpPr/>
      </xdr:nvSpPr>
      <xdr:spPr>
        <a:xfrm>
          <a:off x="2495550" y="57149"/>
          <a:ext cx="15637669" cy="1419225"/>
        </a:xfrm>
        <a:prstGeom prst="roundRect">
          <a:avLst/>
        </a:prstGeom>
        <a:solidFill>
          <a:sysClr val="window" lastClr="FFFFFF"/>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3600" b="1">
              <a:solidFill>
                <a:schemeClr val="accent1"/>
              </a:solidFill>
            </a:rPr>
            <a:t>Strathmore University </a:t>
          </a:r>
        </a:p>
        <a:p>
          <a:pPr algn="ctr"/>
          <a:r>
            <a:rPr lang="en-GB" sz="3600" b="1">
              <a:solidFill>
                <a:schemeClr val="accent1"/>
              </a:solidFill>
            </a:rPr>
            <a:t>2024 Energy &amp; Water Dashboard</a:t>
          </a:r>
        </a:p>
      </xdr:txBody>
    </xdr:sp>
    <xdr:clientData/>
  </xdr:twoCellAnchor>
  <xdr:twoCellAnchor>
    <xdr:from>
      <xdr:col>5</xdr:col>
      <xdr:colOff>263525</xdr:colOff>
      <xdr:row>8</xdr:row>
      <xdr:rowOff>104775</xdr:rowOff>
    </xdr:from>
    <xdr:to>
      <xdr:col>10</xdr:col>
      <xdr:colOff>406400</xdr:colOff>
      <xdr:row>14</xdr:row>
      <xdr:rowOff>0</xdr:rowOff>
    </xdr:to>
    <xdr:sp macro="" textlink="">
      <xdr:nvSpPr>
        <xdr:cNvPr id="9" name="Rectangle: Rounded Corners 8">
          <a:extLst>
            <a:ext uri="{FF2B5EF4-FFF2-40B4-BE49-F238E27FC236}">
              <a16:creationId xmlns:a16="http://schemas.microsoft.com/office/drawing/2014/main" id="{0403F762-C7AA-2A89-9017-61D50D9712C8}"/>
            </a:ext>
          </a:extLst>
        </xdr:cNvPr>
        <xdr:cNvSpPr/>
      </xdr:nvSpPr>
      <xdr:spPr>
        <a:xfrm>
          <a:off x="3311525" y="1628775"/>
          <a:ext cx="3190875" cy="1038225"/>
        </a:xfrm>
        <a:prstGeom prst="roundRect">
          <a:avLst/>
        </a:prstGeom>
        <a:solidFill>
          <a:sysClr val="window" lastClr="FFFFFF"/>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400" b="1">
              <a:solidFill>
                <a:schemeClr val="accent1"/>
              </a:solidFill>
            </a:rPr>
            <a:t>Expenditure</a:t>
          </a:r>
          <a:endParaRPr lang="en-GB" sz="2000" b="1">
            <a:solidFill>
              <a:schemeClr val="accent1"/>
            </a:solidFill>
          </a:endParaRPr>
        </a:p>
      </xdr:txBody>
    </xdr:sp>
    <xdr:clientData/>
  </xdr:twoCellAnchor>
  <xdr:twoCellAnchor>
    <xdr:from>
      <xdr:col>22</xdr:col>
      <xdr:colOff>339725</xdr:colOff>
      <xdr:row>8</xdr:row>
      <xdr:rowOff>73478</xdr:rowOff>
    </xdr:from>
    <xdr:to>
      <xdr:col>27</xdr:col>
      <xdr:colOff>485320</xdr:colOff>
      <xdr:row>13</xdr:row>
      <xdr:rowOff>149678</xdr:rowOff>
    </xdr:to>
    <xdr:sp macro="" textlink="">
      <xdr:nvSpPr>
        <xdr:cNvPr id="10" name="Rectangle: Rounded Corners 9">
          <a:extLst>
            <a:ext uri="{FF2B5EF4-FFF2-40B4-BE49-F238E27FC236}">
              <a16:creationId xmlns:a16="http://schemas.microsoft.com/office/drawing/2014/main" id="{9FCD2106-0E4F-CD55-AB09-74782B564C3F}"/>
            </a:ext>
          </a:extLst>
        </xdr:cNvPr>
        <xdr:cNvSpPr/>
      </xdr:nvSpPr>
      <xdr:spPr>
        <a:xfrm>
          <a:off x="13810796" y="1597478"/>
          <a:ext cx="3207203" cy="1028700"/>
        </a:xfrm>
        <a:prstGeom prst="roundRect">
          <a:avLst/>
        </a:prstGeom>
        <a:solidFill>
          <a:schemeClr val="lt1"/>
        </a:solidFill>
        <a:ln w="9525" cmpd="sng">
          <a:solidFill>
            <a:schemeClr val="lt1">
              <a:shade val="50000"/>
            </a:schemeClr>
          </a:solid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2400" b="1" i="0" u="none" strike="noStrike">
              <a:solidFill>
                <a:schemeClr val="accent1"/>
              </a:solidFill>
              <a:latin typeface="Aptos Narrow"/>
              <a:ea typeface="+mn-ea"/>
              <a:cs typeface="+mn-cs"/>
            </a:rPr>
            <a:t>Energy Consumption </a:t>
          </a:r>
        </a:p>
      </xdr:txBody>
    </xdr:sp>
    <xdr:clientData/>
  </xdr:twoCellAnchor>
  <xdr:twoCellAnchor>
    <xdr:from>
      <xdr:col>7</xdr:col>
      <xdr:colOff>139701</xdr:colOff>
      <xdr:row>10</xdr:row>
      <xdr:rowOff>123825</xdr:rowOff>
    </xdr:from>
    <xdr:to>
      <xdr:col>10</xdr:col>
      <xdr:colOff>1</xdr:colOff>
      <xdr:row>13</xdr:row>
      <xdr:rowOff>104775</xdr:rowOff>
    </xdr:to>
    <xdr:sp macro="" textlink="'Pivot table 1'!W3">
      <xdr:nvSpPr>
        <xdr:cNvPr id="14" name="TextBox 13">
          <a:extLst>
            <a:ext uri="{FF2B5EF4-FFF2-40B4-BE49-F238E27FC236}">
              <a16:creationId xmlns:a16="http://schemas.microsoft.com/office/drawing/2014/main" id="{40B0E069-BB71-6E5C-5C19-EB781D8E2D2F}"/>
            </a:ext>
          </a:extLst>
        </xdr:cNvPr>
        <xdr:cNvSpPr txBox="1"/>
      </xdr:nvSpPr>
      <xdr:spPr>
        <a:xfrm>
          <a:off x="4406901" y="2028825"/>
          <a:ext cx="1689100"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8AEB3EC-8D3F-4F20-BFC9-329EB006AF31}" type="TxLink">
            <a:rPr lang="en-US" sz="2400" b="0" i="0" u="none" strike="noStrike">
              <a:solidFill>
                <a:schemeClr val="accent1"/>
              </a:solidFill>
              <a:latin typeface="Aptos Narrow"/>
            </a:rPr>
            <a:pPr/>
            <a:t> 1,020,750 </a:t>
          </a:fld>
          <a:endParaRPr lang="en-GB" sz="2400" b="0" i="0" u="none" strike="noStrike">
            <a:solidFill>
              <a:schemeClr val="accent1"/>
            </a:solidFill>
            <a:latin typeface="Aptos Narrow"/>
          </a:endParaRPr>
        </a:p>
      </xdr:txBody>
    </xdr:sp>
    <xdr:clientData/>
  </xdr:twoCellAnchor>
  <xdr:twoCellAnchor>
    <xdr:from>
      <xdr:col>22</xdr:col>
      <xdr:colOff>523421</xdr:colOff>
      <xdr:row>10</xdr:row>
      <xdr:rowOff>159203</xdr:rowOff>
    </xdr:from>
    <xdr:to>
      <xdr:col>26</xdr:col>
      <xdr:colOff>339725</xdr:colOff>
      <xdr:row>13</xdr:row>
      <xdr:rowOff>140153</xdr:rowOff>
    </xdr:to>
    <xdr:sp macro="" textlink="'Pivot table 1'!W4">
      <xdr:nvSpPr>
        <xdr:cNvPr id="15" name="TextBox 14">
          <a:extLst>
            <a:ext uri="{FF2B5EF4-FFF2-40B4-BE49-F238E27FC236}">
              <a16:creationId xmlns:a16="http://schemas.microsoft.com/office/drawing/2014/main" id="{42E8290F-6120-78D5-B4A9-FEC6B82FA9AB}"/>
            </a:ext>
          </a:extLst>
        </xdr:cNvPr>
        <xdr:cNvSpPr txBox="1"/>
      </xdr:nvSpPr>
      <xdr:spPr>
        <a:xfrm>
          <a:off x="13994492" y="2064203"/>
          <a:ext cx="2265590"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7B06C61-F525-4ED6-9631-B5DD0930F78C}" type="TxLink">
            <a:rPr lang="en-US" sz="2400" b="0" i="0" u="none" strike="noStrike">
              <a:solidFill>
                <a:schemeClr val="accent1"/>
              </a:solidFill>
              <a:latin typeface="Aptos Narrow"/>
            </a:rPr>
            <a:pPr algn="ctr"/>
            <a:t> 187,818 </a:t>
          </a:fld>
          <a:endParaRPr lang="en-GB" sz="4800" b="0">
            <a:solidFill>
              <a:schemeClr val="accent1"/>
            </a:solidFill>
          </a:endParaRPr>
        </a:p>
      </xdr:txBody>
    </xdr:sp>
    <xdr:clientData/>
  </xdr:twoCellAnchor>
  <xdr:twoCellAnchor>
    <xdr:from>
      <xdr:col>6</xdr:col>
      <xdr:colOff>206375</xdr:colOff>
      <xdr:row>10</xdr:row>
      <xdr:rowOff>133350</xdr:rowOff>
    </xdr:from>
    <xdr:to>
      <xdr:col>7</xdr:col>
      <xdr:colOff>361156</xdr:colOff>
      <xdr:row>13</xdr:row>
      <xdr:rowOff>19050</xdr:rowOff>
    </xdr:to>
    <xdr:sp macro="" textlink="">
      <xdr:nvSpPr>
        <xdr:cNvPr id="17" name="TextBox 16">
          <a:extLst>
            <a:ext uri="{FF2B5EF4-FFF2-40B4-BE49-F238E27FC236}">
              <a16:creationId xmlns:a16="http://schemas.microsoft.com/office/drawing/2014/main" id="{2272527C-0B62-6F9A-6116-06C61DA67BE9}"/>
            </a:ext>
          </a:extLst>
        </xdr:cNvPr>
        <xdr:cNvSpPr txBox="1"/>
      </xdr:nvSpPr>
      <xdr:spPr>
        <a:xfrm>
          <a:off x="3863975" y="2038350"/>
          <a:ext cx="764381"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b="0">
              <a:solidFill>
                <a:schemeClr val="accent1"/>
              </a:solidFill>
            </a:rPr>
            <a:t>KES</a:t>
          </a:r>
        </a:p>
      </xdr:txBody>
    </xdr:sp>
    <xdr:clientData/>
  </xdr:twoCellAnchor>
  <xdr:twoCellAnchor>
    <xdr:from>
      <xdr:col>25</xdr:col>
      <xdr:colOff>396874</xdr:colOff>
      <xdr:row>10</xdr:row>
      <xdr:rowOff>159203</xdr:rowOff>
    </xdr:from>
    <xdr:to>
      <xdr:col>26</xdr:col>
      <xdr:colOff>444500</xdr:colOff>
      <xdr:row>13</xdr:row>
      <xdr:rowOff>44903</xdr:rowOff>
    </xdr:to>
    <xdr:sp macro="" textlink="">
      <xdr:nvSpPr>
        <xdr:cNvPr id="18" name="TextBox 17">
          <a:extLst>
            <a:ext uri="{FF2B5EF4-FFF2-40B4-BE49-F238E27FC236}">
              <a16:creationId xmlns:a16="http://schemas.microsoft.com/office/drawing/2014/main" id="{72C04147-5687-216F-C641-840BB66680CE}"/>
            </a:ext>
          </a:extLst>
        </xdr:cNvPr>
        <xdr:cNvSpPr txBox="1"/>
      </xdr:nvSpPr>
      <xdr:spPr>
        <a:xfrm>
          <a:off x="15636874" y="2064203"/>
          <a:ext cx="657226"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400" b="0">
              <a:solidFill>
                <a:schemeClr val="accent1"/>
              </a:solidFill>
            </a:rPr>
            <a:t>MJ</a:t>
          </a:r>
        </a:p>
      </xdr:txBody>
    </xdr:sp>
    <xdr:clientData/>
  </xdr:twoCellAnchor>
  <xdr:twoCellAnchor>
    <xdr:from>
      <xdr:col>13</xdr:col>
      <xdr:colOff>542132</xdr:colOff>
      <xdr:row>8</xdr:row>
      <xdr:rowOff>85725</xdr:rowOff>
    </xdr:from>
    <xdr:to>
      <xdr:col>19</xdr:col>
      <xdr:colOff>79375</xdr:colOff>
      <xdr:row>13</xdr:row>
      <xdr:rowOff>161925</xdr:rowOff>
    </xdr:to>
    <xdr:sp macro="" textlink="">
      <xdr:nvSpPr>
        <xdr:cNvPr id="3" name="Rectangle: Rounded Corners 2">
          <a:extLst>
            <a:ext uri="{FF2B5EF4-FFF2-40B4-BE49-F238E27FC236}">
              <a16:creationId xmlns:a16="http://schemas.microsoft.com/office/drawing/2014/main" id="{8DCC583C-955D-68AD-AC4A-385E262F3754}"/>
            </a:ext>
          </a:extLst>
        </xdr:cNvPr>
        <xdr:cNvSpPr/>
      </xdr:nvSpPr>
      <xdr:spPr>
        <a:xfrm>
          <a:off x="8466932" y="1609725"/>
          <a:ext cx="3194843" cy="1028700"/>
        </a:xfrm>
        <a:prstGeom prst="roundRect">
          <a:avLst/>
        </a:prstGeom>
        <a:solidFill>
          <a:schemeClr val="lt1"/>
        </a:solidFill>
        <a:ln w="9525" cmpd="sng">
          <a:solidFill>
            <a:schemeClr val="lt1">
              <a:shade val="50000"/>
            </a:schemeClr>
          </a:solid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2400" b="1" i="0" u="none" strike="noStrike">
              <a:solidFill>
                <a:schemeClr val="accent1"/>
              </a:solidFill>
              <a:latin typeface="Aptos Narrow"/>
              <a:ea typeface="+mn-ea"/>
              <a:cs typeface="+mn-cs"/>
            </a:rPr>
            <a:t>Quantity</a:t>
          </a:r>
        </a:p>
      </xdr:txBody>
    </xdr:sp>
    <xdr:clientData/>
  </xdr:twoCellAnchor>
  <xdr:twoCellAnchor>
    <xdr:from>
      <xdr:col>14</xdr:col>
      <xdr:colOff>183450</xdr:colOff>
      <xdr:row>10</xdr:row>
      <xdr:rowOff>126206</xdr:rowOff>
    </xdr:from>
    <xdr:to>
      <xdr:col>16</xdr:col>
      <xdr:colOff>581912</xdr:colOff>
      <xdr:row>13</xdr:row>
      <xdr:rowOff>107156</xdr:rowOff>
    </xdr:to>
    <xdr:sp macro="" textlink="'Pivot table 1'!W5">
      <xdr:nvSpPr>
        <xdr:cNvPr id="4" name="TextBox 3">
          <a:extLst>
            <a:ext uri="{FF2B5EF4-FFF2-40B4-BE49-F238E27FC236}">
              <a16:creationId xmlns:a16="http://schemas.microsoft.com/office/drawing/2014/main" id="{11AE37A2-1A1C-F2F5-8327-31B0D427BBCA}"/>
            </a:ext>
          </a:extLst>
        </xdr:cNvPr>
        <xdr:cNvSpPr txBox="1"/>
      </xdr:nvSpPr>
      <xdr:spPr>
        <a:xfrm>
          <a:off x="8655097" y="2031206"/>
          <a:ext cx="1608697" cy="5524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62BB0B6-0C26-4925-A942-F39C255F8571}" type="TxLink">
            <a:rPr lang="en-US" sz="2400" b="0" i="0" u="none" strike="noStrike">
              <a:solidFill>
                <a:schemeClr val="accent1"/>
              </a:solidFill>
              <a:latin typeface="Aptos Narrow"/>
            </a:rPr>
            <a:pPr algn="ctr"/>
            <a:t> 4,083 </a:t>
          </a:fld>
          <a:endParaRPr lang="en-GB" sz="8800" b="0">
            <a:solidFill>
              <a:schemeClr val="accent1"/>
            </a:solidFill>
          </a:endParaRPr>
        </a:p>
      </xdr:txBody>
    </xdr:sp>
    <xdr:clientData/>
  </xdr:twoCellAnchor>
  <xdr:twoCellAnchor>
    <xdr:from>
      <xdr:col>12</xdr:col>
      <xdr:colOff>435429</xdr:colOff>
      <xdr:row>40</xdr:row>
      <xdr:rowOff>86747</xdr:rowOff>
    </xdr:from>
    <xdr:to>
      <xdr:col>21</xdr:col>
      <xdr:colOff>489857</xdr:colOff>
      <xdr:row>59</xdr:row>
      <xdr:rowOff>68037</xdr:rowOff>
    </xdr:to>
    <xdr:graphicFrame macro="">
      <xdr:nvGraphicFramePr>
        <xdr:cNvPr id="7" name="Chart 6">
          <a:extLst>
            <a:ext uri="{FF2B5EF4-FFF2-40B4-BE49-F238E27FC236}">
              <a16:creationId xmlns:a16="http://schemas.microsoft.com/office/drawing/2014/main" id="{9EF3D1A7-D441-4EEE-B3AB-71B876A5DA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97520</xdr:colOff>
      <xdr:row>33</xdr:row>
      <xdr:rowOff>54429</xdr:rowOff>
    </xdr:from>
    <xdr:to>
      <xdr:col>3</xdr:col>
      <xdr:colOff>446770</xdr:colOff>
      <xdr:row>60</xdr:row>
      <xdr:rowOff>188232</xdr:rowOff>
    </xdr:to>
    <mc:AlternateContent xmlns:mc="http://schemas.openxmlformats.org/markup-compatibility/2006" xmlns:a14="http://schemas.microsoft.com/office/drawing/2010/main">
      <mc:Choice Requires="a14">
        <xdr:graphicFrame macro="">
          <xdr:nvGraphicFramePr>
            <xdr:cNvPr id="12" name="Vehicle">
              <a:extLst>
                <a:ext uri="{FF2B5EF4-FFF2-40B4-BE49-F238E27FC236}">
                  <a16:creationId xmlns:a16="http://schemas.microsoft.com/office/drawing/2014/main" id="{F07B47C8-54BE-698E-F4D9-912C7544B639}"/>
                </a:ext>
              </a:extLst>
            </xdr:cNvPr>
            <xdr:cNvGraphicFramePr/>
          </xdr:nvGraphicFramePr>
          <xdr:xfrm>
            <a:off x="0" y="0"/>
            <a:ext cx="0" cy="0"/>
          </xdr:xfrm>
          <a:graphic>
            <a:graphicData uri="http://schemas.microsoft.com/office/drawing/2010/slicer">
              <sle:slicer xmlns:sle="http://schemas.microsoft.com/office/drawing/2010/slicer" name="Vehicle"/>
            </a:graphicData>
          </a:graphic>
        </xdr:graphicFrame>
      </mc:Choice>
      <mc:Fallback xmlns="">
        <xdr:sp macro="" textlink="">
          <xdr:nvSpPr>
            <xdr:cNvPr id="0" name=""/>
            <xdr:cNvSpPr>
              <a:spLocks noTextEdit="1"/>
            </xdr:cNvSpPr>
          </xdr:nvSpPr>
          <xdr:spPr>
            <a:xfrm>
              <a:off x="97520" y="6340929"/>
              <a:ext cx="2190750" cy="527730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307860</xdr:colOff>
      <xdr:row>42</xdr:row>
      <xdr:rowOff>14514</xdr:rowOff>
    </xdr:from>
    <xdr:to>
      <xdr:col>26</xdr:col>
      <xdr:colOff>50346</xdr:colOff>
      <xdr:row>47</xdr:row>
      <xdr:rowOff>47625</xdr:rowOff>
    </xdr:to>
    <mc:AlternateContent xmlns:mc="http://schemas.openxmlformats.org/markup-compatibility/2006" xmlns:a14="http://schemas.microsoft.com/office/drawing/2010/main">
      <mc:Choice Requires="a14">
        <xdr:graphicFrame macro="">
          <xdr:nvGraphicFramePr>
            <xdr:cNvPr id="13" name="Fuel 1">
              <a:extLst>
                <a:ext uri="{FF2B5EF4-FFF2-40B4-BE49-F238E27FC236}">
                  <a16:creationId xmlns:a16="http://schemas.microsoft.com/office/drawing/2014/main" id="{BD44A604-CD7D-8B33-7E11-033966FE327E}"/>
                </a:ext>
              </a:extLst>
            </xdr:cNvPr>
            <xdr:cNvGraphicFramePr/>
          </xdr:nvGraphicFramePr>
          <xdr:xfrm>
            <a:off x="0" y="0"/>
            <a:ext cx="0" cy="0"/>
          </xdr:xfrm>
          <a:graphic>
            <a:graphicData uri="http://schemas.microsoft.com/office/drawing/2010/slicer">
              <sle:slicer xmlns:sle="http://schemas.microsoft.com/office/drawing/2010/slicer" name="Fuel 1"/>
            </a:graphicData>
          </a:graphic>
        </xdr:graphicFrame>
      </mc:Choice>
      <mc:Fallback xmlns="">
        <xdr:sp macro="" textlink="">
          <xdr:nvSpPr>
            <xdr:cNvPr id="0" name=""/>
            <xdr:cNvSpPr>
              <a:spLocks noTextEdit="1"/>
            </xdr:cNvSpPr>
          </xdr:nvSpPr>
          <xdr:spPr>
            <a:xfrm>
              <a:off x="13812193" y="8015514"/>
              <a:ext cx="2197820" cy="98561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503578</xdr:colOff>
      <xdr:row>34</xdr:row>
      <xdr:rowOff>59871</xdr:rowOff>
    </xdr:from>
    <xdr:to>
      <xdr:col>20</xdr:col>
      <xdr:colOff>30049</xdr:colOff>
      <xdr:row>39</xdr:row>
      <xdr:rowOff>149787</xdr:rowOff>
    </xdr:to>
    <xdr:sp macro="" textlink="">
      <xdr:nvSpPr>
        <xdr:cNvPr id="19" name="Rectangle: Rounded Corners 18">
          <a:extLst>
            <a:ext uri="{FF2B5EF4-FFF2-40B4-BE49-F238E27FC236}">
              <a16:creationId xmlns:a16="http://schemas.microsoft.com/office/drawing/2014/main" id="{3C979685-CC88-00AF-02EC-2FCC79001A06}"/>
            </a:ext>
          </a:extLst>
        </xdr:cNvPr>
        <xdr:cNvSpPr/>
      </xdr:nvSpPr>
      <xdr:spPr>
        <a:xfrm>
          <a:off x="9076078" y="6536871"/>
          <a:ext cx="3200400" cy="1042416"/>
        </a:xfrm>
        <a:prstGeom prst="roundRect">
          <a:avLst/>
        </a:prstGeom>
        <a:solidFill>
          <a:schemeClr val="lt1"/>
        </a:solidFill>
        <a:ln w="9525" cmpd="sng">
          <a:solidFill>
            <a:schemeClr val="lt1">
              <a:shade val="50000"/>
            </a:schemeClr>
          </a:solid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2800" b="1" i="0" u="none" strike="noStrike">
              <a:solidFill>
                <a:schemeClr val="accent1"/>
              </a:solidFill>
              <a:latin typeface="Aptos Narrow"/>
              <a:ea typeface="+mn-ea"/>
              <a:cs typeface="+mn-cs"/>
            </a:rPr>
            <a:t>Annual Fuel Quantity</a:t>
          </a:r>
        </a:p>
      </xdr:txBody>
    </xdr:sp>
    <xdr:clientData/>
  </xdr:twoCellAnchor>
  <xdr:twoCellAnchor>
    <xdr:from>
      <xdr:col>15</xdr:col>
      <xdr:colOff>432216</xdr:colOff>
      <xdr:row>36</xdr:row>
      <xdr:rowOff>154366</xdr:rowOff>
    </xdr:from>
    <xdr:to>
      <xdr:col>18</xdr:col>
      <xdr:colOff>227428</xdr:colOff>
      <xdr:row>39</xdr:row>
      <xdr:rowOff>91286</xdr:rowOff>
    </xdr:to>
    <xdr:sp macro="" textlink="'Pivot table 2'!B19">
      <xdr:nvSpPr>
        <xdr:cNvPr id="20" name="TextBox 19">
          <a:extLst>
            <a:ext uri="{FF2B5EF4-FFF2-40B4-BE49-F238E27FC236}">
              <a16:creationId xmlns:a16="http://schemas.microsoft.com/office/drawing/2014/main" id="{24B0571F-B047-99E8-3B5F-47CCA03085B9}"/>
            </a:ext>
          </a:extLst>
        </xdr:cNvPr>
        <xdr:cNvSpPr txBox="1"/>
      </xdr:nvSpPr>
      <xdr:spPr>
        <a:xfrm>
          <a:off x="9576216" y="7012366"/>
          <a:ext cx="1624012" cy="508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9F09416-5592-40FA-9D98-8FB439CC4751}" type="TxLink">
            <a:rPr lang="en-US" sz="2800" b="0" i="0" u="none" strike="noStrike">
              <a:solidFill>
                <a:schemeClr val="accent1"/>
              </a:solidFill>
              <a:latin typeface="+mn-lt"/>
            </a:rPr>
            <a:pPr/>
            <a:t> 6,834 </a:t>
          </a:fld>
          <a:endParaRPr lang="en-GB" sz="28700" b="0">
            <a:solidFill>
              <a:schemeClr val="accent1"/>
            </a:solidFill>
            <a:latin typeface="+mn-lt"/>
          </a:endParaRPr>
        </a:p>
      </xdr:txBody>
    </xdr:sp>
    <xdr:clientData/>
  </xdr:twoCellAnchor>
  <xdr:twoCellAnchor>
    <xdr:from>
      <xdr:col>17</xdr:col>
      <xdr:colOff>310772</xdr:colOff>
      <xdr:row>36</xdr:row>
      <xdr:rowOff>152827</xdr:rowOff>
    </xdr:from>
    <xdr:to>
      <xdr:col>19</xdr:col>
      <xdr:colOff>133878</xdr:colOff>
      <xdr:row>39</xdr:row>
      <xdr:rowOff>2039</xdr:rowOff>
    </xdr:to>
    <xdr:sp macro="" textlink="">
      <xdr:nvSpPr>
        <xdr:cNvPr id="21" name="TextBox 20">
          <a:extLst>
            <a:ext uri="{FF2B5EF4-FFF2-40B4-BE49-F238E27FC236}">
              <a16:creationId xmlns:a16="http://schemas.microsoft.com/office/drawing/2014/main" id="{D0903A83-B084-5FA2-2C09-1090E7406BC7}"/>
            </a:ext>
          </a:extLst>
        </xdr:cNvPr>
        <xdr:cNvSpPr txBox="1"/>
      </xdr:nvSpPr>
      <xdr:spPr>
        <a:xfrm>
          <a:off x="10720236" y="7010827"/>
          <a:ext cx="1047749" cy="420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b="0">
              <a:solidFill>
                <a:schemeClr val="accent1"/>
              </a:solidFill>
              <a:latin typeface="+mn-lt"/>
            </a:rPr>
            <a:t>Litres</a:t>
          </a:r>
          <a:endParaRPr lang="en-GB" sz="2400" b="0">
            <a:solidFill>
              <a:schemeClr val="accent1"/>
            </a:solidFill>
            <a:latin typeface="+mn-lt"/>
          </a:endParaRPr>
        </a:p>
      </xdr:txBody>
    </xdr:sp>
    <xdr:clientData/>
  </xdr:twoCellAnchor>
  <xdr:twoCellAnchor>
    <xdr:from>
      <xdr:col>3</xdr:col>
      <xdr:colOff>471716</xdr:colOff>
      <xdr:row>40</xdr:row>
      <xdr:rowOff>108857</xdr:rowOff>
    </xdr:from>
    <xdr:to>
      <xdr:col>12</xdr:col>
      <xdr:colOff>381002</xdr:colOff>
      <xdr:row>58</xdr:row>
      <xdr:rowOff>163286</xdr:rowOff>
    </xdr:to>
    <xdr:graphicFrame macro="">
      <xdr:nvGraphicFramePr>
        <xdr:cNvPr id="22" name="Chart 21">
          <a:extLst>
            <a:ext uri="{FF2B5EF4-FFF2-40B4-BE49-F238E27FC236}">
              <a16:creationId xmlns:a16="http://schemas.microsoft.com/office/drawing/2014/main" id="{B95B58EE-B5BF-4B70-856B-1685F3DEB5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557894</xdr:colOff>
      <xdr:row>34</xdr:row>
      <xdr:rowOff>5443</xdr:rowOff>
    </xdr:from>
    <xdr:to>
      <xdr:col>11</xdr:col>
      <xdr:colOff>84365</xdr:colOff>
      <xdr:row>39</xdr:row>
      <xdr:rowOff>95359</xdr:rowOff>
    </xdr:to>
    <xdr:sp macro="" textlink="">
      <xdr:nvSpPr>
        <xdr:cNvPr id="23" name="Rectangle: Rounded Corners 22">
          <a:extLst>
            <a:ext uri="{FF2B5EF4-FFF2-40B4-BE49-F238E27FC236}">
              <a16:creationId xmlns:a16="http://schemas.microsoft.com/office/drawing/2014/main" id="{796544EF-C219-0F75-9A75-5D54A8568EA9}"/>
            </a:ext>
          </a:extLst>
        </xdr:cNvPr>
        <xdr:cNvSpPr/>
      </xdr:nvSpPr>
      <xdr:spPr>
        <a:xfrm>
          <a:off x="3619501" y="6482443"/>
          <a:ext cx="3200400" cy="1042416"/>
        </a:xfrm>
        <a:prstGeom prst="roundRect">
          <a:avLst/>
        </a:prstGeom>
        <a:solidFill>
          <a:schemeClr val="lt1"/>
        </a:solidFill>
        <a:ln w="9525" cmpd="sng">
          <a:solidFill>
            <a:schemeClr val="lt1">
              <a:shade val="50000"/>
            </a:schemeClr>
          </a:solid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2800" b="1" i="0" u="none" strike="noStrike">
              <a:solidFill>
                <a:schemeClr val="accent1"/>
              </a:solidFill>
              <a:latin typeface="Aptos Narrow"/>
              <a:ea typeface="+mn-ea"/>
              <a:cs typeface="+mn-cs"/>
            </a:rPr>
            <a:t>Annual Fuel Cost</a:t>
          </a:r>
        </a:p>
      </xdr:txBody>
    </xdr:sp>
    <xdr:clientData/>
  </xdr:twoCellAnchor>
  <xdr:twoCellAnchor>
    <xdr:from>
      <xdr:col>7</xdr:col>
      <xdr:colOff>164419</xdr:colOff>
      <xdr:row>36</xdr:row>
      <xdr:rowOff>82663</xdr:rowOff>
    </xdr:from>
    <xdr:to>
      <xdr:col>10</xdr:col>
      <xdr:colOff>389958</xdr:colOff>
      <xdr:row>39</xdr:row>
      <xdr:rowOff>63613</xdr:rowOff>
    </xdr:to>
    <xdr:sp macro="" textlink="'Pivot table 2'!B38">
      <xdr:nvSpPr>
        <xdr:cNvPr id="24" name="TextBox 23">
          <a:extLst>
            <a:ext uri="{FF2B5EF4-FFF2-40B4-BE49-F238E27FC236}">
              <a16:creationId xmlns:a16="http://schemas.microsoft.com/office/drawing/2014/main" id="{9CFA10D7-5062-9605-109D-2F44E2A339AE}"/>
            </a:ext>
          </a:extLst>
        </xdr:cNvPr>
        <xdr:cNvSpPr txBox="1"/>
      </xdr:nvSpPr>
      <xdr:spPr>
        <a:xfrm>
          <a:off x="4450669" y="6940663"/>
          <a:ext cx="2062503"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110DCC8-72CD-4B6D-90FF-758CE70E5368}" type="TxLink">
            <a:rPr lang="en-US" sz="2800" b="0" i="0" u="none" strike="noStrike">
              <a:solidFill>
                <a:schemeClr val="accent1"/>
              </a:solidFill>
              <a:latin typeface="Aptos Narrow"/>
            </a:rPr>
            <a:pPr algn="ctr"/>
            <a:t> 1,215,572 </a:t>
          </a:fld>
          <a:endParaRPr lang="en-GB" sz="2800" b="0">
            <a:solidFill>
              <a:schemeClr val="accent1"/>
            </a:solidFill>
          </a:endParaRPr>
        </a:p>
      </xdr:txBody>
    </xdr:sp>
    <xdr:clientData/>
  </xdr:twoCellAnchor>
  <xdr:twoCellAnchor>
    <xdr:from>
      <xdr:col>6</xdr:col>
      <xdr:colOff>309331</xdr:colOff>
      <xdr:row>36</xdr:row>
      <xdr:rowOff>88444</xdr:rowOff>
    </xdr:from>
    <xdr:to>
      <xdr:col>7</xdr:col>
      <xdr:colOff>444385</xdr:colOff>
      <xdr:row>38</xdr:row>
      <xdr:rowOff>164644</xdr:rowOff>
    </xdr:to>
    <xdr:sp macro="" textlink="">
      <xdr:nvSpPr>
        <xdr:cNvPr id="25" name="TextBox 24">
          <a:extLst>
            <a:ext uri="{FF2B5EF4-FFF2-40B4-BE49-F238E27FC236}">
              <a16:creationId xmlns:a16="http://schemas.microsoft.com/office/drawing/2014/main" id="{C412864F-D309-3A13-67FF-D97AD616C9A1}"/>
            </a:ext>
          </a:extLst>
        </xdr:cNvPr>
        <xdr:cNvSpPr txBox="1"/>
      </xdr:nvSpPr>
      <xdr:spPr>
        <a:xfrm>
          <a:off x="3983260" y="6946444"/>
          <a:ext cx="7473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800" b="0">
              <a:solidFill>
                <a:schemeClr val="accent1"/>
              </a:solidFill>
            </a:rPr>
            <a:t>KES</a:t>
          </a:r>
        </a:p>
      </xdr:txBody>
    </xdr:sp>
    <xdr:clientData/>
  </xdr:twoCellAnchor>
  <xdr:twoCellAnchor editAs="oneCell">
    <xdr:from>
      <xdr:col>5</xdr:col>
      <xdr:colOff>174625</xdr:colOff>
      <xdr:row>0</xdr:row>
      <xdr:rowOff>139398</xdr:rowOff>
    </xdr:from>
    <xdr:to>
      <xdr:col>9</xdr:col>
      <xdr:colOff>508000</xdr:colOff>
      <xdr:row>6</xdr:row>
      <xdr:rowOff>13115</xdr:rowOff>
    </xdr:to>
    <xdr:pic>
      <xdr:nvPicPr>
        <xdr:cNvPr id="26" name="Picture 25">
          <a:extLst>
            <a:ext uri="{FF2B5EF4-FFF2-40B4-BE49-F238E27FC236}">
              <a16:creationId xmlns:a16="http://schemas.microsoft.com/office/drawing/2014/main" id="{AF1F2926-A054-C323-FC14-BB4AABABDD36}"/>
            </a:ext>
          </a:extLst>
        </xdr:cNvPr>
        <xdr:cNvPicPr>
          <a:picLocks noChangeAspect="1"/>
        </xdr:cNvPicPr>
      </xdr:nvPicPr>
      <xdr:blipFill>
        <a:blip xmlns:r="http://schemas.openxmlformats.org/officeDocument/2006/relationships" r:embed="rId6"/>
        <a:stretch>
          <a:fillRect/>
        </a:stretch>
      </xdr:blipFill>
      <xdr:spPr>
        <a:xfrm>
          <a:off x="3190875" y="139398"/>
          <a:ext cx="2746375" cy="1016717"/>
        </a:xfrm>
        <a:prstGeom prst="rect">
          <a:avLst/>
        </a:prstGeom>
      </xdr:spPr>
    </xdr:pic>
    <xdr:clientData/>
  </xdr:twoCellAnchor>
  <xdr:twoCellAnchor>
    <xdr:from>
      <xdr:col>13</xdr:col>
      <xdr:colOff>183172</xdr:colOff>
      <xdr:row>65</xdr:row>
      <xdr:rowOff>184638</xdr:rowOff>
    </xdr:from>
    <xdr:to>
      <xdr:col>22</xdr:col>
      <xdr:colOff>132352</xdr:colOff>
      <xdr:row>84</xdr:row>
      <xdr:rowOff>49002</xdr:rowOff>
    </xdr:to>
    <xdr:graphicFrame macro="">
      <xdr:nvGraphicFramePr>
        <xdr:cNvPr id="31" name="Chart 30">
          <a:extLst>
            <a:ext uri="{FF2B5EF4-FFF2-40B4-BE49-F238E27FC236}">
              <a16:creationId xmlns:a16="http://schemas.microsoft.com/office/drawing/2014/main" id="{CF3FE20A-92F7-4CA7-80B6-E24B369161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63012</xdr:colOff>
      <xdr:row>65</xdr:row>
      <xdr:rowOff>189768</xdr:rowOff>
    </xdr:from>
    <xdr:to>
      <xdr:col>13</xdr:col>
      <xdr:colOff>12192</xdr:colOff>
      <xdr:row>84</xdr:row>
      <xdr:rowOff>54132</xdr:rowOff>
    </xdr:to>
    <xdr:graphicFrame macro="">
      <xdr:nvGraphicFramePr>
        <xdr:cNvPr id="32" name="Chart 31">
          <a:extLst>
            <a:ext uri="{FF2B5EF4-FFF2-40B4-BE49-F238E27FC236}">
              <a16:creationId xmlns:a16="http://schemas.microsoft.com/office/drawing/2014/main" id="{696F2590-876D-4FC5-9BC7-209385488C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71070</xdr:colOff>
      <xdr:row>65</xdr:row>
      <xdr:rowOff>166321</xdr:rowOff>
    </xdr:from>
    <xdr:to>
      <xdr:col>3</xdr:col>
      <xdr:colOff>446941</xdr:colOff>
      <xdr:row>73</xdr:row>
      <xdr:rowOff>125290</xdr:rowOff>
    </xdr:to>
    <mc:AlternateContent xmlns:mc="http://schemas.openxmlformats.org/markup-compatibility/2006" xmlns:a14="http://schemas.microsoft.com/office/drawing/2010/main">
      <mc:Choice Requires="a14">
        <xdr:graphicFrame macro="">
          <xdr:nvGraphicFramePr>
            <xdr:cNvPr id="33" name="Fuel 2">
              <a:extLst>
                <a:ext uri="{FF2B5EF4-FFF2-40B4-BE49-F238E27FC236}">
                  <a16:creationId xmlns:a16="http://schemas.microsoft.com/office/drawing/2014/main" id="{529AB961-6603-A0D0-B49C-AFF2FBC17D37}"/>
                </a:ext>
              </a:extLst>
            </xdr:cNvPr>
            <xdr:cNvGraphicFramePr/>
          </xdr:nvGraphicFramePr>
          <xdr:xfrm>
            <a:off x="0" y="0"/>
            <a:ext cx="0" cy="0"/>
          </xdr:xfrm>
          <a:graphic>
            <a:graphicData uri="http://schemas.microsoft.com/office/drawing/2010/slicer">
              <sle:slicer xmlns:sle="http://schemas.microsoft.com/office/drawing/2010/slicer" name="Fuel 2"/>
            </a:graphicData>
          </a:graphic>
        </xdr:graphicFrame>
      </mc:Choice>
      <mc:Fallback xmlns="">
        <xdr:sp macro="" textlink="">
          <xdr:nvSpPr>
            <xdr:cNvPr id="0" name=""/>
            <xdr:cNvSpPr>
              <a:spLocks noTextEdit="1"/>
            </xdr:cNvSpPr>
          </xdr:nvSpPr>
          <xdr:spPr>
            <a:xfrm>
              <a:off x="71070" y="12548821"/>
              <a:ext cx="2217371" cy="14829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347382</xdr:colOff>
      <xdr:row>65</xdr:row>
      <xdr:rowOff>179854</xdr:rowOff>
    </xdr:from>
    <xdr:to>
      <xdr:col>31</xdr:col>
      <xdr:colOff>323715</xdr:colOff>
      <xdr:row>84</xdr:row>
      <xdr:rowOff>44218</xdr:rowOff>
    </xdr:to>
    <xdr:graphicFrame macro="">
      <xdr:nvGraphicFramePr>
        <xdr:cNvPr id="34" name="Chart 33">
          <a:extLst>
            <a:ext uri="{FF2B5EF4-FFF2-40B4-BE49-F238E27FC236}">
              <a16:creationId xmlns:a16="http://schemas.microsoft.com/office/drawing/2014/main" id="{F8D1F5BF-3F08-4EC4-B383-437A009AD3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56028</xdr:colOff>
      <xdr:row>74</xdr:row>
      <xdr:rowOff>77320</xdr:rowOff>
    </xdr:from>
    <xdr:to>
      <xdr:col>3</xdr:col>
      <xdr:colOff>448234</xdr:colOff>
      <xdr:row>79</xdr:row>
      <xdr:rowOff>105833</xdr:rowOff>
    </xdr:to>
    <mc:AlternateContent xmlns:mc="http://schemas.openxmlformats.org/markup-compatibility/2006" xmlns:a14="http://schemas.microsoft.com/office/drawing/2010/main">
      <mc:Choice Requires="a14">
        <xdr:graphicFrame macro="">
          <xdr:nvGraphicFramePr>
            <xdr:cNvPr id="36" name="Fuel 3">
              <a:extLst>
                <a:ext uri="{FF2B5EF4-FFF2-40B4-BE49-F238E27FC236}">
                  <a16:creationId xmlns:a16="http://schemas.microsoft.com/office/drawing/2014/main" id="{1C31921A-6047-A2D9-66F9-0A58CA32E2BE}"/>
                </a:ext>
              </a:extLst>
            </xdr:cNvPr>
            <xdr:cNvGraphicFramePr/>
          </xdr:nvGraphicFramePr>
          <xdr:xfrm>
            <a:off x="0" y="0"/>
            <a:ext cx="0" cy="0"/>
          </xdr:xfrm>
          <a:graphic>
            <a:graphicData uri="http://schemas.microsoft.com/office/drawing/2010/slicer">
              <sle:slicer xmlns:sle="http://schemas.microsoft.com/office/drawing/2010/slicer" name="Fuel 3"/>
            </a:graphicData>
          </a:graphic>
        </xdr:graphicFrame>
      </mc:Choice>
      <mc:Fallback xmlns="">
        <xdr:sp macro="" textlink="">
          <xdr:nvSpPr>
            <xdr:cNvPr id="0" name=""/>
            <xdr:cNvSpPr>
              <a:spLocks noTextEdit="1"/>
            </xdr:cNvSpPr>
          </xdr:nvSpPr>
          <xdr:spPr>
            <a:xfrm>
              <a:off x="56028" y="14174320"/>
              <a:ext cx="2233706" cy="98101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53069</xdr:colOff>
      <xdr:row>59</xdr:row>
      <xdr:rowOff>167368</xdr:rowOff>
    </xdr:from>
    <xdr:to>
      <xdr:col>11</xdr:col>
      <xdr:colOff>189140</xdr:colOff>
      <xdr:row>65</xdr:row>
      <xdr:rowOff>66784</xdr:rowOff>
    </xdr:to>
    <xdr:sp macro="" textlink="">
      <xdr:nvSpPr>
        <xdr:cNvPr id="40" name="Rectangle: Rounded Corners 39">
          <a:extLst>
            <a:ext uri="{FF2B5EF4-FFF2-40B4-BE49-F238E27FC236}">
              <a16:creationId xmlns:a16="http://schemas.microsoft.com/office/drawing/2014/main" id="{7DE440D5-E0E1-D786-1485-DB7B743D1317}"/>
            </a:ext>
          </a:extLst>
        </xdr:cNvPr>
        <xdr:cNvSpPr/>
      </xdr:nvSpPr>
      <xdr:spPr>
        <a:xfrm>
          <a:off x="3710669" y="11406868"/>
          <a:ext cx="3184071" cy="1042416"/>
        </a:xfrm>
        <a:prstGeom prst="roundRect">
          <a:avLst/>
        </a:prstGeom>
        <a:solidFill>
          <a:schemeClr val="lt1"/>
        </a:solidFill>
        <a:ln w="9525" cmpd="sng">
          <a:solidFill>
            <a:schemeClr val="lt1">
              <a:shade val="50000"/>
            </a:schemeClr>
          </a:solid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2800" b="1" i="0" u="none" strike="noStrike">
              <a:solidFill>
                <a:schemeClr val="accent1"/>
              </a:solidFill>
              <a:latin typeface="Aptos Narrow"/>
              <a:ea typeface="+mn-ea"/>
              <a:cs typeface="+mn-cs"/>
            </a:rPr>
            <a:t>Electricity Cost</a:t>
          </a:r>
        </a:p>
      </xdr:txBody>
    </xdr:sp>
    <xdr:clientData/>
  </xdr:twoCellAnchor>
  <xdr:twoCellAnchor>
    <xdr:from>
      <xdr:col>7</xdr:col>
      <xdr:colOff>269194</xdr:colOff>
      <xdr:row>62</xdr:row>
      <xdr:rowOff>54088</xdr:rowOff>
    </xdr:from>
    <xdr:to>
      <xdr:col>10</xdr:col>
      <xdr:colOff>494733</xdr:colOff>
      <xdr:row>65</xdr:row>
      <xdr:rowOff>35038</xdr:rowOff>
    </xdr:to>
    <xdr:sp macro="" textlink="'Pivot table 1'!Q18">
      <xdr:nvSpPr>
        <xdr:cNvPr id="41" name="TextBox 40">
          <a:extLst>
            <a:ext uri="{FF2B5EF4-FFF2-40B4-BE49-F238E27FC236}">
              <a16:creationId xmlns:a16="http://schemas.microsoft.com/office/drawing/2014/main" id="{1465612C-D9B0-D755-32D2-031F1CD1F34A}"/>
            </a:ext>
          </a:extLst>
        </xdr:cNvPr>
        <xdr:cNvSpPr txBox="1"/>
      </xdr:nvSpPr>
      <xdr:spPr>
        <a:xfrm>
          <a:off x="4536394" y="11865088"/>
          <a:ext cx="2054339"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61E9CEC-9ECA-493B-8A49-3483FAEEA9BD}" type="TxLink">
            <a:rPr lang="en-US" sz="2800" b="0" i="0" u="none" strike="noStrike">
              <a:solidFill>
                <a:schemeClr val="accent1"/>
              </a:solidFill>
              <a:latin typeface="Aptos Narrow"/>
            </a:rPr>
            <a:pPr algn="ctr"/>
            <a:t> 40,854,937 </a:t>
          </a:fld>
          <a:endParaRPr lang="en-GB" sz="6000" b="0">
            <a:solidFill>
              <a:schemeClr val="accent1"/>
            </a:solidFill>
          </a:endParaRPr>
        </a:p>
      </xdr:txBody>
    </xdr:sp>
    <xdr:clientData/>
  </xdr:twoCellAnchor>
  <xdr:twoCellAnchor>
    <xdr:from>
      <xdr:col>6</xdr:col>
      <xdr:colOff>414106</xdr:colOff>
      <xdr:row>62</xdr:row>
      <xdr:rowOff>59869</xdr:rowOff>
    </xdr:from>
    <xdr:to>
      <xdr:col>7</xdr:col>
      <xdr:colOff>549160</xdr:colOff>
      <xdr:row>64</xdr:row>
      <xdr:rowOff>136069</xdr:rowOff>
    </xdr:to>
    <xdr:sp macro="" textlink="">
      <xdr:nvSpPr>
        <xdr:cNvPr id="42" name="TextBox 41">
          <a:extLst>
            <a:ext uri="{FF2B5EF4-FFF2-40B4-BE49-F238E27FC236}">
              <a16:creationId xmlns:a16="http://schemas.microsoft.com/office/drawing/2014/main" id="{5FFABF38-6DA2-DD89-9A61-18505C6A8950}"/>
            </a:ext>
          </a:extLst>
        </xdr:cNvPr>
        <xdr:cNvSpPr txBox="1"/>
      </xdr:nvSpPr>
      <xdr:spPr>
        <a:xfrm>
          <a:off x="4071706" y="11870869"/>
          <a:ext cx="744654"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800" b="0">
              <a:solidFill>
                <a:schemeClr val="accent1"/>
              </a:solidFill>
            </a:rPr>
            <a:t>KES</a:t>
          </a:r>
        </a:p>
      </xdr:txBody>
    </xdr:sp>
    <xdr:clientData/>
  </xdr:twoCellAnchor>
  <xdr:twoCellAnchor>
    <xdr:from>
      <xdr:col>15</xdr:col>
      <xdr:colOff>34019</xdr:colOff>
      <xdr:row>59</xdr:row>
      <xdr:rowOff>176893</xdr:rowOff>
    </xdr:from>
    <xdr:to>
      <xdr:col>20</xdr:col>
      <xdr:colOff>476250</xdr:colOff>
      <xdr:row>65</xdr:row>
      <xdr:rowOff>76309</xdr:rowOff>
    </xdr:to>
    <xdr:sp macro="" textlink="">
      <xdr:nvSpPr>
        <xdr:cNvPr id="43" name="Rectangle: Rounded Corners 42">
          <a:extLst>
            <a:ext uri="{FF2B5EF4-FFF2-40B4-BE49-F238E27FC236}">
              <a16:creationId xmlns:a16="http://schemas.microsoft.com/office/drawing/2014/main" id="{64B63A24-CF64-F8F9-3999-1E068C608ECF}"/>
            </a:ext>
          </a:extLst>
        </xdr:cNvPr>
        <xdr:cNvSpPr/>
      </xdr:nvSpPr>
      <xdr:spPr>
        <a:xfrm>
          <a:off x="9178019" y="11416393"/>
          <a:ext cx="3490231" cy="1042416"/>
        </a:xfrm>
        <a:prstGeom prst="roundRect">
          <a:avLst/>
        </a:prstGeom>
        <a:solidFill>
          <a:schemeClr val="lt1"/>
        </a:solidFill>
        <a:ln w="9525" cmpd="sng">
          <a:solidFill>
            <a:schemeClr val="lt1">
              <a:shade val="50000"/>
            </a:schemeClr>
          </a:solid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2800" b="1" i="0" u="none" strike="noStrike">
              <a:solidFill>
                <a:schemeClr val="accent1"/>
              </a:solidFill>
              <a:latin typeface="Aptos Narrow"/>
              <a:ea typeface="+mn-ea"/>
              <a:cs typeface="+mn-cs"/>
            </a:rPr>
            <a:t>Energy Consumption</a:t>
          </a:r>
        </a:p>
      </xdr:txBody>
    </xdr:sp>
    <xdr:clientData/>
  </xdr:twoCellAnchor>
  <xdr:twoCellAnchor>
    <xdr:from>
      <xdr:col>15</xdr:col>
      <xdr:colOff>402544</xdr:colOff>
      <xdr:row>62</xdr:row>
      <xdr:rowOff>63613</xdr:rowOff>
    </xdr:from>
    <xdr:to>
      <xdr:col>19</xdr:col>
      <xdr:colOff>18483</xdr:colOff>
      <xdr:row>65</xdr:row>
      <xdr:rowOff>44563</xdr:rowOff>
    </xdr:to>
    <xdr:sp macro="" textlink="'Pivot table 1'!K18">
      <xdr:nvSpPr>
        <xdr:cNvPr id="44" name="TextBox 43">
          <a:extLst>
            <a:ext uri="{FF2B5EF4-FFF2-40B4-BE49-F238E27FC236}">
              <a16:creationId xmlns:a16="http://schemas.microsoft.com/office/drawing/2014/main" id="{E94B157F-B114-0A9A-F41D-9950B34890D1}"/>
            </a:ext>
          </a:extLst>
        </xdr:cNvPr>
        <xdr:cNvSpPr txBox="1"/>
      </xdr:nvSpPr>
      <xdr:spPr>
        <a:xfrm>
          <a:off x="9546544" y="11874613"/>
          <a:ext cx="2054339"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E2D435C-7A4A-4601-9B9D-CAB8ED4F5368}" type="TxLink">
            <a:rPr lang="en-US" sz="2800" b="0" i="0" u="none" strike="noStrike">
              <a:solidFill>
                <a:schemeClr val="accent1"/>
              </a:solidFill>
              <a:latin typeface="Aptos Narrow"/>
            </a:rPr>
            <a:pPr algn="ctr"/>
            <a:t> 1,426,987 </a:t>
          </a:fld>
          <a:endParaRPr lang="en-GB" sz="6000" b="0">
            <a:solidFill>
              <a:schemeClr val="accent1"/>
            </a:solidFill>
          </a:endParaRPr>
        </a:p>
      </xdr:txBody>
    </xdr:sp>
    <xdr:clientData/>
  </xdr:twoCellAnchor>
  <xdr:twoCellAnchor>
    <xdr:from>
      <xdr:col>18</xdr:col>
      <xdr:colOff>404581</xdr:colOff>
      <xdr:row>62</xdr:row>
      <xdr:rowOff>31294</xdr:rowOff>
    </xdr:from>
    <xdr:to>
      <xdr:col>20</xdr:col>
      <xdr:colOff>200025</xdr:colOff>
      <xdr:row>64</xdr:row>
      <xdr:rowOff>107494</xdr:rowOff>
    </xdr:to>
    <xdr:sp macro="" textlink="">
      <xdr:nvSpPr>
        <xdr:cNvPr id="45" name="TextBox 44">
          <a:extLst>
            <a:ext uri="{FF2B5EF4-FFF2-40B4-BE49-F238E27FC236}">
              <a16:creationId xmlns:a16="http://schemas.microsoft.com/office/drawing/2014/main" id="{70E316F7-9E38-9366-1E83-9156F99D8B7E}"/>
            </a:ext>
          </a:extLst>
        </xdr:cNvPr>
        <xdr:cNvSpPr txBox="1"/>
      </xdr:nvSpPr>
      <xdr:spPr>
        <a:xfrm>
          <a:off x="11377381" y="11842294"/>
          <a:ext cx="1014644"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800" b="0">
              <a:solidFill>
                <a:schemeClr val="accent1"/>
              </a:solidFill>
            </a:rPr>
            <a:t>kWh</a:t>
          </a:r>
        </a:p>
      </xdr:txBody>
    </xdr:sp>
    <xdr:clientData/>
  </xdr:twoCellAnchor>
  <xdr:twoCellAnchor>
    <xdr:from>
      <xdr:col>24</xdr:col>
      <xdr:colOff>186419</xdr:colOff>
      <xdr:row>60</xdr:row>
      <xdr:rowOff>34018</xdr:rowOff>
    </xdr:from>
    <xdr:to>
      <xdr:col>29</xdr:col>
      <xdr:colOff>322490</xdr:colOff>
      <xdr:row>65</xdr:row>
      <xdr:rowOff>123934</xdr:rowOff>
    </xdr:to>
    <xdr:sp macro="" textlink="">
      <xdr:nvSpPr>
        <xdr:cNvPr id="46" name="Rectangle: Rounded Corners 45">
          <a:extLst>
            <a:ext uri="{FF2B5EF4-FFF2-40B4-BE49-F238E27FC236}">
              <a16:creationId xmlns:a16="http://schemas.microsoft.com/office/drawing/2014/main" id="{3487BA86-298F-702C-171A-3CE12BAD12F1}"/>
            </a:ext>
          </a:extLst>
        </xdr:cNvPr>
        <xdr:cNvSpPr/>
      </xdr:nvSpPr>
      <xdr:spPr>
        <a:xfrm>
          <a:off x="14816819" y="11464018"/>
          <a:ext cx="3184071" cy="1042416"/>
        </a:xfrm>
        <a:prstGeom prst="roundRect">
          <a:avLst/>
        </a:prstGeom>
        <a:solidFill>
          <a:schemeClr val="lt1"/>
        </a:solidFill>
        <a:ln w="9525" cmpd="sng">
          <a:solidFill>
            <a:schemeClr val="lt1">
              <a:shade val="50000"/>
            </a:schemeClr>
          </a:solid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2800" b="1" i="0" u="none" strike="noStrike">
              <a:solidFill>
                <a:schemeClr val="accent1"/>
              </a:solidFill>
              <a:latin typeface="Aptos Narrow"/>
              <a:ea typeface="+mn-ea"/>
              <a:cs typeface="+mn-cs"/>
            </a:rPr>
            <a:t>Max Demand</a:t>
          </a:r>
        </a:p>
      </xdr:txBody>
    </xdr:sp>
    <xdr:clientData/>
  </xdr:twoCellAnchor>
  <xdr:twoCellAnchor>
    <xdr:from>
      <xdr:col>25</xdr:col>
      <xdr:colOff>421594</xdr:colOff>
      <xdr:row>62</xdr:row>
      <xdr:rowOff>92188</xdr:rowOff>
    </xdr:from>
    <xdr:to>
      <xdr:col>27</xdr:col>
      <xdr:colOff>47625</xdr:colOff>
      <xdr:row>65</xdr:row>
      <xdr:rowOff>73138</xdr:rowOff>
    </xdr:to>
    <xdr:sp macro="" textlink="'Pivot table 1'!K36">
      <xdr:nvSpPr>
        <xdr:cNvPr id="47" name="TextBox 46">
          <a:extLst>
            <a:ext uri="{FF2B5EF4-FFF2-40B4-BE49-F238E27FC236}">
              <a16:creationId xmlns:a16="http://schemas.microsoft.com/office/drawing/2014/main" id="{0ADBD87D-B851-62CE-B993-2DF1B953DC08}"/>
            </a:ext>
          </a:extLst>
        </xdr:cNvPr>
        <xdr:cNvSpPr txBox="1"/>
      </xdr:nvSpPr>
      <xdr:spPr>
        <a:xfrm>
          <a:off x="15661594" y="11903188"/>
          <a:ext cx="845231"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CCB97C4-887E-420B-9622-7EC5092A0957}" type="TxLink">
            <a:rPr lang="en-US" sz="2800" b="0" i="0" u="none" strike="noStrike">
              <a:solidFill>
                <a:schemeClr val="accent1"/>
              </a:solidFill>
              <a:latin typeface="Aptos Narrow"/>
            </a:rPr>
            <a:pPr algn="ctr"/>
            <a:t> 492 </a:t>
          </a:fld>
          <a:endParaRPr lang="en-GB" sz="13800" b="0">
            <a:solidFill>
              <a:schemeClr val="accent1"/>
            </a:solidFill>
          </a:endParaRPr>
        </a:p>
      </xdr:txBody>
    </xdr:sp>
    <xdr:clientData/>
  </xdr:twoCellAnchor>
  <xdr:twoCellAnchor>
    <xdr:from>
      <xdr:col>26</xdr:col>
      <xdr:colOff>471256</xdr:colOff>
      <xdr:row>62</xdr:row>
      <xdr:rowOff>78919</xdr:rowOff>
    </xdr:from>
    <xdr:to>
      <xdr:col>28</xdr:col>
      <xdr:colOff>190500</xdr:colOff>
      <xdr:row>64</xdr:row>
      <xdr:rowOff>155119</xdr:rowOff>
    </xdr:to>
    <xdr:sp macro="" textlink="">
      <xdr:nvSpPr>
        <xdr:cNvPr id="48" name="TextBox 47">
          <a:extLst>
            <a:ext uri="{FF2B5EF4-FFF2-40B4-BE49-F238E27FC236}">
              <a16:creationId xmlns:a16="http://schemas.microsoft.com/office/drawing/2014/main" id="{9E9DCBAC-9316-2FEF-AE78-83E89F236E20}"/>
            </a:ext>
          </a:extLst>
        </xdr:cNvPr>
        <xdr:cNvSpPr txBox="1"/>
      </xdr:nvSpPr>
      <xdr:spPr>
        <a:xfrm>
          <a:off x="16320856" y="11889919"/>
          <a:ext cx="938444"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800" b="0">
              <a:solidFill>
                <a:schemeClr val="accent1"/>
              </a:solidFill>
            </a:rPr>
            <a:t>KVA</a:t>
          </a:r>
        </a:p>
      </xdr:txBody>
    </xdr:sp>
    <xdr:clientData/>
  </xdr:twoCellAnchor>
  <xdr:twoCellAnchor>
    <xdr:from>
      <xdr:col>4</xdr:col>
      <xdr:colOff>0</xdr:colOff>
      <xdr:row>91</xdr:row>
      <xdr:rowOff>0</xdr:rowOff>
    </xdr:from>
    <xdr:to>
      <xdr:col>12</xdr:col>
      <xdr:colOff>545592</xdr:colOff>
      <xdr:row>109</xdr:row>
      <xdr:rowOff>54864</xdr:rowOff>
    </xdr:to>
    <xdr:graphicFrame macro="">
      <xdr:nvGraphicFramePr>
        <xdr:cNvPr id="49" name="Chart 48">
          <a:extLst>
            <a:ext uri="{FF2B5EF4-FFF2-40B4-BE49-F238E27FC236}">
              <a16:creationId xmlns:a16="http://schemas.microsoft.com/office/drawing/2014/main" id="{45A93ABB-8365-4272-96B3-04930B0E52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0</xdr:col>
      <xdr:colOff>95249</xdr:colOff>
      <xdr:row>90</xdr:row>
      <xdr:rowOff>180975</xdr:rowOff>
    </xdr:from>
    <xdr:to>
      <xdr:col>3</xdr:col>
      <xdr:colOff>504824</xdr:colOff>
      <xdr:row>102</xdr:row>
      <xdr:rowOff>47625</xdr:rowOff>
    </xdr:to>
    <mc:AlternateContent xmlns:mc="http://schemas.openxmlformats.org/markup-compatibility/2006" xmlns:a14="http://schemas.microsoft.com/office/drawing/2010/main">
      <mc:Choice Requires="a14">
        <xdr:graphicFrame macro="">
          <xdr:nvGraphicFramePr>
            <xdr:cNvPr id="50" name="Water source">
              <a:extLst>
                <a:ext uri="{FF2B5EF4-FFF2-40B4-BE49-F238E27FC236}">
                  <a16:creationId xmlns:a16="http://schemas.microsoft.com/office/drawing/2014/main" id="{38BDE836-A424-EDDD-00F0-051ED1920119}"/>
                </a:ext>
              </a:extLst>
            </xdr:cNvPr>
            <xdr:cNvGraphicFramePr/>
          </xdr:nvGraphicFramePr>
          <xdr:xfrm>
            <a:off x="0" y="0"/>
            <a:ext cx="0" cy="0"/>
          </xdr:xfrm>
          <a:graphic>
            <a:graphicData uri="http://schemas.microsoft.com/office/drawing/2010/slicer">
              <sle:slicer xmlns:sle="http://schemas.microsoft.com/office/drawing/2010/slicer" name="Water source"/>
            </a:graphicData>
          </a:graphic>
        </xdr:graphicFrame>
      </mc:Choice>
      <mc:Fallback xmlns="">
        <xdr:sp macro="" textlink="">
          <xdr:nvSpPr>
            <xdr:cNvPr id="0" name=""/>
            <xdr:cNvSpPr>
              <a:spLocks noTextEdit="1"/>
            </xdr:cNvSpPr>
          </xdr:nvSpPr>
          <xdr:spPr>
            <a:xfrm>
              <a:off x="95249" y="17325975"/>
              <a:ext cx="2238375" cy="21526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567419</xdr:colOff>
      <xdr:row>84</xdr:row>
      <xdr:rowOff>148318</xdr:rowOff>
    </xdr:from>
    <xdr:to>
      <xdr:col>11</xdr:col>
      <xdr:colOff>93890</xdr:colOff>
      <xdr:row>90</xdr:row>
      <xdr:rowOff>47734</xdr:rowOff>
    </xdr:to>
    <xdr:sp macro="" textlink="">
      <xdr:nvSpPr>
        <xdr:cNvPr id="51" name="Rectangle: Rounded Corners 50">
          <a:extLst>
            <a:ext uri="{FF2B5EF4-FFF2-40B4-BE49-F238E27FC236}">
              <a16:creationId xmlns:a16="http://schemas.microsoft.com/office/drawing/2014/main" id="{7B6F3F68-D705-A30A-B8D4-DCA2B42E2F8D}"/>
            </a:ext>
          </a:extLst>
        </xdr:cNvPr>
        <xdr:cNvSpPr/>
      </xdr:nvSpPr>
      <xdr:spPr>
        <a:xfrm>
          <a:off x="3615419" y="16150318"/>
          <a:ext cx="3184071" cy="1042416"/>
        </a:xfrm>
        <a:prstGeom prst="roundRect">
          <a:avLst/>
        </a:prstGeom>
        <a:solidFill>
          <a:schemeClr val="lt1"/>
        </a:solidFill>
        <a:ln w="9525" cmpd="sng">
          <a:solidFill>
            <a:schemeClr val="lt1">
              <a:shade val="50000"/>
            </a:schemeClr>
          </a:solid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2800" b="1" i="0" u="none" strike="noStrike">
              <a:solidFill>
                <a:schemeClr val="accent1"/>
              </a:solidFill>
              <a:latin typeface="Aptos Narrow"/>
              <a:ea typeface="+mn-ea"/>
              <a:cs typeface="+mn-cs"/>
            </a:rPr>
            <a:t>Water Drawn</a:t>
          </a:r>
        </a:p>
      </xdr:txBody>
    </xdr:sp>
    <xdr:clientData/>
  </xdr:twoCellAnchor>
  <xdr:twoCellAnchor>
    <xdr:from>
      <xdr:col>6</xdr:col>
      <xdr:colOff>392206</xdr:colOff>
      <xdr:row>86</xdr:row>
      <xdr:rowOff>174551</xdr:rowOff>
    </xdr:from>
    <xdr:to>
      <xdr:col>9</xdr:col>
      <xdr:colOff>298637</xdr:colOff>
      <xdr:row>89</xdr:row>
      <xdr:rowOff>155501</xdr:rowOff>
    </xdr:to>
    <xdr:sp macro="" textlink="'Pivot table 1'!J53">
      <xdr:nvSpPr>
        <xdr:cNvPr id="52" name="TextBox 51">
          <a:extLst>
            <a:ext uri="{FF2B5EF4-FFF2-40B4-BE49-F238E27FC236}">
              <a16:creationId xmlns:a16="http://schemas.microsoft.com/office/drawing/2014/main" id="{C032B583-073A-C8FA-4C76-373E33F09376}"/>
            </a:ext>
          </a:extLst>
        </xdr:cNvPr>
        <xdr:cNvSpPr txBox="1"/>
      </xdr:nvSpPr>
      <xdr:spPr>
        <a:xfrm>
          <a:off x="4022912" y="16557551"/>
          <a:ext cx="1721784"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36C3631-4597-4ADC-A01A-2A13FB3801BF}" type="TxLink">
            <a:rPr lang="en-US" sz="2800" b="0" i="0" u="none" strike="noStrike">
              <a:solidFill>
                <a:schemeClr val="accent1"/>
              </a:solidFill>
              <a:latin typeface="Aptos Narrow"/>
            </a:rPr>
            <a:pPr algn="ctr"/>
            <a:t> 19,566 </a:t>
          </a:fld>
          <a:endParaRPr lang="en-GB" sz="13800" b="0">
            <a:solidFill>
              <a:schemeClr val="accent1"/>
            </a:solidFill>
          </a:endParaRPr>
        </a:p>
      </xdr:txBody>
    </xdr:sp>
    <xdr:clientData/>
  </xdr:twoCellAnchor>
  <xdr:twoCellAnchor>
    <xdr:from>
      <xdr:col>8</xdr:col>
      <xdr:colOff>582707</xdr:colOff>
      <xdr:row>86</xdr:row>
      <xdr:rowOff>182013</xdr:rowOff>
    </xdr:from>
    <xdr:to>
      <xdr:col>9</xdr:col>
      <xdr:colOff>545166</xdr:colOff>
      <xdr:row>89</xdr:row>
      <xdr:rowOff>67713</xdr:rowOff>
    </xdr:to>
    <xdr:sp macro="" textlink="">
      <xdr:nvSpPr>
        <xdr:cNvPr id="53" name="TextBox 52">
          <a:extLst>
            <a:ext uri="{FF2B5EF4-FFF2-40B4-BE49-F238E27FC236}">
              <a16:creationId xmlns:a16="http://schemas.microsoft.com/office/drawing/2014/main" id="{06483735-0DC0-D617-83B9-229F17D17FBC}"/>
            </a:ext>
          </a:extLst>
        </xdr:cNvPr>
        <xdr:cNvSpPr txBox="1"/>
      </xdr:nvSpPr>
      <xdr:spPr>
        <a:xfrm>
          <a:off x="5423648" y="16565013"/>
          <a:ext cx="567577"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800" b="0" baseline="0">
              <a:solidFill>
                <a:schemeClr val="accent1"/>
              </a:solidFill>
            </a:rPr>
            <a:t>M</a:t>
          </a:r>
          <a:r>
            <a:rPr lang="en-GB" sz="2800" b="0" baseline="30000">
              <a:solidFill>
                <a:schemeClr val="accent1"/>
              </a:solidFill>
            </a:rPr>
            <a:t>3</a:t>
          </a:r>
        </a:p>
      </xdr:txBody>
    </xdr:sp>
    <xdr:clientData/>
  </xdr:twoCellAnchor>
  <xdr:twoCellAnchor>
    <xdr:from>
      <xdr:col>35</xdr:col>
      <xdr:colOff>418044</xdr:colOff>
      <xdr:row>65</xdr:row>
      <xdr:rowOff>164040</xdr:rowOff>
    </xdr:from>
    <xdr:to>
      <xdr:col>44</xdr:col>
      <xdr:colOff>288776</xdr:colOff>
      <xdr:row>83</xdr:row>
      <xdr:rowOff>177648</xdr:rowOff>
    </xdr:to>
    <xdr:graphicFrame macro="">
      <xdr:nvGraphicFramePr>
        <xdr:cNvPr id="27" name="Chart 26">
          <a:extLst>
            <a:ext uri="{FF2B5EF4-FFF2-40B4-BE49-F238E27FC236}">
              <a16:creationId xmlns:a16="http://schemas.microsoft.com/office/drawing/2014/main" id="{7239C264-F833-4E15-83E4-904841DA0E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31</xdr:col>
      <xdr:colOff>538843</xdr:colOff>
      <xdr:row>65</xdr:row>
      <xdr:rowOff>128360</xdr:rowOff>
    </xdr:from>
    <xdr:to>
      <xdr:col>35</xdr:col>
      <xdr:colOff>341539</xdr:colOff>
      <xdr:row>70</xdr:row>
      <xdr:rowOff>175986</xdr:rowOff>
    </xdr:to>
    <mc:AlternateContent xmlns:mc="http://schemas.openxmlformats.org/markup-compatibility/2006" xmlns:a14="http://schemas.microsoft.com/office/drawing/2010/main">
      <mc:Choice Requires="a14">
        <xdr:graphicFrame macro="">
          <xdr:nvGraphicFramePr>
            <xdr:cNvPr id="28" name="Solar">
              <a:extLst>
                <a:ext uri="{FF2B5EF4-FFF2-40B4-BE49-F238E27FC236}">
                  <a16:creationId xmlns:a16="http://schemas.microsoft.com/office/drawing/2014/main" id="{FAF5E430-DC16-FBDD-2199-E310D5383C99}"/>
                </a:ext>
              </a:extLst>
            </xdr:cNvPr>
            <xdr:cNvGraphicFramePr/>
          </xdr:nvGraphicFramePr>
          <xdr:xfrm>
            <a:off x="0" y="0"/>
            <a:ext cx="0" cy="0"/>
          </xdr:xfrm>
          <a:graphic>
            <a:graphicData uri="http://schemas.microsoft.com/office/drawing/2010/slicer">
              <sle:slicer xmlns:sle="http://schemas.microsoft.com/office/drawing/2010/slicer" name="Solar"/>
            </a:graphicData>
          </a:graphic>
        </xdr:graphicFrame>
      </mc:Choice>
      <mc:Fallback xmlns="">
        <xdr:sp macro="" textlink="">
          <xdr:nvSpPr>
            <xdr:cNvPr id="0" name=""/>
            <xdr:cNvSpPr>
              <a:spLocks noTextEdit="1"/>
            </xdr:cNvSpPr>
          </xdr:nvSpPr>
          <xdr:spPr>
            <a:xfrm>
              <a:off x="19567676" y="12510860"/>
              <a:ext cx="2258030" cy="100012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37</xdr:col>
      <xdr:colOff>512613</xdr:colOff>
      <xdr:row>59</xdr:row>
      <xdr:rowOff>90109</xdr:rowOff>
    </xdr:from>
    <xdr:to>
      <xdr:col>43</xdr:col>
      <xdr:colOff>44376</xdr:colOff>
      <xdr:row>64</xdr:row>
      <xdr:rowOff>180025</xdr:rowOff>
    </xdr:to>
    <xdr:sp macro="" textlink="">
      <xdr:nvSpPr>
        <xdr:cNvPr id="29" name="Rectangle: Rounded Corners 28">
          <a:extLst>
            <a:ext uri="{FF2B5EF4-FFF2-40B4-BE49-F238E27FC236}">
              <a16:creationId xmlns:a16="http://schemas.microsoft.com/office/drawing/2014/main" id="{91E9DDA5-AE49-A792-7196-121E7AD505C2}"/>
            </a:ext>
          </a:extLst>
        </xdr:cNvPr>
        <xdr:cNvSpPr/>
      </xdr:nvSpPr>
      <xdr:spPr>
        <a:xfrm>
          <a:off x="23224446" y="11329609"/>
          <a:ext cx="3214763" cy="1042416"/>
        </a:xfrm>
        <a:prstGeom prst="roundRect">
          <a:avLst/>
        </a:prstGeom>
        <a:solidFill>
          <a:schemeClr val="lt1"/>
        </a:solidFill>
        <a:ln w="9525" cmpd="sng">
          <a:solidFill>
            <a:schemeClr val="lt1">
              <a:shade val="50000"/>
            </a:schemeClr>
          </a:solid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2800" b="1" i="0" u="none" strike="noStrike">
              <a:solidFill>
                <a:schemeClr val="accent1"/>
              </a:solidFill>
              <a:latin typeface="Aptos Narrow"/>
              <a:ea typeface="+mn-ea"/>
              <a:cs typeface="+mn-cs"/>
            </a:rPr>
            <a:t>Solar</a:t>
          </a:r>
          <a:r>
            <a:rPr lang="en-GB" sz="2800" b="1" i="0" u="none" strike="noStrike" baseline="0">
              <a:solidFill>
                <a:schemeClr val="accent1"/>
              </a:solidFill>
              <a:latin typeface="Aptos Narrow"/>
              <a:ea typeface="+mn-ea"/>
              <a:cs typeface="+mn-cs"/>
            </a:rPr>
            <a:t> PV</a:t>
          </a:r>
          <a:endParaRPr lang="en-GB" sz="2800" b="1" i="0" u="none" strike="noStrike">
            <a:solidFill>
              <a:schemeClr val="accent1"/>
            </a:solidFill>
            <a:latin typeface="Aptos Narrow"/>
            <a:ea typeface="+mn-ea"/>
            <a:cs typeface="+mn-cs"/>
          </a:endParaRPr>
        </a:p>
      </xdr:txBody>
    </xdr:sp>
    <xdr:clientData/>
  </xdr:twoCellAnchor>
  <xdr:twoCellAnchor>
    <xdr:from>
      <xdr:col>38</xdr:col>
      <xdr:colOff>465667</xdr:colOff>
      <xdr:row>61</xdr:row>
      <xdr:rowOff>138754</xdr:rowOff>
    </xdr:from>
    <xdr:to>
      <xdr:col>41</xdr:col>
      <xdr:colOff>221418</xdr:colOff>
      <xdr:row>64</xdr:row>
      <xdr:rowOff>119704</xdr:rowOff>
    </xdr:to>
    <xdr:sp macro="" textlink="'Pivot table 1'!J71">
      <xdr:nvSpPr>
        <xdr:cNvPr id="30" name="TextBox 29">
          <a:extLst>
            <a:ext uri="{FF2B5EF4-FFF2-40B4-BE49-F238E27FC236}">
              <a16:creationId xmlns:a16="http://schemas.microsoft.com/office/drawing/2014/main" id="{B6E0AB7C-A06D-A01A-A658-86B82912D04D}"/>
            </a:ext>
          </a:extLst>
        </xdr:cNvPr>
        <xdr:cNvSpPr txBox="1"/>
      </xdr:nvSpPr>
      <xdr:spPr>
        <a:xfrm>
          <a:off x="23791334" y="11759254"/>
          <a:ext cx="1597251"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FE734E6-3F59-4BFF-A39C-0AE2657FC350}" type="TxLink">
            <a:rPr lang="en-US" sz="2800" b="0" i="0" u="none" strike="noStrike">
              <a:solidFill>
                <a:schemeClr val="accent1"/>
              </a:solidFill>
              <a:latin typeface="Aptos Narrow"/>
            </a:rPr>
            <a:pPr algn="ctr"/>
            <a:t> 562,250 </a:t>
          </a:fld>
          <a:endParaRPr lang="en-GB" sz="400000" b="0">
            <a:solidFill>
              <a:schemeClr val="accent1"/>
            </a:solidFill>
          </a:endParaRPr>
        </a:p>
      </xdr:txBody>
    </xdr:sp>
    <xdr:clientData/>
  </xdr:twoCellAnchor>
  <xdr:twoCellAnchor>
    <xdr:from>
      <xdr:col>40</xdr:col>
      <xdr:colOff>587900</xdr:colOff>
      <xdr:row>61</xdr:row>
      <xdr:rowOff>135010</xdr:rowOff>
    </xdr:from>
    <xdr:to>
      <xdr:col>42</xdr:col>
      <xdr:colOff>411919</xdr:colOff>
      <xdr:row>64</xdr:row>
      <xdr:rowOff>20710</xdr:rowOff>
    </xdr:to>
    <xdr:sp macro="" textlink="">
      <xdr:nvSpPr>
        <xdr:cNvPr id="35" name="TextBox 34">
          <a:extLst>
            <a:ext uri="{FF2B5EF4-FFF2-40B4-BE49-F238E27FC236}">
              <a16:creationId xmlns:a16="http://schemas.microsoft.com/office/drawing/2014/main" id="{FD3F8BE7-2F3F-C0FD-29F0-435945194F34}"/>
            </a:ext>
          </a:extLst>
        </xdr:cNvPr>
        <xdr:cNvSpPr txBox="1"/>
      </xdr:nvSpPr>
      <xdr:spPr>
        <a:xfrm>
          <a:off x="25141233" y="11755510"/>
          <a:ext cx="1051686"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800" b="0" baseline="0">
              <a:solidFill>
                <a:schemeClr val="accent1"/>
              </a:solidFill>
            </a:rPr>
            <a:t>kWh</a:t>
          </a:r>
          <a:endParaRPr lang="en-GB" sz="2800" b="0" baseline="30000">
            <a:solidFill>
              <a:schemeClr val="accent1"/>
            </a:solidFill>
          </a:endParaRPr>
        </a:p>
      </xdr:txBody>
    </xdr:sp>
    <xdr:clientData/>
  </xdr:twoCellAnchor>
  <xdr:twoCellAnchor>
    <xdr:from>
      <xdr:col>4</xdr:col>
      <xdr:colOff>19050</xdr:colOff>
      <xdr:row>115</xdr:row>
      <xdr:rowOff>19050</xdr:rowOff>
    </xdr:from>
    <xdr:to>
      <xdr:col>12</xdr:col>
      <xdr:colOff>561159</xdr:colOff>
      <xdr:row>138</xdr:row>
      <xdr:rowOff>22412</xdr:rowOff>
    </xdr:to>
    <xdr:graphicFrame macro="">
      <xdr:nvGraphicFramePr>
        <xdr:cNvPr id="37" name="Chart 36">
          <a:extLst>
            <a:ext uri="{FF2B5EF4-FFF2-40B4-BE49-F238E27FC236}">
              <a16:creationId xmlns:a16="http://schemas.microsoft.com/office/drawing/2014/main" id="{9A0FDE04-C35D-4390-879A-EB3E1EE43C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0</xdr:col>
      <xdr:colOff>97972</xdr:colOff>
      <xdr:row>113</xdr:row>
      <xdr:rowOff>17690</xdr:rowOff>
    </xdr:from>
    <xdr:to>
      <xdr:col>3</xdr:col>
      <xdr:colOff>440872</xdr:colOff>
      <xdr:row>121</xdr:row>
      <xdr:rowOff>103414</xdr:rowOff>
    </xdr:to>
    <mc:AlternateContent xmlns:mc="http://schemas.openxmlformats.org/markup-compatibility/2006" xmlns:a14="http://schemas.microsoft.com/office/drawing/2010/main">
      <mc:Choice Requires="a14">
        <xdr:graphicFrame macro="">
          <xdr:nvGraphicFramePr>
            <xdr:cNvPr id="38" name="Category">
              <a:extLst>
                <a:ext uri="{FF2B5EF4-FFF2-40B4-BE49-F238E27FC236}">
                  <a16:creationId xmlns:a16="http://schemas.microsoft.com/office/drawing/2014/main" id="{7AFECFC0-8AC8-CE37-08C1-0D01F3892D63}"/>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97972" y="21544190"/>
              <a:ext cx="2171700" cy="16097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88446</xdr:colOff>
      <xdr:row>122</xdr:row>
      <xdr:rowOff>39460</xdr:rowOff>
    </xdr:from>
    <xdr:to>
      <xdr:col>3</xdr:col>
      <xdr:colOff>444954</xdr:colOff>
      <xdr:row>127</xdr:row>
      <xdr:rowOff>97971</xdr:rowOff>
    </xdr:to>
    <mc:AlternateContent xmlns:mc="http://schemas.openxmlformats.org/markup-compatibility/2006" xmlns:a14="http://schemas.microsoft.com/office/drawing/2010/main">
      <mc:Choice Requires="a14">
        <xdr:graphicFrame macro="">
          <xdr:nvGraphicFramePr>
            <xdr:cNvPr id="54" name="Scope">
              <a:extLst>
                <a:ext uri="{FF2B5EF4-FFF2-40B4-BE49-F238E27FC236}">
                  <a16:creationId xmlns:a16="http://schemas.microsoft.com/office/drawing/2014/main" id="{BD126841-55BC-F184-2998-55D855B14DF3}"/>
                </a:ext>
              </a:extLst>
            </xdr:cNvPr>
            <xdr:cNvGraphicFramePr/>
          </xdr:nvGraphicFramePr>
          <xdr:xfrm>
            <a:off x="0" y="0"/>
            <a:ext cx="0" cy="0"/>
          </xdr:xfrm>
          <a:graphic>
            <a:graphicData uri="http://schemas.microsoft.com/office/drawing/2010/slicer">
              <sle:slicer xmlns:sle="http://schemas.microsoft.com/office/drawing/2010/slicer" name="Scope"/>
            </a:graphicData>
          </a:graphic>
        </xdr:graphicFrame>
      </mc:Choice>
      <mc:Fallback xmlns="">
        <xdr:sp macro="" textlink="">
          <xdr:nvSpPr>
            <xdr:cNvPr id="0" name=""/>
            <xdr:cNvSpPr>
              <a:spLocks noTextEdit="1"/>
            </xdr:cNvSpPr>
          </xdr:nvSpPr>
          <xdr:spPr>
            <a:xfrm>
              <a:off x="88446" y="23280460"/>
              <a:ext cx="2185308" cy="101101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548369</xdr:colOff>
      <xdr:row>109</xdr:row>
      <xdr:rowOff>53068</xdr:rowOff>
    </xdr:from>
    <xdr:to>
      <xdr:col>11</xdr:col>
      <xdr:colOff>74840</xdr:colOff>
      <xdr:row>114</xdr:row>
      <xdr:rowOff>142984</xdr:rowOff>
    </xdr:to>
    <xdr:sp macro="" textlink="">
      <xdr:nvSpPr>
        <xdr:cNvPr id="39" name="Rectangle: Rounded Corners 38">
          <a:extLst>
            <a:ext uri="{FF2B5EF4-FFF2-40B4-BE49-F238E27FC236}">
              <a16:creationId xmlns:a16="http://schemas.microsoft.com/office/drawing/2014/main" id="{B1D13CC5-7D2A-28C3-97F5-1E5A36C5504B}"/>
            </a:ext>
          </a:extLst>
        </xdr:cNvPr>
        <xdr:cNvSpPr/>
      </xdr:nvSpPr>
      <xdr:spPr>
        <a:xfrm>
          <a:off x="3596369" y="20817568"/>
          <a:ext cx="3184071" cy="1042416"/>
        </a:xfrm>
        <a:prstGeom prst="roundRect">
          <a:avLst/>
        </a:prstGeom>
        <a:solidFill>
          <a:schemeClr val="lt1"/>
        </a:solidFill>
        <a:ln w="9525" cmpd="sng">
          <a:solidFill>
            <a:schemeClr val="lt1">
              <a:shade val="50000"/>
            </a:schemeClr>
          </a:solid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2800" b="1" i="0" u="none" strike="noStrike">
              <a:solidFill>
                <a:schemeClr val="accent1"/>
              </a:solidFill>
              <a:latin typeface="Aptos Narrow"/>
              <a:ea typeface="+mn-ea"/>
              <a:cs typeface="+mn-cs"/>
            </a:rPr>
            <a:t>GHG</a:t>
          </a:r>
          <a:r>
            <a:rPr lang="en-GB" sz="2800" b="1" i="0" u="none" strike="noStrike" baseline="0">
              <a:solidFill>
                <a:schemeClr val="accent1"/>
              </a:solidFill>
              <a:latin typeface="Aptos Narrow"/>
              <a:ea typeface="+mn-ea"/>
              <a:cs typeface="+mn-cs"/>
            </a:rPr>
            <a:t> Emissions</a:t>
          </a:r>
          <a:endParaRPr lang="en-GB" sz="2800" b="1" i="0" u="none" strike="noStrike">
            <a:solidFill>
              <a:schemeClr val="accent1"/>
            </a:solidFill>
            <a:latin typeface="Aptos Narrow"/>
            <a:ea typeface="+mn-ea"/>
            <a:cs typeface="+mn-cs"/>
          </a:endParaRPr>
        </a:p>
      </xdr:txBody>
    </xdr:sp>
    <xdr:clientData/>
  </xdr:twoCellAnchor>
  <xdr:twoCellAnchor>
    <xdr:from>
      <xdr:col>6</xdr:col>
      <xdr:colOff>390525</xdr:colOff>
      <xdr:row>111</xdr:row>
      <xdr:rowOff>92188</xdr:rowOff>
    </xdr:from>
    <xdr:to>
      <xdr:col>8</xdr:col>
      <xdr:colOff>476251</xdr:colOff>
      <xdr:row>114</xdr:row>
      <xdr:rowOff>73138</xdr:rowOff>
    </xdr:to>
    <xdr:sp macro="" textlink="'Pivot table 1'!J90">
      <xdr:nvSpPr>
        <xdr:cNvPr id="55" name="TextBox 54">
          <a:extLst>
            <a:ext uri="{FF2B5EF4-FFF2-40B4-BE49-F238E27FC236}">
              <a16:creationId xmlns:a16="http://schemas.microsoft.com/office/drawing/2014/main" id="{D5B19A81-6F94-A7D4-A8C2-6B11B42F354A}"/>
            </a:ext>
          </a:extLst>
        </xdr:cNvPr>
        <xdr:cNvSpPr txBox="1"/>
      </xdr:nvSpPr>
      <xdr:spPr>
        <a:xfrm>
          <a:off x="4033838" y="21237688"/>
          <a:ext cx="1300163"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2B577B4-C6FF-47C0-A157-FBE01FDC41DD}" type="TxLink">
            <a:rPr lang="en-US" sz="2800" b="0" i="0" u="none" strike="noStrike">
              <a:solidFill>
                <a:schemeClr val="accent1"/>
              </a:solidFill>
              <a:latin typeface="Aptos Narrow"/>
            </a:rPr>
            <a:pPr algn="ctr"/>
            <a:t> 405.60 </a:t>
          </a:fld>
          <a:endParaRPr lang="en-GB" sz="49600" b="0">
            <a:solidFill>
              <a:schemeClr val="accent1"/>
            </a:solidFill>
          </a:endParaRPr>
        </a:p>
      </xdr:txBody>
    </xdr:sp>
    <xdr:clientData/>
  </xdr:twoCellAnchor>
  <xdr:twoCellAnchor>
    <xdr:from>
      <xdr:col>8</xdr:col>
      <xdr:colOff>273611</xdr:colOff>
      <xdr:row>111</xdr:row>
      <xdr:rowOff>88444</xdr:rowOff>
    </xdr:from>
    <xdr:to>
      <xdr:col>10</xdr:col>
      <xdr:colOff>202405</xdr:colOff>
      <xdr:row>113</xdr:row>
      <xdr:rowOff>164644</xdr:rowOff>
    </xdr:to>
    <xdr:sp macro="" textlink="">
      <xdr:nvSpPr>
        <xdr:cNvPr id="56" name="TextBox 55">
          <a:extLst>
            <a:ext uri="{FF2B5EF4-FFF2-40B4-BE49-F238E27FC236}">
              <a16:creationId xmlns:a16="http://schemas.microsoft.com/office/drawing/2014/main" id="{71A4280E-2821-79A2-FE19-EEB719ECE51B}"/>
            </a:ext>
          </a:extLst>
        </xdr:cNvPr>
        <xdr:cNvSpPr txBox="1"/>
      </xdr:nvSpPr>
      <xdr:spPr>
        <a:xfrm>
          <a:off x="5131361" y="21233944"/>
          <a:ext cx="1143232"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800" b="0" baseline="0">
              <a:solidFill>
                <a:schemeClr val="accent1"/>
              </a:solidFill>
            </a:rPr>
            <a:t>tCO</a:t>
          </a:r>
          <a:r>
            <a:rPr lang="en-GB" sz="2800" b="0" baseline="-25000">
              <a:solidFill>
                <a:schemeClr val="accent1"/>
              </a:solidFill>
            </a:rPr>
            <a:t>2</a:t>
          </a:r>
          <a:r>
            <a:rPr lang="en-GB" sz="2800" b="0" baseline="0">
              <a:solidFill>
                <a:schemeClr val="accent1"/>
              </a:solidFill>
            </a:rPr>
            <a:t>e</a:t>
          </a:r>
          <a:endParaRPr lang="en-GB" sz="2800" b="0" baseline="30000">
            <a:solidFill>
              <a:schemeClr val="accent1"/>
            </a:solidFill>
          </a:endParaRPr>
        </a:p>
      </xdr:txBody>
    </xdr:sp>
    <xdr:clientData/>
  </xdr:twoCellAnchor>
  <xdr:twoCellAnchor>
    <xdr:from>
      <xdr:col>25</xdr:col>
      <xdr:colOff>526677</xdr:colOff>
      <xdr:row>92</xdr:row>
      <xdr:rowOff>172571</xdr:rowOff>
    </xdr:from>
    <xdr:to>
      <xdr:col>34</xdr:col>
      <xdr:colOff>466434</xdr:colOff>
      <xdr:row>111</xdr:row>
      <xdr:rowOff>36935</xdr:rowOff>
    </xdr:to>
    <xdr:graphicFrame macro="">
      <xdr:nvGraphicFramePr>
        <xdr:cNvPr id="57" name="Chart 56">
          <a:extLst>
            <a:ext uri="{FF2B5EF4-FFF2-40B4-BE49-F238E27FC236}">
              <a16:creationId xmlns:a16="http://schemas.microsoft.com/office/drawing/2014/main" id="{5F05591E-B623-420C-8487-DE95CBD989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xdr:col>
      <xdr:colOff>459722</xdr:colOff>
      <xdr:row>92</xdr:row>
      <xdr:rowOff>156883</xdr:rowOff>
    </xdr:from>
    <xdr:to>
      <xdr:col>25</xdr:col>
      <xdr:colOff>399479</xdr:colOff>
      <xdr:row>111</xdr:row>
      <xdr:rowOff>21247</xdr:rowOff>
    </xdr:to>
    <xdr:graphicFrame macro="">
      <xdr:nvGraphicFramePr>
        <xdr:cNvPr id="58" name="Chart 57">
          <a:extLst>
            <a:ext uri="{FF2B5EF4-FFF2-40B4-BE49-F238E27FC236}">
              <a16:creationId xmlns:a16="http://schemas.microsoft.com/office/drawing/2014/main" id="{244368E4-8B03-4D44-B6B0-1DBB85CEC4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13</xdr:col>
      <xdr:colOff>347382</xdr:colOff>
      <xdr:row>92</xdr:row>
      <xdr:rowOff>167528</xdr:rowOff>
    </xdr:from>
    <xdr:to>
      <xdr:col>16</xdr:col>
      <xdr:colOff>360829</xdr:colOff>
      <xdr:row>101</xdr:row>
      <xdr:rowOff>67235</xdr:rowOff>
    </xdr:to>
    <mc:AlternateContent xmlns:mc="http://schemas.openxmlformats.org/markup-compatibility/2006" xmlns:a14="http://schemas.microsoft.com/office/drawing/2010/main">
      <mc:Choice Requires="a14">
        <xdr:graphicFrame macro="">
          <xdr:nvGraphicFramePr>
            <xdr:cNvPr id="59" name="Category 1">
              <a:extLst>
                <a:ext uri="{FF2B5EF4-FFF2-40B4-BE49-F238E27FC236}">
                  <a16:creationId xmlns:a16="http://schemas.microsoft.com/office/drawing/2014/main" id="{ED38603E-3367-0B10-6EDA-59A34BE87E96}"/>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8213911" y="17693528"/>
              <a:ext cx="1828800" cy="161420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164007</xdr:colOff>
      <xdr:row>86</xdr:row>
      <xdr:rowOff>69876</xdr:rowOff>
    </xdr:from>
    <xdr:to>
      <xdr:col>23</xdr:col>
      <xdr:colOff>295596</xdr:colOff>
      <xdr:row>91</xdr:row>
      <xdr:rowOff>159792</xdr:rowOff>
    </xdr:to>
    <xdr:sp macro="" textlink="">
      <xdr:nvSpPr>
        <xdr:cNvPr id="60" name="Rectangle: Rounded Corners 59">
          <a:extLst>
            <a:ext uri="{FF2B5EF4-FFF2-40B4-BE49-F238E27FC236}">
              <a16:creationId xmlns:a16="http://schemas.microsoft.com/office/drawing/2014/main" id="{4DD2FBDB-8A89-3F92-B9FA-2DFBBB81CC54}"/>
            </a:ext>
          </a:extLst>
        </xdr:cNvPr>
        <xdr:cNvSpPr/>
      </xdr:nvSpPr>
      <xdr:spPr>
        <a:xfrm>
          <a:off x="11056125" y="16452876"/>
          <a:ext cx="3157177" cy="1042416"/>
        </a:xfrm>
        <a:prstGeom prst="roundRect">
          <a:avLst/>
        </a:prstGeom>
        <a:solidFill>
          <a:schemeClr val="lt1"/>
        </a:solidFill>
        <a:ln w="9525" cmpd="sng">
          <a:solidFill>
            <a:schemeClr val="lt1">
              <a:shade val="50000"/>
            </a:schemeClr>
          </a:solid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2800" b="1" i="0" u="none" strike="noStrike">
              <a:solidFill>
                <a:schemeClr val="accent1"/>
              </a:solidFill>
              <a:latin typeface="Aptos Narrow"/>
              <a:ea typeface="+mn-ea"/>
              <a:cs typeface="+mn-cs"/>
            </a:rPr>
            <a:t>Water Drawn</a:t>
          </a:r>
        </a:p>
      </xdr:txBody>
    </xdr:sp>
    <xdr:clientData/>
  </xdr:twoCellAnchor>
  <xdr:twoCellAnchor>
    <xdr:from>
      <xdr:col>18</xdr:col>
      <xdr:colOff>526676</xdr:colOff>
      <xdr:row>88</xdr:row>
      <xdr:rowOff>118521</xdr:rowOff>
    </xdr:from>
    <xdr:to>
      <xdr:col>21</xdr:col>
      <xdr:colOff>421901</xdr:colOff>
      <xdr:row>91</xdr:row>
      <xdr:rowOff>99471</xdr:rowOff>
    </xdr:to>
    <xdr:sp macro="" textlink="'Pivot table 1'!R104">
      <xdr:nvSpPr>
        <xdr:cNvPr id="61" name="TextBox 60">
          <a:extLst>
            <a:ext uri="{FF2B5EF4-FFF2-40B4-BE49-F238E27FC236}">
              <a16:creationId xmlns:a16="http://schemas.microsoft.com/office/drawing/2014/main" id="{3902BC60-DB54-44B8-07D9-2E4037D3B74C}"/>
            </a:ext>
          </a:extLst>
        </xdr:cNvPr>
        <xdr:cNvSpPr txBox="1"/>
      </xdr:nvSpPr>
      <xdr:spPr>
        <a:xfrm>
          <a:off x="11418794" y="16882521"/>
          <a:ext cx="1710578"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2A5D7DF-8421-419B-8B7F-64D622C735CD}" type="TxLink">
            <a:rPr lang="en-US" sz="3200" b="0" i="0" u="none" strike="noStrike">
              <a:solidFill>
                <a:schemeClr val="accent1"/>
              </a:solidFill>
              <a:latin typeface="Aptos Narrow"/>
            </a:rPr>
            <a:pPr algn="ctr"/>
            <a:t> 31,311 </a:t>
          </a:fld>
          <a:endParaRPr lang="en-GB" sz="213200" b="0">
            <a:solidFill>
              <a:schemeClr val="accent1"/>
            </a:solidFill>
          </a:endParaRPr>
        </a:p>
      </xdr:txBody>
    </xdr:sp>
    <xdr:clientData/>
  </xdr:twoCellAnchor>
  <xdr:twoCellAnchor>
    <xdr:from>
      <xdr:col>21</xdr:col>
      <xdr:colOff>224117</xdr:colOff>
      <xdr:row>88</xdr:row>
      <xdr:rowOff>148395</xdr:rowOff>
    </xdr:from>
    <xdr:to>
      <xdr:col>22</xdr:col>
      <xdr:colOff>545165</xdr:colOff>
      <xdr:row>91</xdr:row>
      <xdr:rowOff>34095</xdr:rowOff>
    </xdr:to>
    <xdr:sp macro="" textlink="">
      <xdr:nvSpPr>
        <xdr:cNvPr id="62" name="TextBox 61">
          <a:extLst>
            <a:ext uri="{FF2B5EF4-FFF2-40B4-BE49-F238E27FC236}">
              <a16:creationId xmlns:a16="http://schemas.microsoft.com/office/drawing/2014/main" id="{269F9CB6-1D72-39B2-0307-5B80D2FBBA03}"/>
            </a:ext>
          </a:extLst>
        </xdr:cNvPr>
        <xdr:cNvSpPr txBox="1"/>
      </xdr:nvSpPr>
      <xdr:spPr>
        <a:xfrm>
          <a:off x="12931588" y="16912395"/>
          <a:ext cx="92616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b="0" baseline="0">
              <a:solidFill>
                <a:schemeClr val="accent1"/>
              </a:solidFill>
              <a:effectLst/>
              <a:latin typeface="+mn-lt"/>
              <a:ea typeface="+mn-ea"/>
              <a:cs typeface="+mn-cs"/>
            </a:rPr>
            <a:t>M</a:t>
          </a:r>
          <a:r>
            <a:rPr lang="en-GB" sz="2800" b="0" baseline="30000">
              <a:solidFill>
                <a:schemeClr val="accent1"/>
              </a:solidFill>
              <a:effectLst/>
              <a:latin typeface="+mn-lt"/>
              <a:ea typeface="+mn-ea"/>
              <a:cs typeface="+mn-cs"/>
            </a:rPr>
            <a:t>3</a:t>
          </a:r>
          <a:endParaRPr lang="en-GB" sz="6000">
            <a:solidFill>
              <a:schemeClr val="accent1"/>
            </a:solidFill>
            <a:effectLst/>
          </a:endParaRPr>
        </a:p>
      </xdr:txBody>
    </xdr:sp>
    <xdr:clientData/>
  </xdr:twoCellAnchor>
  <xdr:twoCellAnchor>
    <xdr:from>
      <xdr:col>27</xdr:col>
      <xdr:colOff>455361</xdr:colOff>
      <xdr:row>86</xdr:row>
      <xdr:rowOff>69877</xdr:rowOff>
    </xdr:from>
    <xdr:to>
      <xdr:col>32</xdr:col>
      <xdr:colOff>586949</xdr:colOff>
      <xdr:row>91</xdr:row>
      <xdr:rowOff>159793</xdr:rowOff>
    </xdr:to>
    <xdr:sp macro="" textlink="">
      <xdr:nvSpPr>
        <xdr:cNvPr id="63" name="Rectangle: Rounded Corners 62">
          <a:extLst>
            <a:ext uri="{FF2B5EF4-FFF2-40B4-BE49-F238E27FC236}">
              <a16:creationId xmlns:a16="http://schemas.microsoft.com/office/drawing/2014/main" id="{F66B8535-116D-06FB-23C6-F855E0EFE775}"/>
            </a:ext>
          </a:extLst>
        </xdr:cNvPr>
        <xdr:cNvSpPr/>
      </xdr:nvSpPr>
      <xdr:spPr>
        <a:xfrm>
          <a:off x="16793537" y="16452877"/>
          <a:ext cx="3157177" cy="1042416"/>
        </a:xfrm>
        <a:prstGeom prst="roundRect">
          <a:avLst/>
        </a:prstGeom>
        <a:solidFill>
          <a:schemeClr val="lt1"/>
        </a:solidFill>
        <a:ln w="9525" cmpd="sng">
          <a:solidFill>
            <a:schemeClr val="lt1">
              <a:shade val="50000"/>
            </a:schemeClr>
          </a:solid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2800" b="1" i="0" u="none" strike="noStrike">
              <a:solidFill>
                <a:schemeClr val="accent1"/>
              </a:solidFill>
              <a:latin typeface="Aptos Narrow"/>
              <a:ea typeface="+mn-ea"/>
              <a:cs typeface="+mn-cs"/>
            </a:rPr>
            <a:t>Water Bill</a:t>
          </a:r>
        </a:p>
      </xdr:txBody>
    </xdr:sp>
    <xdr:clientData/>
  </xdr:twoCellAnchor>
  <xdr:twoCellAnchor>
    <xdr:from>
      <xdr:col>29</xdr:col>
      <xdr:colOff>244290</xdr:colOff>
      <xdr:row>88</xdr:row>
      <xdr:rowOff>73699</xdr:rowOff>
    </xdr:from>
    <xdr:to>
      <xdr:col>32</xdr:col>
      <xdr:colOff>444314</xdr:colOff>
      <xdr:row>91</xdr:row>
      <xdr:rowOff>54649</xdr:rowOff>
    </xdr:to>
    <xdr:sp macro="" textlink="'Pivot table 1'!J104">
      <xdr:nvSpPr>
        <xdr:cNvPr id="64" name="TextBox 63">
          <a:extLst>
            <a:ext uri="{FF2B5EF4-FFF2-40B4-BE49-F238E27FC236}">
              <a16:creationId xmlns:a16="http://schemas.microsoft.com/office/drawing/2014/main" id="{F47923E7-60C7-3925-12F2-DE69BBAEFE2B}"/>
            </a:ext>
          </a:extLst>
        </xdr:cNvPr>
        <xdr:cNvSpPr txBox="1"/>
      </xdr:nvSpPr>
      <xdr:spPr>
        <a:xfrm>
          <a:off x="17792702" y="16837699"/>
          <a:ext cx="2015377"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FD84EBB-63D0-4C7F-BF98-207D9AABD610}" type="TxLink">
            <a:rPr lang="en-US" sz="3200" b="0" i="0" u="none" strike="noStrike">
              <a:solidFill>
                <a:schemeClr val="accent1"/>
              </a:solidFill>
              <a:latin typeface="Aptos Narrow"/>
            </a:rPr>
            <a:pPr algn="ctr"/>
            <a:t> 1,924,596 </a:t>
          </a:fld>
          <a:endParaRPr lang="en-GB" sz="213200" b="0">
            <a:solidFill>
              <a:schemeClr val="accent1"/>
            </a:solidFill>
          </a:endParaRPr>
        </a:p>
      </xdr:txBody>
    </xdr:sp>
    <xdr:clientData/>
  </xdr:twoCellAnchor>
  <xdr:twoCellAnchor>
    <xdr:from>
      <xdr:col>28</xdr:col>
      <xdr:colOff>214081</xdr:colOff>
      <xdr:row>88</xdr:row>
      <xdr:rowOff>114778</xdr:rowOff>
    </xdr:from>
    <xdr:to>
      <xdr:col>30</xdr:col>
      <xdr:colOff>52107</xdr:colOff>
      <xdr:row>91</xdr:row>
      <xdr:rowOff>478</xdr:rowOff>
    </xdr:to>
    <xdr:sp macro="" textlink="">
      <xdr:nvSpPr>
        <xdr:cNvPr id="65" name="TextBox 64">
          <a:extLst>
            <a:ext uri="{FF2B5EF4-FFF2-40B4-BE49-F238E27FC236}">
              <a16:creationId xmlns:a16="http://schemas.microsoft.com/office/drawing/2014/main" id="{01E1B6B2-7475-35BC-CDB7-C42AD37049C0}"/>
            </a:ext>
          </a:extLst>
        </xdr:cNvPr>
        <xdr:cNvSpPr txBox="1"/>
      </xdr:nvSpPr>
      <xdr:spPr>
        <a:xfrm>
          <a:off x="17157375" y="16878778"/>
          <a:ext cx="1048261"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800" b="0" baseline="0">
              <a:solidFill>
                <a:schemeClr val="accent1"/>
              </a:solidFill>
            </a:rPr>
            <a:t>KES</a:t>
          </a:r>
          <a:endParaRPr lang="en-GB" sz="2800" b="0" baseline="30000">
            <a:solidFill>
              <a:schemeClr val="accent1"/>
            </a:solidFill>
          </a:endParaRPr>
        </a:p>
      </xdr:txBody>
    </xdr:sp>
    <xdr:clientData/>
  </xdr:twoCellAnchor>
  <xdr:twoCellAnchor>
    <xdr:from>
      <xdr:col>27</xdr:col>
      <xdr:colOff>369791</xdr:colOff>
      <xdr:row>9</xdr:row>
      <xdr:rowOff>31936</xdr:rowOff>
    </xdr:from>
    <xdr:to>
      <xdr:col>36</xdr:col>
      <xdr:colOff>610377</xdr:colOff>
      <xdr:row>30</xdr:row>
      <xdr:rowOff>139614</xdr:rowOff>
    </xdr:to>
    <xdr:graphicFrame macro="">
      <xdr:nvGraphicFramePr>
        <xdr:cNvPr id="66" name="Chart 65">
          <a:extLst>
            <a:ext uri="{FF2B5EF4-FFF2-40B4-BE49-F238E27FC236}">
              <a16:creationId xmlns:a16="http://schemas.microsoft.com/office/drawing/2014/main" id="{EB6E8FC6-091C-4FF7-8E36-A8ED83C02E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16</xdr:col>
      <xdr:colOff>369794</xdr:colOff>
      <xdr:row>10</xdr:row>
      <xdr:rowOff>112058</xdr:rowOff>
    </xdr:from>
    <xdr:to>
      <xdr:col>18</xdr:col>
      <xdr:colOff>313764</xdr:colOff>
      <xdr:row>12</xdr:row>
      <xdr:rowOff>168087</xdr:rowOff>
    </xdr:to>
    <xdr:sp macro="" textlink="Q13">
      <xdr:nvSpPr>
        <xdr:cNvPr id="68" name="TextBox 67">
          <a:extLst>
            <a:ext uri="{FF2B5EF4-FFF2-40B4-BE49-F238E27FC236}">
              <a16:creationId xmlns:a16="http://schemas.microsoft.com/office/drawing/2014/main" id="{5D1CD009-1E25-A3D4-4AFE-B44C15517FC4}"/>
            </a:ext>
          </a:extLst>
        </xdr:cNvPr>
        <xdr:cNvSpPr txBox="1"/>
      </xdr:nvSpPr>
      <xdr:spPr>
        <a:xfrm>
          <a:off x="10051676" y="2017058"/>
          <a:ext cx="115420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FCF34F0-13C4-448A-AED7-86E4C487A8D2}" type="TxLink">
            <a:rPr lang="en-US" sz="2400" b="0" i="0" u="none" strike="noStrike">
              <a:solidFill>
                <a:schemeClr val="accent1"/>
              </a:solidFill>
              <a:latin typeface="Aptos Narrow"/>
            </a:rPr>
            <a:pPr/>
            <a:t>KGs</a:t>
          </a:fld>
          <a:endParaRPr lang="en-GB" sz="2400">
            <a:solidFill>
              <a:schemeClr val="accent1"/>
            </a:solidFill>
          </a:endParaRPr>
        </a:p>
      </xdr:txBody>
    </xdr:sp>
    <xdr:clientData/>
  </xdr:twoCellAnchor>
  <xdr:twoCellAnchor>
    <xdr:from>
      <xdr:col>34</xdr:col>
      <xdr:colOff>431126</xdr:colOff>
      <xdr:row>8</xdr:row>
      <xdr:rowOff>190499</xdr:rowOff>
    </xdr:from>
    <xdr:to>
      <xdr:col>44</xdr:col>
      <xdr:colOff>31745</xdr:colOff>
      <xdr:row>30</xdr:row>
      <xdr:rowOff>169333</xdr:rowOff>
    </xdr:to>
    <xdr:graphicFrame macro="">
      <xdr:nvGraphicFramePr>
        <xdr:cNvPr id="69" name="Chart 68">
          <a:extLst>
            <a:ext uri="{FF2B5EF4-FFF2-40B4-BE49-F238E27FC236}">
              <a16:creationId xmlns:a16="http://schemas.microsoft.com/office/drawing/2014/main" id="{66FD0642-2B8B-4837-8F14-8359CC69E0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29</xdr:col>
      <xdr:colOff>349252</xdr:colOff>
      <xdr:row>39</xdr:row>
      <xdr:rowOff>169334</xdr:rowOff>
    </xdr:from>
    <xdr:to>
      <xdr:col>37</xdr:col>
      <xdr:colOff>444500</xdr:colOff>
      <xdr:row>57</xdr:row>
      <xdr:rowOff>97897</xdr:rowOff>
    </xdr:to>
    <xdr:graphicFrame macro="">
      <xdr:nvGraphicFramePr>
        <xdr:cNvPr id="70" name="Chart 69">
          <a:extLst>
            <a:ext uri="{FF2B5EF4-FFF2-40B4-BE49-F238E27FC236}">
              <a16:creationId xmlns:a16="http://schemas.microsoft.com/office/drawing/2014/main" id="{CC6210F6-A950-4DD1-8C95-053B74BFF8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26</xdr:col>
      <xdr:colOff>286810</xdr:colOff>
      <xdr:row>39</xdr:row>
      <xdr:rowOff>177272</xdr:rowOff>
    </xdr:from>
    <xdr:to>
      <xdr:col>29</xdr:col>
      <xdr:colOff>274110</xdr:colOff>
      <xdr:row>51</xdr:row>
      <xdr:rowOff>74084</xdr:rowOff>
    </xdr:to>
    <mc:AlternateContent xmlns:mc="http://schemas.openxmlformats.org/markup-compatibility/2006" xmlns:a14="http://schemas.microsoft.com/office/drawing/2010/main">
      <mc:Choice Requires="a14">
        <xdr:graphicFrame macro="">
          <xdr:nvGraphicFramePr>
            <xdr:cNvPr id="71" name="Vehicle Type">
              <a:extLst>
                <a:ext uri="{FF2B5EF4-FFF2-40B4-BE49-F238E27FC236}">
                  <a16:creationId xmlns:a16="http://schemas.microsoft.com/office/drawing/2014/main" id="{77F22971-6BB4-491C-9E7A-9053F9E79C66}"/>
                </a:ext>
              </a:extLst>
            </xdr:cNvPr>
            <xdr:cNvGraphicFramePr/>
          </xdr:nvGraphicFramePr>
          <xdr:xfrm>
            <a:off x="0" y="0"/>
            <a:ext cx="0" cy="0"/>
          </xdr:xfrm>
          <a:graphic>
            <a:graphicData uri="http://schemas.microsoft.com/office/drawing/2010/slicer">
              <sle:slicer xmlns:sle="http://schemas.microsoft.com/office/drawing/2010/slicer" name="Vehicle Type"/>
            </a:graphicData>
          </a:graphic>
        </xdr:graphicFrame>
      </mc:Choice>
      <mc:Fallback xmlns="">
        <xdr:sp macro="" textlink="">
          <xdr:nvSpPr>
            <xdr:cNvPr id="0" name=""/>
            <xdr:cNvSpPr>
              <a:spLocks noTextEdit="1"/>
            </xdr:cNvSpPr>
          </xdr:nvSpPr>
          <xdr:spPr>
            <a:xfrm>
              <a:off x="16246477" y="7606772"/>
              <a:ext cx="1828800" cy="218281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undi Thomas" refreshedDate="45875.979372916663" createdVersion="8" refreshedVersion="8" minRefreshableVersion="3" recordCount="204" xr:uid="{16D96FA0-7039-4E87-A5D5-3CC773F0AF54}">
  <cacheSource type="worksheet">
    <worksheetSource name="Table2"/>
  </cacheSource>
  <cacheFields count="5">
    <cacheField name="Month" numFmtId="0">
      <sharedItems count="12">
        <s v="Jan"/>
        <s v="Feb"/>
        <s v="Mar"/>
        <s v="Apr"/>
        <s v="May"/>
        <s v="Jun"/>
        <s v="Jul"/>
        <s v="Aug"/>
        <s v="Sep"/>
        <s v="Oct"/>
        <s v="Nov"/>
        <s v="Dec"/>
      </sharedItems>
    </cacheField>
    <cacheField name="Vehicle" numFmtId="0">
      <sharedItems count="17">
        <s v="KAC 328E"/>
        <s v="KAC 354E"/>
        <s v="KBD 129P"/>
        <s v="KBD 130P"/>
        <s v="KBK 734Q"/>
        <s v="KBR 449P"/>
        <s v="KBW 306M"/>
        <s v="KBW 334B"/>
        <s v="KCA 330Z"/>
        <s v="KCK 806Z"/>
        <s v="KCV 353L"/>
        <s v="KCV 355E"/>
        <s v="KDB 063U"/>
        <s v="KDE 903R"/>
        <s v="KDH 268N"/>
        <s v="KDN 295D"/>
        <s v="Generators"/>
      </sharedItems>
    </cacheField>
    <cacheField name="Litres" numFmtId="0">
      <sharedItems containsSemiMixedTypes="0" containsString="0" containsNumber="1" minValue="0" maxValue="4178.49"/>
    </cacheField>
    <cacheField name="Fuel" numFmtId="0">
      <sharedItems count="2">
        <s v="Diesel"/>
        <s v="Petrol"/>
      </sharedItems>
    </cacheField>
    <cacheField name="Cost" numFmtId="0">
      <sharedItems containsSemiMixedTypes="0" containsString="0" containsNumber="1" minValue="0" maxValue="743269.32135045587" count="194">
        <n v="62594.152789646956"/>
        <n v="88925.712190173945"/>
        <n v="72781.333812873199"/>
        <n v="102499.72622688416"/>
        <n v="62444.7336861109"/>
        <n v="102981.78071567311"/>
        <n v="185487.80785035141"/>
        <n v="76936.607930256898"/>
        <n v="212304.97933737058"/>
        <n v="28371.84168333482"/>
        <n v="167071.90333953226"/>
        <n v="53171.855272617206"/>
        <n v="117334.90864939278"/>
        <n v="134873.86532636339"/>
        <n v="66678.274952965876"/>
        <n v="107258.01315496696"/>
        <n v="132017.11437066208"/>
        <n v="128715.66370205586"/>
        <n v="175236.59006846684"/>
        <n v="136424.9779249758"/>
        <n v="87598.728246865605"/>
        <n v="112210.18915787632"/>
        <n v="148664.89282297122"/>
        <n v="81049.190875201733"/>
        <n v="69616.850655841685"/>
        <n v="108818.01974783746"/>
        <n v="22953.620381301098"/>
        <n v="48226.794465114333"/>
        <n v="140425.49654226861"/>
        <n v="56821.950516140903"/>
        <n v="76623.539332371831"/>
        <n v="105486.32949875369"/>
        <n v="79506.972270847429"/>
        <n v="41333.948915087851"/>
        <n v="83674.697980192461"/>
        <n v="41116.935455190243"/>
        <n v="47993.771815552151"/>
        <n v="130494.46255367559"/>
        <n v="80782.371047458771"/>
        <n v="35711.165745117854"/>
        <n v="24506.511778765132"/>
        <n v="84126.512888503887"/>
        <n v="70029.531989417461"/>
        <n v="166657.44320710486"/>
        <n v="85126.197843114176"/>
        <n v="66733.417717366086"/>
        <n v="98557.907971694833"/>
        <n v="44742.127514791267"/>
        <n v="11115.530008709578"/>
        <n v="25199.719861208665"/>
        <n v="35126.236729613767"/>
        <n v="24957.656925478928"/>
        <n v="34413.603446825422"/>
        <n v="26288.03482024957"/>
        <n v="26905.779432231859"/>
        <n v="24405.753432015124"/>
        <n v="49218.172596056211"/>
        <n v="12395.558812848434"/>
        <n v="12196.098953807128"/>
        <n v="23009.534418725994"/>
        <n v="0"/>
        <n v="38811.61214349106"/>
        <n v="44203.151462750488"/>
        <n v="89539.397793982745"/>
        <n v="49665.842736074701"/>
        <n v="36983.006924025969"/>
        <n v="78841.701500341645"/>
        <n v="120556.31336967612"/>
        <n v="49996.699322475972"/>
        <n v="50423.611046864717"/>
        <n v="34432.209370803263"/>
        <n v="27018.09663441046"/>
        <n v="60893.352112172943"/>
        <n v="117760.71347728888"/>
        <n v="16985.072074284268"/>
        <n v="44059.327309784028"/>
        <n v="73352.815540054027"/>
        <n v="52014.483629606148"/>
        <n v="16882.437389534862"/>
        <n v="71073.550937222812"/>
        <n v="15172.50481153999"/>
        <n v="37182.803431573622"/>
        <n v="21774.045194761409"/>
        <n v="58604.404991912539"/>
        <n v="63883.313494306662"/>
        <n v="8179.7907241793137"/>
        <n v="47851.001135054648"/>
        <n v="34990.681485605113"/>
        <n v="45926.116670131771"/>
        <n v="8603.8849875778142"/>
        <n v="15002.092504786255"/>
        <n v="39392.353908914673"/>
        <n v="20788.364920469914"/>
        <n v="7552.3635947678322"/>
        <n v="46334.152486990934"/>
        <n v="46512.032372152913"/>
        <n v="30910.187644596186"/>
        <n v="55473.620986613147"/>
        <n v="52924.602232242054"/>
        <n v="64602.41669312564"/>
        <n v="64899.476101346139"/>
        <n v="18935.313775492112"/>
        <n v="75328.573768392656"/>
        <n v="31134.316299900271"/>
        <n v="18999.350534150421"/>
        <n v="20162.684983109728"/>
        <n v="55552.475498232001"/>
        <n v="57574.185137446773"/>
        <n v="38611.943004121997"/>
        <n v="22380.170785828675"/>
        <n v="39405.909433315544"/>
        <n v="30542.532978635449"/>
        <n v="15344.853621779563"/>
        <n v="32674.62331654298"/>
        <n v="32306.687654233781"/>
        <n v="57835.613108034893"/>
        <n v="99472.374557035684"/>
        <n v="24394.134411100098"/>
        <n v="37111.152802597622"/>
        <n v="53772.828794746965"/>
        <n v="60722.939805419206"/>
        <n v="18253.481857508101"/>
        <n v="87801.068047890629"/>
        <n v="91215.123693422865"/>
        <n v="70510.028422843985"/>
        <n v="35455.442322206218"/>
        <n v="84722.027505408376"/>
        <n v="81813.399269679838"/>
        <n v="53852.225437666311"/>
        <n v="13237.937829187922"/>
        <n v="4374.561374507829"/>
        <n v="10546.197983873233"/>
        <n v="10935.435184526652"/>
        <n v="7869.9501664452482"/>
        <n v="10712.737283655293"/>
        <n v="106574.95439594498"/>
        <n v="204826.90896516119"/>
        <n v="130432.2045938689"/>
        <n v="163128.3062854913"/>
        <n v="141119.22809440029"/>
        <n v="110692.87373744466"/>
        <n v="123799.06367617891"/>
        <n v="175494.51590195173"/>
        <n v="152339.8912504176"/>
        <n v="146631.72573556987"/>
        <n v="167534.3910409534"/>
        <n v="25191.973847265315"/>
        <n v="26665.652999987957"/>
        <n v="70955.424224586706"/>
        <n v="18441.322695634375"/>
        <n v="27508.032016327452"/>
        <n v="16007.137813936128"/>
        <n v="19183.003530710292"/>
        <n v="26380.986987569788"/>
        <n v="27835.301105434057"/>
        <n v="48546.205886470452"/>
        <n v="16870.818368619835"/>
        <n v="42031.808160111745"/>
        <n v="24076.042456673153"/>
        <n v="49466.61726469329"/>
        <n v="60075.373615753408"/>
        <n v="65242.784279708743"/>
        <n v="16834.552331729199"/>
        <n v="26132.33392914557"/>
        <n v="56971.36961967696"/>
        <n v="41719.948265889332"/>
        <n v="27128.461286052621"/>
        <n v="47236.003504762142"/>
        <n v="115225.25321137176"/>
        <n v="59308.711310705301"/>
        <n v="46882.022533289812"/>
        <n v="88922.154592470688"/>
        <n v="85590.464343386935"/>
        <n v="65333.503021141354"/>
        <n v="82127.142979283293"/>
        <n v="95589.09268834148"/>
        <n v="60475.603357367851"/>
        <n v="83028.993997054509"/>
        <n v="59221.550166975932"/>
        <n v="88006.073183886532"/>
        <n v="32957.585122810502"/>
        <n v="79501.635874292566"/>
        <n v="217056.15107004691"/>
        <n v="369147.01048123778"/>
        <n v="411003.92625870183"/>
        <n v="344912.65492677042"/>
        <n v="710283.27544601948"/>
        <n v="698441.81149078684"/>
        <n v="729382.23871586053"/>
        <n v="743269.32135045587"/>
        <n v="738052.1043186551"/>
        <n v="243652.7514994652"/>
        <n v="159262.97638092161"/>
        <n v="561227.04687569186"/>
      </sharedItems>
    </cacheField>
  </cacheFields>
  <extLst>
    <ext xmlns:x14="http://schemas.microsoft.com/office/spreadsheetml/2009/9/main" uri="{725AE2AE-9491-48be-B2B4-4EB974FC3084}">
      <x14:pivotCacheDefinition pivotCacheId="126893117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undi Thomas" refreshedDate="45876.464357407407" createdVersion="8" refreshedVersion="8" minRefreshableVersion="3" recordCount="36" xr:uid="{AB9ED5EB-8572-4EC5-B792-654FFE6AB656}">
  <cacheSource type="worksheet">
    <worksheetSource ref="H1:K37" sheet="Data"/>
  </cacheSource>
  <cacheFields count="4">
    <cacheField name="Month" numFmtId="0">
      <sharedItems count="12">
        <s v="Jan"/>
        <s v="Feb"/>
        <s v="Mar"/>
        <s v="Apr"/>
        <s v="May"/>
        <s v="Jun"/>
        <s v="Jul"/>
        <s v="Aug"/>
        <s v="Sep"/>
        <s v="Oct"/>
        <s v="Nov"/>
        <s v="Dec"/>
      </sharedItems>
    </cacheField>
    <cacheField name="Fuel" numFmtId="0">
      <sharedItems count="3">
        <s v="Mvule"/>
        <s v="Keri"/>
        <s v="Sports Complex"/>
      </sharedItems>
    </cacheField>
    <cacheField name="Quantities" numFmtId="164">
      <sharedItems containsSemiMixedTypes="0" containsString="0" containsNumber="1" minValue="0" maxValue="114423"/>
    </cacheField>
    <cacheField name="Costs" numFmtId="164">
      <sharedItems containsSemiMixedTypes="0" containsString="0" containsNumber="1" minValue="0" maxValue="2925671"/>
    </cacheField>
  </cacheFields>
  <extLst>
    <ext xmlns:x14="http://schemas.microsoft.com/office/spreadsheetml/2009/9/main" uri="{725AE2AE-9491-48be-B2B4-4EB974FC3084}">
      <x14:pivotCacheDefinition pivotCacheId="130596340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undi Thomas" refreshedDate="45876.468084375003" createdVersion="8" refreshedVersion="8" minRefreshableVersion="3" recordCount="36" xr:uid="{80F46664-66CE-4558-8426-E8987F3155D8}">
  <cacheSource type="worksheet">
    <worksheetSource name="Table3"/>
  </cacheSource>
  <cacheFields count="5">
    <cacheField name="Month" numFmtId="0">
      <sharedItems count="12">
        <s v="Jan"/>
        <s v="Feb"/>
        <s v="Mar"/>
        <s v="Apr"/>
        <s v="May"/>
        <s v="Jun"/>
        <s v="Jul"/>
        <s v="Aug"/>
        <s v="Sep"/>
        <s v="Oct"/>
        <s v="Nov"/>
        <s v="Dec"/>
      </sharedItems>
    </cacheField>
    <cacheField name="Fuel" numFmtId="0">
      <sharedItems count="3">
        <s v="Mvule"/>
        <s v="Keri"/>
        <s v="Sports Complex"/>
      </sharedItems>
    </cacheField>
    <cacheField name="Quantities" numFmtId="164">
      <sharedItems containsSemiMixedTypes="0" containsString="0" containsNumber="1" minValue="0" maxValue="114423"/>
    </cacheField>
    <cacheField name="Costs" numFmtId="164">
      <sharedItems containsSemiMixedTypes="0" containsString="0" containsNumber="1" minValue="0" maxValue="2925671"/>
    </cacheField>
    <cacheField name="Demand" numFmtId="0">
      <sharedItems containsString="0" containsBlank="1" containsNumber="1" containsInteger="1" minValue="86" maxValue="390" count="19">
        <n v="306"/>
        <n v="332"/>
        <n v="301"/>
        <n v="344"/>
        <n v="343"/>
        <n v="333"/>
        <n v="364"/>
        <n v="390"/>
        <n v="327"/>
        <n v="311"/>
        <n v="104"/>
        <n v="107"/>
        <n v="101"/>
        <n v="109"/>
        <n v="96"/>
        <n v="102"/>
        <n v="97"/>
        <n v="86"/>
        <m/>
      </sharedItems>
    </cacheField>
  </cacheFields>
  <extLst>
    <ext xmlns:x14="http://schemas.microsoft.com/office/spreadsheetml/2009/9/main" uri="{725AE2AE-9491-48be-B2B4-4EB974FC3084}">
      <x14:pivotCacheDefinition pivotCacheId="120578460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undi Thomas" refreshedDate="45876.490227199072" createdVersion="8" refreshedVersion="8" minRefreshableVersion="3" recordCount="72" xr:uid="{1FCADF88-3B74-4B77-9160-817C0B014DE2}">
  <cacheSource type="worksheet">
    <worksheetSource name="Table5"/>
  </cacheSource>
  <cacheFields count="3">
    <cacheField name="Month" numFmtId="0">
      <sharedItems containsBlank="1" count="13">
        <s v="Jan"/>
        <s v="Feb"/>
        <s v="Mar"/>
        <s v="Apr"/>
        <s v="May"/>
        <s v="Jun"/>
        <s v="Jul"/>
        <s v="Aug"/>
        <s v="Sep"/>
        <s v="Oct"/>
        <s v="Nov"/>
        <s v="Dec"/>
        <m u="1"/>
      </sharedItems>
    </cacheField>
    <cacheField name="Water source" numFmtId="0">
      <sharedItems containsBlank="1" count="7">
        <s v="Mbagathi NCWSC"/>
        <s v="Mbagathi Borehole"/>
        <s v="Langata Gate"/>
        <s v="Sports Field"/>
        <s v="Fire Hydrant"/>
        <s v="STC Borehole"/>
        <m u="1"/>
      </sharedItems>
    </cacheField>
    <cacheField name="Quantity" numFmtId="0">
      <sharedItems containsSemiMixedTypes="0" containsString="0" containsNumber="1" minValue="0" maxValue="2784"/>
    </cacheField>
  </cacheFields>
  <extLst>
    <ext xmlns:x14="http://schemas.microsoft.com/office/spreadsheetml/2009/9/main" uri="{725AE2AE-9491-48be-B2B4-4EB974FC3084}">
      <x14:pivotCacheDefinition pivotCacheId="36168999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undi Thomas" refreshedDate="45877.645842361111" createdVersion="8" refreshedVersion="8" minRefreshableVersion="3" recordCount="60" xr:uid="{2CA32F94-53D8-42C6-A4D4-1D781CA31A1B}">
  <cacheSource type="worksheet">
    <worksheetSource name="Table1"/>
  </cacheSource>
  <cacheFields count="5">
    <cacheField name="Month" numFmtId="0">
      <sharedItems count="12">
        <s v="Jan"/>
        <s v="Feb"/>
        <s v="Mar"/>
        <s v="Apr"/>
        <s v="May"/>
        <s v="Jun"/>
        <s v="Jul"/>
        <s v="Aug"/>
        <s v="Sep"/>
        <s v="Oct"/>
        <s v="Nov"/>
        <s v="Dec"/>
      </sharedItems>
    </cacheField>
    <cacheField name="Fuel" numFmtId="0">
      <sharedItems count="8">
        <s v="Electricity "/>
        <s v="Petrol"/>
        <s v="Diesel"/>
        <s v="LPG"/>
        <s v="Solar PV"/>
        <s v="Mvule" u="1"/>
        <s v="Keri" u="1"/>
        <s v="Sports Complex" u="1"/>
      </sharedItems>
    </cacheField>
    <cacheField name="Quantities" numFmtId="164">
      <sharedItems containsSemiMixedTypes="0" containsString="0" containsNumber="1" minValue="133" maxValue="152811"/>
    </cacheField>
    <cacheField name="Costs" numFmtId="164">
      <sharedItems containsString="0" containsBlank="1" containsNumber="1" minValue="33250" maxValue="3896060"/>
    </cacheField>
    <cacheField name="Energy" numFmtId="43">
      <sharedItems containsSemiMixedTypes="0" containsString="0" containsNumber="1" minValue="6118" maxValue="550119.6" count="56">
        <n v="414489.60000000003"/>
        <n v="392230.8"/>
        <n v="376765.2"/>
        <n v="504108"/>
        <n v="451454.4"/>
        <n v="428338.8"/>
        <n v="550119.6"/>
        <n v="404056.8"/>
        <n v="414579.60000000003"/>
        <n v="436392"/>
        <n v="407350.8"/>
        <n v="357268.99830647366"/>
        <n v="32093.280000000002"/>
        <n v="50492.196000000011"/>
        <n v="81013.644000000015"/>
        <n v="19285.038"/>
        <n v="48219.606000000007"/>
        <n v="48879.666000000005"/>
        <n v="42461.694000000003"/>
        <n v="25502.598000000005"/>
        <n v="49477.824000000008"/>
        <n v="48633.768000000004"/>
        <n v="43839.953999999998"/>
        <n v="21358.584000000003"/>
        <n v="180068.98"/>
        <n v="311787.83999999997"/>
        <n v="220276.41999999998"/>
        <n v="284986.52"/>
        <n v="368706.97500000003"/>
        <n v="367963.05"/>
        <n v="398610.02999999997"/>
        <n v="419061.37"/>
        <n v="383484.23749999999"/>
        <n v="234582.53"/>
        <n v="267686.51"/>
        <n v="277414.86499999999"/>
        <n v="21390"/>
        <n v="14720"/>
        <n v="22080"/>
        <n v="14260"/>
        <n v="18446"/>
        <n v="11776"/>
        <n v="23552"/>
        <n v="6118"/>
        <n v="143254.80000000002"/>
        <n v="158654.16"/>
        <n v="174631.68000000002"/>
        <n v="132268.32"/>
        <n v="140427.35999999999"/>
        <n v="127080.71999999999"/>
        <n v="119256.48000000001"/>
        <n v="132501.6"/>
        <n v="167562"/>
        <n v="179554.32"/>
        <n v="152594.64000000001"/>
        <n v="150610.32"/>
      </sharedItems>
    </cacheField>
  </cacheFields>
  <extLst>
    <ext xmlns:x14="http://schemas.microsoft.com/office/spreadsheetml/2009/9/main" uri="{725AE2AE-9491-48be-B2B4-4EB974FC3084}">
      <x14:pivotCacheDefinition pivotCacheId="790995765"/>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undi Thomas" refreshedDate="45879.790831134262" createdVersion="8" refreshedVersion="8" minRefreshableVersion="3" recordCount="48" xr:uid="{15D96E9D-54F2-4632-966F-731D43836527}">
  <cacheSource type="worksheet">
    <worksheetSource name="Table6"/>
  </cacheSource>
  <cacheFields count="4">
    <cacheField name="Month" numFmtId="0">
      <sharedItems count="12">
        <s v="Jan"/>
        <s v="Feb"/>
        <s v="Mar"/>
        <s v="Apr"/>
        <s v="May"/>
        <s v="Jun"/>
        <s v="Jul"/>
        <s v="Aug"/>
        <s v="Sep"/>
        <s v="Oct"/>
        <s v="Nov"/>
        <s v="Dec"/>
      </sharedItems>
    </cacheField>
    <cacheField name="Scope" numFmtId="0">
      <sharedItems count="2">
        <s v="Scope 1"/>
        <s v="Scope 2"/>
      </sharedItems>
    </cacheField>
    <cacheField name="Category" numFmtId="0">
      <sharedItems count="4">
        <s v="Stationary &amp; mobile combustion"/>
        <s v="LPG combustion"/>
        <s v="Refrigerants"/>
        <s v="Purchased Electricity"/>
      </sharedItems>
    </cacheField>
    <cacheField name="Quantity" numFmtId="43">
      <sharedItems containsSemiMixedTypes="0" containsString="0" containsNumber="1" minValue="0.39093488000000004" maxValue="195"/>
    </cacheField>
  </cacheFields>
  <extLst>
    <ext xmlns:x14="http://schemas.microsoft.com/office/spreadsheetml/2009/9/main" uri="{725AE2AE-9491-48be-B2B4-4EB974FC3084}">
      <x14:pivotCacheDefinition pivotCacheId="21573961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undi Thomas" refreshedDate="45880.683716087966" createdVersion="8" refreshedVersion="8" minRefreshableVersion="3" recordCount="24" xr:uid="{92F2F14C-AEC5-4194-B0E4-5AA379C0B467}">
  <cacheSource type="worksheet">
    <worksheetSource name="Table4"/>
  </cacheSource>
  <cacheFields count="3">
    <cacheField name="Month" numFmtId="0">
      <sharedItems count="12">
        <s v="Jan"/>
        <s v="Feb"/>
        <s v="Mar"/>
        <s v="Apr"/>
        <s v="May"/>
        <s v="Jun"/>
        <s v="Jul"/>
        <s v="Aug"/>
        <s v="Sep"/>
        <s v="Oct"/>
        <s v="Nov"/>
        <s v="Dec"/>
      </sharedItems>
    </cacheField>
    <cacheField name="Solar" numFmtId="0">
      <sharedItems count="3">
        <s v="Export"/>
        <s v="Captive use"/>
        <s v="Generation" u="1"/>
      </sharedItems>
    </cacheField>
    <cacheField name="Quantity" numFmtId="43">
      <sharedItems containsSemiMixedTypes="0" containsString="0" containsNumber="1" minValue="1953.2" maxValue="49876.2"/>
    </cacheField>
  </cacheFields>
  <extLst>
    <ext xmlns:x14="http://schemas.microsoft.com/office/spreadsheetml/2009/9/main" uri="{725AE2AE-9491-48be-B2B4-4EB974FC3084}">
      <x14:pivotCacheDefinition pivotCacheId="1969584384"/>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undi Thomas" refreshedDate="45882.784452199077" createdVersion="8" refreshedVersion="8" minRefreshableVersion="3" recordCount="31" xr:uid="{E2889B5F-469B-4019-9D04-003BF5E8D90E}">
  <cacheSource type="worksheet">
    <worksheetSource name="Table8"/>
  </cacheSource>
  <cacheFields count="5">
    <cacheField name="Month" numFmtId="0">
      <sharedItems count="8">
        <s v="Dec"/>
        <s v="Feb"/>
        <s v="May"/>
        <s v="Jun"/>
        <s v="Jan"/>
        <s v="Nov"/>
        <s v="Jul"/>
        <s v="Mar"/>
      </sharedItems>
    </cacheField>
    <cacheField name="Account Number" numFmtId="0">
      <sharedItems containsSemiMixedTypes="0" containsString="0" containsNumber="1" containsInteger="1" minValue="5065988" maxValue="5216943"/>
    </cacheField>
    <cacheField name="Category" numFmtId="0">
      <sharedItems count="4">
        <s v="Boreholes"/>
        <s v="Government"/>
        <s v="Commercial"/>
        <s v="Domestic"/>
      </sharedItems>
    </cacheField>
    <cacheField name="Consumption" numFmtId="164">
      <sharedItems containsSemiMixedTypes="0" containsString="0" containsNumber="1" containsInteger="1" minValue="97" maxValue="4706"/>
    </cacheField>
    <cacheField name="Charge" numFmtId="164">
      <sharedItems containsSemiMixedTypes="0" containsString="0" containsNumber="1" minValue="11307" maxValue="149166"/>
    </cacheField>
  </cacheFields>
  <extLst>
    <ext xmlns:x14="http://schemas.microsoft.com/office/spreadsheetml/2009/9/main" uri="{725AE2AE-9491-48be-B2B4-4EB974FC3084}">
      <x14:pivotCacheDefinition pivotCacheId="522588655"/>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undi Thomas" refreshedDate="45888.775143981482" createdVersion="8" refreshedVersion="8" minRefreshableVersion="3" recordCount="16" xr:uid="{3FB3C71B-40A6-44F3-96BB-76EE93D27E12}">
  <cacheSource type="worksheet">
    <worksheetSource name="Table9"/>
  </cacheSource>
  <cacheFields count="6">
    <cacheField name="Vehicle Registration" numFmtId="0">
      <sharedItems count="16">
        <s v="KAC 328E"/>
        <s v="KAC 354E"/>
        <s v="KBD 129P"/>
        <s v="KBD 130P"/>
        <s v="KBK 734Q"/>
        <s v="KBR 449P"/>
        <s v="KBW 306M"/>
        <s v="KBW 334B"/>
        <s v="KCA 330Z"/>
        <s v="KCK 806Z"/>
        <s v="KCV 353L"/>
        <s v="KCV 355E"/>
        <s v="KDB 063U"/>
        <s v="KDE 903R"/>
        <s v="KDH 268N"/>
        <s v="KDN 295D"/>
      </sharedItems>
    </cacheField>
    <cacheField name="Vehicle Type" numFmtId="0">
      <sharedItems count="6">
        <s v="Bus"/>
        <s v="Pickup"/>
        <s v="Station Wagon"/>
        <s v="Van"/>
        <s v="SUV"/>
        <s v="Double cab"/>
      </sharedItems>
    </cacheField>
    <cacheField name="Annual Mileage" numFmtId="164">
      <sharedItems containsSemiMixedTypes="0" containsString="0" containsNumber="1" containsInteger="1" minValue="2897" maxValue="44720"/>
    </cacheField>
    <cacheField name="Fuel Purchased" numFmtId="164">
      <sharedItems containsSemiMixedTypes="0" containsString="0" containsNumber="1" minValue="229.47999999999996" maxValue="9121.74"/>
    </cacheField>
    <cacheField name="Fuel Costs" numFmtId="164">
      <sharedItems containsSemiMixedTypes="0" containsString="0" containsNumber="1" minValue="41785.336000000003" maxValue="1638029.6789999995"/>
    </cacheField>
    <cacheField name="Fuel Efficiency" numFmtId="43">
      <sharedItems containsSemiMixedTypes="0" containsString="0" containsNumber="1" minValue="2.0410058199492656" maxValue="12.624193829527631"/>
    </cacheField>
  </cacheFields>
  <extLst>
    <ext xmlns:x14="http://schemas.microsoft.com/office/spreadsheetml/2009/9/main" uri="{725AE2AE-9491-48be-B2B4-4EB974FC3084}">
      <x14:pivotCacheDefinition pivotCacheId="15751274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x v="0"/>
    <n v="351.89"/>
    <x v="0"/>
    <x v="0"/>
  </r>
  <r>
    <x v="1"/>
    <x v="0"/>
    <n v="499.92"/>
    <x v="0"/>
    <x v="1"/>
  </r>
  <r>
    <x v="2"/>
    <x v="0"/>
    <n v="409.16"/>
    <x v="0"/>
    <x v="2"/>
  </r>
  <r>
    <x v="3"/>
    <x v="0"/>
    <n v="576.23"/>
    <x v="0"/>
    <x v="3"/>
  </r>
  <r>
    <x v="4"/>
    <x v="0"/>
    <n v="351.05"/>
    <x v="0"/>
    <x v="4"/>
  </r>
  <r>
    <x v="5"/>
    <x v="0"/>
    <n v="578.94000000000005"/>
    <x v="0"/>
    <x v="5"/>
  </r>
  <r>
    <x v="6"/>
    <x v="0"/>
    <n v="1042.77"/>
    <x v="0"/>
    <x v="6"/>
  </r>
  <r>
    <x v="7"/>
    <x v="0"/>
    <n v="432.52"/>
    <x v="0"/>
    <x v="7"/>
  </r>
  <r>
    <x v="8"/>
    <x v="0"/>
    <n v="1193.53"/>
    <x v="0"/>
    <x v="8"/>
  </r>
  <r>
    <x v="9"/>
    <x v="0"/>
    <n v="159.5"/>
    <x v="0"/>
    <x v="9"/>
  </r>
  <r>
    <x v="10"/>
    <x v="0"/>
    <n v="939.24"/>
    <x v="0"/>
    <x v="10"/>
  </r>
  <r>
    <x v="11"/>
    <x v="0"/>
    <n v="298.92"/>
    <x v="0"/>
    <x v="11"/>
  </r>
  <r>
    <x v="0"/>
    <x v="1"/>
    <n v="659.63"/>
    <x v="0"/>
    <x v="12"/>
  </r>
  <r>
    <x v="1"/>
    <x v="1"/>
    <n v="758.23"/>
    <x v="0"/>
    <x v="13"/>
  </r>
  <r>
    <x v="2"/>
    <x v="1"/>
    <n v="374.85"/>
    <x v="0"/>
    <x v="14"/>
  </r>
  <r>
    <x v="3"/>
    <x v="1"/>
    <n v="602.98"/>
    <x v="0"/>
    <x v="15"/>
  </r>
  <r>
    <x v="4"/>
    <x v="1"/>
    <n v="742.17"/>
    <x v="0"/>
    <x v="16"/>
  </r>
  <r>
    <x v="5"/>
    <x v="1"/>
    <n v="723.61"/>
    <x v="0"/>
    <x v="17"/>
  </r>
  <r>
    <x v="6"/>
    <x v="1"/>
    <n v="985.14"/>
    <x v="0"/>
    <x v="18"/>
  </r>
  <r>
    <x v="7"/>
    <x v="1"/>
    <n v="766.95"/>
    <x v="0"/>
    <x v="19"/>
  </r>
  <r>
    <x v="8"/>
    <x v="1"/>
    <n v="492.46"/>
    <x v="0"/>
    <x v="20"/>
  </r>
  <r>
    <x v="9"/>
    <x v="1"/>
    <n v="630.82000000000005"/>
    <x v="0"/>
    <x v="21"/>
  </r>
  <r>
    <x v="10"/>
    <x v="1"/>
    <n v="835.76"/>
    <x v="0"/>
    <x v="22"/>
  </r>
  <r>
    <x v="11"/>
    <x v="1"/>
    <n v="455.64"/>
    <x v="0"/>
    <x v="23"/>
  </r>
  <r>
    <x v="0"/>
    <x v="2"/>
    <n v="391.37"/>
    <x v="0"/>
    <x v="24"/>
  </r>
  <r>
    <x v="1"/>
    <x v="2"/>
    <n v="611.75"/>
    <x v="0"/>
    <x v="25"/>
  </r>
  <r>
    <x v="2"/>
    <x v="2"/>
    <n v="129.04"/>
    <x v="0"/>
    <x v="26"/>
  </r>
  <r>
    <x v="3"/>
    <x v="2"/>
    <n v="271.12"/>
    <x v="0"/>
    <x v="27"/>
  </r>
  <r>
    <x v="4"/>
    <x v="2"/>
    <n v="789.44"/>
    <x v="0"/>
    <x v="28"/>
  </r>
  <r>
    <x v="5"/>
    <x v="2"/>
    <n v="319.44"/>
    <x v="0"/>
    <x v="29"/>
  </r>
  <r>
    <x v="6"/>
    <x v="2"/>
    <n v="430.76"/>
    <x v="0"/>
    <x v="30"/>
  </r>
  <r>
    <x v="7"/>
    <x v="2"/>
    <n v="593.02"/>
    <x v="0"/>
    <x v="31"/>
  </r>
  <r>
    <x v="8"/>
    <x v="2"/>
    <n v="446.97"/>
    <x v="0"/>
    <x v="32"/>
  </r>
  <r>
    <x v="9"/>
    <x v="2"/>
    <n v="232.37"/>
    <x v="0"/>
    <x v="33"/>
  </r>
  <r>
    <x v="10"/>
    <x v="2"/>
    <n v="470.4"/>
    <x v="0"/>
    <x v="34"/>
  </r>
  <r>
    <x v="11"/>
    <x v="2"/>
    <n v="231.15"/>
    <x v="0"/>
    <x v="35"/>
  </r>
  <r>
    <x v="0"/>
    <x v="3"/>
    <n v="269.81"/>
    <x v="0"/>
    <x v="36"/>
  </r>
  <r>
    <x v="1"/>
    <x v="3"/>
    <n v="733.61"/>
    <x v="0"/>
    <x v="37"/>
  </r>
  <r>
    <x v="2"/>
    <x v="3"/>
    <n v="454.14"/>
    <x v="0"/>
    <x v="38"/>
  </r>
  <r>
    <x v="3"/>
    <x v="3"/>
    <n v="200.76"/>
    <x v="0"/>
    <x v="39"/>
  </r>
  <r>
    <x v="4"/>
    <x v="3"/>
    <n v="137.77000000000001"/>
    <x v="0"/>
    <x v="40"/>
  </r>
  <r>
    <x v="5"/>
    <x v="3"/>
    <n v="472.94"/>
    <x v="0"/>
    <x v="41"/>
  </r>
  <r>
    <x v="6"/>
    <x v="3"/>
    <n v="393.69"/>
    <x v="0"/>
    <x v="42"/>
  </r>
  <r>
    <x v="7"/>
    <x v="3"/>
    <n v="936.91"/>
    <x v="0"/>
    <x v="43"/>
  </r>
  <r>
    <x v="8"/>
    <x v="3"/>
    <n v="478.56"/>
    <x v="0"/>
    <x v="44"/>
  </r>
  <r>
    <x v="9"/>
    <x v="3"/>
    <n v="375.16"/>
    <x v="0"/>
    <x v="45"/>
  </r>
  <r>
    <x v="10"/>
    <x v="3"/>
    <n v="554.07000000000005"/>
    <x v="0"/>
    <x v="46"/>
  </r>
  <r>
    <x v="11"/>
    <x v="3"/>
    <n v="251.53"/>
    <x v="0"/>
    <x v="47"/>
  </r>
  <r>
    <x v="0"/>
    <x v="4"/>
    <n v="57.4"/>
    <x v="1"/>
    <x v="48"/>
  </r>
  <r>
    <x v="1"/>
    <x v="4"/>
    <n v="130.13"/>
    <x v="1"/>
    <x v="49"/>
  </r>
  <r>
    <x v="2"/>
    <x v="4"/>
    <n v="181.39"/>
    <x v="1"/>
    <x v="50"/>
  </r>
  <r>
    <x v="3"/>
    <x v="4"/>
    <n v="128.88"/>
    <x v="1"/>
    <x v="51"/>
  </r>
  <r>
    <x v="4"/>
    <x v="4"/>
    <n v="177.71"/>
    <x v="1"/>
    <x v="52"/>
  </r>
  <r>
    <x v="5"/>
    <x v="4"/>
    <n v="135.75"/>
    <x v="1"/>
    <x v="53"/>
  </r>
  <r>
    <x v="6"/>
    <x v="4"/>
    <n v="138.94"/>
    <x v="1"/>
    <x v="54"/>
  </r>
  <r>
    <x v="7"/>
    <x v="4"/>
    <n v="126.03"/>
    <x v="1"/>
    <x v="55"/>
  </r>
  <r>
    <x v="8"/>
    <x v="4"/>
    <n v="254.16"/>
    <x v="1"/>
    <x v="56"/>
  </r>
  <r>
    <x v="9"/>
    <x v="4"/>
    <n v="64.010000000000005"/>
    <x v="1"/>
    <x v="57"/>
  </r>
  <r>
    <x v="10"/>
    <x v="4"/>
    <n v="62.98"/>
    <x v="1"/>
    <x v="58"/>
  </r>
  <r>
    <x v="11"/>
    <x v="4"/>
    <n v="118.82"/>
    <x v="1"/>
    <x v="59"/>
  </r>
  <r>
    <x v="0"/>
    <x v="5"/>
    <n v="0"/>
    <x v="0"/>
    <x v="60"/>
  </r>
  <r>
    <x v="1"/>
    <x v="5"/>
    <n v="0"/>
    <x v="0"/>
    <x v="60"/>
  </r>
  <r>
    <x v="2"/>
    <x v="5"/>
    <n v="218.19"/>
    <x v="0"/>
    <x v="61"/>
  </r>
  <r>
    <x v="3"/>
    <x v="5"/>
    <n v="248.5"/>
    <x v="0"/>
    <x v="62"/>
  </r>
  <r>
    <x v="4"/>
    <x v="5"/>
    <n v="503.37"/>
    <x v="0"/>
    <x v="63"/>
  </r>
  <r>
    <x v="5"/>
    <x v="5"/>
    <n v="279.20999999999998"/>
    <x v="0"/>
    <x v="64"/>
  </r>
  <r>
    <x v="6"/>
    <x v="5"/>
    <n v="207.91"/>
    <x v="0"/>
    <x v="65"/>
  </r>
  <r>
    <x v="7"/>
    <x v="5"/>
    <n v="443.23"/>
    <x v="0"/>
    <x v="66"/>
  </r>
  <r>
    <x v="8"/>
    <x v="5"/>
    <n v="677.74"/>
    <x v="0"/>
    <x v="67"/>
  </r>
  <r>
    <x v="9"/>
    <x v="5"/>
    <n v="281.07"/>
    <x v="0"/>
    <x v="68"/>
  </r>
  <r>
    <x v="10"/>
    <x v="5"/>
    <n v="283.47000000000003"/>
    <x v="0"/>
    <x v="69"/>
  </r>
  <r>
    <x v="11"/>
    <x v="5"/>
    <n v="193.57"/>
    <x v="0"/>
    <x v="70"/>
  </r>
  <r>
    <x v="0"/>
    <x v="6"/>
    <n v="139.52000000000001"/>
    <x v="1"/>
    <x v="71"/>
  </r>
  <r>
    <x v="1"/>
    <x v="6"/>
    <n v="314.45"/>
    <x v="1"/>
    <x v="72"/>
  </r>
  <r>
    <x v="2"/>
    <x v="6"/>
    <n v="608.11"/>
    <x v="1"/>
    <x v="73"/>
  </r>
  <r>
    <x v="3"/>
    <x v="6"/>
    <n v="87.71"/>
    <x v="1"/>
    <x v="74"/>
  </r>
  <r>
    <x v="4"/>
    <x v="6"/>
    <n v="227.52"/>
    <x v="1"/>
    <x v="75"/>
  </r>
  <r>
    <x v="5"/>
    <x v="6"/>
    <n v="378.79"/>
    <x v="1"/>
    <x v="76"/>
  </r>
  <r>
    <x v="6"/>
    <x v="6"/>
    <n v="268.60000000000002"/>
    <x v="1"/>
    <x v="77"/>
  </r>
  <r>
    <x v="7"/>
    <x v="6"/>
    <n v="87.18"/>
    <x v="1"/>
    <x v="78"/>
  </r>
  <r>
    <x v="8"/>
    <x v="6"/>
    <n v="367.02"/>
    <x v="1"/>
    <x v="79"/>
  </r>
  <r>
    <x v="9"/>
    <x v="6"/>
    <n v="78.349999999999994"/>
    <x v="1"/>
    <x v="80"/>
  </r>
  <r>
    <x v="10"/>
    <x v="6"/>
    <n v="192.01"/>
    <x v="1"/>
    <x v="81"/>
  </r>
  <r>
    <x v="11"/>
    <x v="6"/>
    <n v="0"/>
    <x v="1"/>
    <x v="60"/>
  </r>
  <r>
    <x v="0"/>
    <x v="7"/>
    <n v="112.44"/>
    <x v="1"/>
    <x v="82"/>
  </r>
  <r>
    <x v="1"/>
    <x v="7"/>
    <n v="302.63"/>
    <x v="1"/>
    <x v="83"/>
  </r>
  <r>
    <x v="2"/>
    <x v="7"/>
    <n v="329.89"/>
    <x v="1"/>
    <x v="84"/>
  </r>
  <r>
    <x v="3"/>
    <x v="7"/>
    <n v="42.24"/>
    <x v="1"/>
    <x v="85"/>
  </r>
  <r>
    <x v="4"/>
    <x v="7"/>
    <n v="247.1"/>
    <x v="1"/>
    <x v="86"/>
  </r>
  <r>
    <x v="5"/>
    <x v="7"/>
    <n v="180.69"/>
    <x v="1"/>
    <x v="87"/>
  </r>
  <r>
    <x v="6"/>
    <x v="7"/>
    <n v="237.16"/>
    <x v="1"/>
    <x v="88"/>
  </r>
  <r>
    <x v="7"/>
    <x v="7"/>
    <n v="44.43"/>
    <x v="1"/>
    <x v="89"/>
  </r>
  <r>
    <x v="8"/>
    <x v="7"/>
    <n v="77.47"/>
    <x v="1"/>
    <x v="90"/>
  </r>
  <r>
    <x v="9"/>
    <x v="7"/>
    <n v="203.42"/>
    <x v="1"/>
    <x v="91"/>
  </r>
  <r>
    <x v="10"/>
    <x v="7"/>
    <n v="107.35"/>
    <x v="1"/>
    <x v="92"/>
  </r>
  <r>
    <x v="11"/>
    <x v="7"/>
    <n v="39"/>
    <x v="1"/>
    <x v="93"/>
  </r>
  <r>
    <x v="0"/>
    <x v="8"/>
    <n v="260.48"/>
    <x v="0"/>
    <x v="94"/>
  </r>
  <r>
    <x v="1"/>
    <x v="8"/>
    <n v="261.48"/>
    <x v="0"/>
    <x v="95"/>
  </r>
  <r>
    <x v="2"/>
    <x v="8"/>
    <n v="173.77"/>
    <x v="0"/>
    <x v="96"/>
  </r>
  <r>
    <x v="3"/>
    <x v="8"/>
    <n v="311.86"/>
    <x v="0"/>
    <x v="97"/>
  </r>
  <r>
    <x v="4"/>
    <x v="8"/>
    <n v="297.52999999999997"/>
    <x v="0"/>
    <x v="98"/>
  </r>
  <r>
    <x v="5"/>
    <x v="8"/>
    <n v="363.18"/>
    <x v="0"/>
    <x v="99"/>
  </r>
  <r>
    <x v="6"/>
    <x v="8"/>
    <n v="364.85"/>
    <x v="0"/>
    <x v="100"/>
  </r>
  <r>
    <x v="7"/>
    <x v="8"/>
    <n v="106.45"/>
    <x v="0"/>
    <x v="101"/>
  </r>
  <r>
    <x v="8"/>
    <x v="8"/>
    <n v="423.48"/>
    <x v="0"/>
    <x v="102"/>
  </r>
  <r>
    <x v="9"/>
    <x v="8"/>
    <n v="175.03"/>
    <x v="0"/>
    <x v="103"/>
  </r>
  <r>
    <x v="10"/>
    <x v="8"/>
    <n v="106.81"/>
    <x v="0"/>
    <x v="104"/>
  </r>
  <r>
    <x v="11"/>
    <x v="8"/>
    <n v="113.35"/>
    <x v="0"/>
    <x v="105"/>
  </r>
  <r>
    <x v="0"/>
    <x v="9"/>
    <n v="286.87"/>
    <x v="1"/>
    <x v="106"/>
  </r>
  <r>
    <x v="1"/>
    <x v="9"/>
    <n v="297.31"/>
    <x v="1"/>
    <x v="107"/>
  </r>
  <r>
    <x v="2"/>
    <x v="9"/>
    <n v="199.39"/>
    <x v="1"/>
    <x v="108"/>
  </r>
  <r>
    <x v="3"/>
    <x v="9"/>
    <n v="115.57"/>
    <x v="1"/>
    <x v="109"/>
  </r>
  <r>
    <x v="4"/>
    <x v="9"/>
    <n v="203.49"/>
    <x v="1"/>
    <x v="110"/>
  </r>
  <r>
    <x v="5"/>
    <x v="9"/>
    <n v="157.72"/>
    <x v="1"/>
    <x v="111"/>
  </r>
  <r>
    <x v="6"/>
    <x v="9"/>
    <n v="79.239999999999995"/>
    <x v="1"/>
    <x v="112"/>
  </r>
  <r>
    <x v="7"/>
    <x v="9"/>
    <n v="168.73"/>
    <x v="1"/>
    <x v="113"/>
  </r>
  <r>
    <x v="8"/>
    <x v="9"/>
    <n v="166.83"/>
    <x v="1"/>
    <x v="114"/>
  </r>
  <r>
    <x v="9"/>
    <x v="9"/>
    <n v="298.66000000000003"/>
    <x v="1"/>
    <x v="115"/>
  </r>
  <r>
    <x v="10"/>
    <x v="9"/>
    <n v="513.66999999999996"/>
    <x v="1"/>
    <x v="116"/>
  </r>
  <r>
    <x v="11"/>
    <x v="9"/>
    <n v="125.97"/>
    <x v="1"/>
    <x v="117"/>
  </r>
  <r>
    <x v="0"/>
    <x v="10"/>
    <n v="191.64"/>
    <x v="1"/>
    <x v="118"/>
  </r>
  <r>
    <x v="1"/>
    <x v="10"/>
    <n v="277.68"/>
    <x v="1"/>
    <x v="119"/>
  </r>
  <r>
    <x v="2"/>
    <x v="10"/>
    <n v="313.57"/>
    <x v="1"/>
    <x v="120"/>
  </r>
  <r>
    <x v="3"/>
    <x v="10"/>
    <n v="94.26"/>
    <x v="1"/>
    <x v="121"/>
  </r>
  <r>
    <x v="4"/>
    <x v="10"/>
    <n v="453.4"/>
    <x v="1"/>
    <x v="122"/>
  </r>
  <r>
    <x v="5"/>
    <x v="10"/>
    <n v="471.03"/>
    <x v="1"/>
    <x v="123"/>
  </r>
  <r>
    <x v="6"/>
    <x v="10"/>
    <n v="364.11"/>
    <x v="1"/>
    <x v="124"/>
  </r>
  <r>
    <x v="7"/>
    <x v="10"/>
    <n v="183.09"/>
    <x v="1"/>
    <x v="125"/>
  </r>
  <r>
    <x v="8"/>
    <x v="10"/>
    <n v="437.5"/>
    <x v="1"/>
    <x v="126"/>
  </r>
  <r>
    <x v="9"/>
    <x v="10"/>
    <n v="422.48"/>
    <x v="1"/>
    <x v="127"/>
  </r>
  <r>
    <x v="10"/>
    <x v="10"/>
    <n v="278.08999999999997"/>
    <x v="1"/>
    <x v="128"/>
  </r>
  <r>
    <x v="11"/>
    <x v="10"/>
    <n v="68.36"/>
    <x v="1"/>
    <x v="129"/>
  </r>
  <r>
    <x v="0"/>
    <x v="11"/>
    <n v="0"/>
    <x v="1"/>
    <x v="60"/>
  </r>
  <r>
    <x v="1"/>
    <x v="11"/>
    <n v="0"/>
    <x v="1"/>
    <x v="60"/>
  </r>
  <r>
    <x v="2"/>
    <x v="11"/>
    <n v="0"/>
    <x v="1"/>
    <x v="60"/>
  </r>
  <r>
    <x v="3"/>
    <x v="11"/>
    <n v="0"/>
    <x v="1"/>
    <x v="60"/>
  </r>
  <r>
    <x v="4"/>
    <x v="11"/>
    <n v="0"/>
    <x v="1"/>
    <x v="60"/>
  </r>
  <r>
    <x v="5"/>
    <x v="11"/>
    <n v="22.59"/>
    <x v="1"/>
    <x v="130"/>
  </r>
  <r>
    <x v="6"/>
    <x v="11"/>
    <n v="54.46"/>
    <x v="1"/>
    <x v="131"/>
  </r>
  <r>
    <x v="7"/>
    <x v="11"/>
    <n v="0"/>
    <x v="1"/>
    <x v="60"/>
  </r>
  <r>
    <x v="8"/>
    <x v="11"/>
    <n v="0"/>
    <x v="1"/>
    <x v="60"/>
  </r>
  <r>
    <x v="9"/>
    <x v="11"/>
    <n v="56.47"/>
    <x v="1"/>
    <x v="132"/>
  </r>
  <r>
    <x v="10"/>
    <x v="11"/>
    <n v="40.64"/>
    <x v="1"/>
    <x v="133"/>
  </r>
  <r>
    <x v="11"/>
    <x v="11"/>
    <n v="55.32"/>
    <x v="1"/>
    <x v="134"/>
  </r>
  <r>
    <x v="0"/>
    <x v="12"/>
    <n v="599.14"/>
    <x v="0"/>
    <x v="135"/>
  </r>
  <r>
    <x v="1"/>
    <x v="12"/>
    <n v="1151.49"/>
    <x v="0"/>
    <x v="136"/>
  </r>
  <r>
    <x v="2"/>
    <x v="12"/>
    <n v="733.26"/>
    <x v="0"/>
    <x v="137"/>
  </r>
  <r>
    <x v="3"/>
    <x v="12"/>
    <n v="917.07"/>
    <x v="0"/>
    <x v="138"/>
  </r>
  <r>
    <x v="4"/>
    <x v="12"/>
    <n v="793.34"/>
    <x v="0"/>
    <x v="139"/>
  </r>
  <r>
    <x v="5"/>
    <x v="12"/>
    <n v="622.29"/>
    <x v="0"/>
    <x v="140"/>
  </r>
  <r>
    <x v="6"/>
    <x v="12"/>
    <n v="695.97"/>
    <x v="0"/>
    <x v="141"/>
  </r>
  <r>
    <x v="7"/>
    <x v="12"/>
    <n v="986.59"/>
    <x v="0"/>
    <x v="142"/>
  </r>
  <r>
    <x v="8"/>
    <x v="12"/>
    <n v="856.42"/>
    <x v="0"/>
    <x v="143"/>
  </r>
  <r>
    <x v="9"/>
    <x v="12"/>
    <n v="824.33"/>
    <x v="0"/>
    <x v="144"/>
  </r>
  <r>
    <x v="10"/>
    <x v="12"/>
    <n v="941.84"/>
    <x v="0"/>
    <x v="145"/>
  </r>
  <r>
    <x v="11"/>
    <x v="12"/>
    <n v="0"/>
    <x v="0"/>
    <x v="60"/>
  </r>
  <r>
    <x v="0"/>
    <x v="13"/>
    <n v="130.09"/>
    <x v="1"/>
    <x v="146"/>
  </r>
  <r>
    <x v="1"/>
    <x v="13"/>
    <n v="137.69999999999999"/>
    <x v="1"/>
    <x v="147"/>
  </r>
  <r>
    <x v="2"/>
    <x v="13"/>
    <n v="366.41"/>
    <x v="1"/>
    <x v="148"/>
  </r>
  <r>
    <x v="3"/>
    <x v="13"/>
    <n v="95.23"/>
    <x v="1"/>
    <x v="149"/>
  </r>
  <r>
    <x v="4"/>
    <x v="13"/>
    <n v="142.05000000000001"/>
    <x v="1"/>
    <x v="150"/>
  </r>
  <r>
    <x v="5"/>
    <x v="13"/>
    <n v="82.66"/>
    <x v="1"/>
    <x v="151"/>
  </r>
  <r>
    <x v="6"/>
    <x v="13"/>
    <n v="99.06"/>
    <x v="1"/>
    <x v="152"/>
  </r>
  <r>
    <x v="7"/>
    <x v="13"/>
    <n v="136.22999999999999"/>
    <x v="1"/>
    <x v="153"/>
  </r>
  <r>
    <x v="8"/>
    <x v="13"/>
    <n v="143.74"/>
    <x v="1"/>
    <x v="154"/>
  </r>
  <r>
    <x v="9"/>
    <x v="13"/>
    <n v="250.69"/>
    <x v="1"/>
    <x v="155"/>
  </r>
  <r>
    <x v="10"/>
    <x v="13"/>
    <n v="87.12"/>
    <x v="1"/>
    <x v="156"/>
  </r>
  <r>
    <x v="11"/>
    <x v="13"/>
    <n v="217.05"/>
    <x v="1"/>
    <x v="157"/>
  </r>
  <r>
    <x v="0"/>
    <x v="14"/>
    <n v="135.35"/>
    <x v="0"/>
    <x v="158"/>
  </r>
  <r>
    <x v="1"/>
    <x v="14"/>
    <n v="278.08999999999997"/>
    <x v="0"/>
    <x v="159"/>
  </r>
  <r>
    <x v="2"/>
    <x v="14"/>
    <n v="337.73"/>
    <x v="0"/>
    <x v="160"/>
  </r>
  <r>
    <x v="3"/>
    <x v="14"/>
    <n v="366.78"/>
    <x v="0"/>
    <x v="161"/>
  </r>
  <r>
    <x v="4"/>
    <x v="14"/>
    <n v="94.64"/>
    <x v="0"/>
    <x v="162"/>
  </r>
  <r>
    <x v="5"/>
    <x v="14"/>
    <n v="146.91"/>
    <x v="0"/>
    <x v="163"/>
  </r>
  <r>
    <x v="6"/>
    <x v="14"/>
    <n v="320.27999999999997"/>
    <x v="0"/>
    <x v="164"/>
  </r>
  <r>
    <x v="7"/>
    <x v="14"/>
    <n v="234.54"/>
    <x v="0"/>
    <x v="165"/>
  </r>
  <r>
    <x v="8"/>
    <x v="14"/>
    <n v="152.51"/>
    <x v="0"/>
    <x v="166"/>
  </r>
  <r>
    <x v="9"/>
    <x v="14"/>
    <n v="265.55"/>
    <x v="0"/>
    <x v="167"/>
  </r>
  <r>
    <x v="10"/>
    <x v="14"/>
    <n v="647.77"/>
    <x v="0"/>
    <x v="168"/>
  </r>
  <r>
    <x v="11"/>
    <x v="14"/>
    <n v="333.42"/>
    <x v="0"/>
    <x v="169"/>
  </r>
  <r>
    <x v="0"/>
    <x v="15"/>
    <n v="263.56"/>
    <x v="0"/>
    <x v="170"/>
  </r>
  <r>
    <x v="1"/>
    <x v="15"/>
    <n v="499.9"/>
    <x v="0"/>
    <x v="171"/>
  </r>
  <r>
    <x v="2"/>
    <x v="15"/>
    <n v="481.17"/>
    <x v="0"/>
    <x v="172"/>
  </r>
  <r>
    <x v="3"/>
    <x v="15"/>
    <n v="367.29"/>
    <x v="0"/>
    <x v="173"/>
  </r>
  <r>
    <x v="4"/>
    <x v="15"/>
    <n v="461.7"/>
    <x v="0"/>
    <x v="174"/>
  </r>
  <r>
    <x v="5"/>
    <x v="15"/>
    <n v="537.38"/>
    <x v="0"/>
    <x v="175"/>
  </r>
  <r>
    <x v="6"/>
    <x v="15"/>
    <n v="339.98"/>
    <x v="0"/>
    <x v="176"/>
  </r>
  <r>
    <x v="7"/>
    <x v="15"/>
    <n v="466.77"/>
    <x v="0"/>
    <x v="177"/>
  </r>
  <r>
    <x v="8"/>
    <x v="15"/>
    <n v="332.93"/>
    <x v="0"/>
    <x v="178"/>
  </r>
  <r>
    <x v="9"/>
    <x v="15"/>
    <n v="494.75"/>
    <x v="0"/>
    <x v="179"/>
  </r>
  <r>
    <x v="10"/>
    <x v="15"/>
    <n v="185.28"/>
    <x v="0"/>
    <x v="180"/>
  </r>
  <r>
    <x v="11"/>
    <x v="15"/>
    <n v="446.94"/>
    <x v="0"/>
    <x v="181"/>
  </r>
  <r>
    <x v="0"/>
    <x v="16"/>
    <n v="1220.24"/>
    <x v="0"/>
    <x v="182"/>
  </r>
  <r>
    <x v="1"/>
    <x v="16"/>
    <n v="2075.2600000000002"/>
    <x v="0"/>
    <x v="183"/>
  </r>
  <r>
    <x v="2"/>
    <x v="16"/>
    <n v="2310.5700000000002"/>
    <x v="0"/>
    <x v="184"/>
  </r>
  <r>
    <x v="3"/>
    <x v="16"/>
    <n v="1939.02"/>
    <x v="0"/>
    <x v="185"/>
  </r>
  <r>
    <x v="4"/>
    <x v="16"/>
    <n v="3993.05"/>
    <x v="0"/>
    <x v="186"/>
  </r>
  <r>
    <x v="5"/>
    <x v="16"/>
    <n v="3926.48"/>
    <x v="0"/>
    <x v="187"/>
  </r>
  <r>
    <x v="6"/>
    <x v="16"/>
    <n v="4100.42"/>
    <x v="0"/>
    <x v="188"/>
  </r>
  <r>
    <x v="7"/>
    <x v="16"/>
    <n v="4178.49"/>
    <x v="0"/>
    <x v="189"/>
  </r>
  <r>
    <x v="8"/>
    <x v="16"/>
    <n v="4149.16"/>
    <x v="0"/>
    <x v="190"/>
  </r>
  <r>
    <x v="9"/>
    <x v="16"/>
    <n v="1369.76"/>
    <x v="0"/>
    <x v="191"/>
  </r>
  <r>
    <x v="10"/>
    <x v="16"/>
    <n v="895.34"/>
    <x v="0"/>
    <x v="192"/>
  </r>
  <r>
    <x v="11"/>
    <x v="16"/>
    <n v="3155.09"/>
    <x v="0"/>
    <x v="19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x v="0"/>
    <n v="86016"/>
    <n v="2924169"/>
  </r>
  <r>
    <x v="1"/>
    <x v="0"/>
    <n v="81429"/>
    <n v="2539907"/>
  </r>
  <r>
    <x v="2"/>
    <x v="0"/>
    <n v="79643"/>
    <n v="2444624"/>
  </r>
  <r>
    <x v="3"/>
    <x v="0"/>
    <n v="103875"/>
    <n v="2874120"/>
  </r>
  <r>
    <x v="4"/>
    <x v="0"/>
    <n v="92677"/>
    <n v="2571741"/>
  </r>
  <r>
    <x v="5"/>
    <x v="0"/>
    <n v="89876"/>
    <n v="2572738"/>
  </r>
  <r>
    <x v="6"/>
    <x v="0"/>
    <n v="114423"/>
    <n v="2925671"/>
  </r>
  <r>
    <x v="7"/>
    <x v="0"/>
    <n v="79007"/>
    <n v="2661737"/>
  </r>
  <r>
    <x v="8"/>
    <x v="0"/>
    <n v="83063"/>
    <n v="2334412"/>
  </r>
  <r>
    <x v="9"/>
    <x v="0"/>
    <n v="94477"/>
    <n v="2512809"/>
  </r>
  <r>
    <x v="10"/>
    <x v="0"/>
    <n v="86302"/>
    <n v="2407846"/>
  </r>
  <r>
    <x v="11"/>
    <x v="0"/>
    <n v="77732"/>
    <n v="2126692"/>
  </r>
  <r>
    <x v="0"/>
    <x v="1"/>
    <n v="29120"/>
    <n v="971891"/>
  </r>
  <r>
    <x v="1"/>
    <x v="1"/>
    <n v="27524"/>
    <n v="844806"/>
  </r>
  <r>
    <x v="2"/>
    <x v="1"/>
    <n v="25014"/>
    <n v="776046"/>
  </r>
  <r>
    <x v="3"/>
    <x v="1"/>
    <n v="36155"/>
    <n v="962102"/>
  </r>
  <r>
    <x v="4"/>
    <x v="1"/>
    <n v="32727"/>
    <n v="879091"/>
  </r>
  <r>
    <x v="5"/>
    <x v="1"/>
    <n v="29107"/>
    <n v="818086"/>
  </r>
  <r>
    <x v="6"/>
    <x v="1"/>
    <n v="38062"/>
    <n v="934168"/>
  </r>
  <r>
    <x v="7"/>
    <x v="1"/>
    <n v="32895"/>
    <n v="873004"/>
  </r>
  <r>
    <x v="8"/>
    <x v="1"/>
    <n v="31711"/>
    <n v="831377"/>
  </r>
  <r>
    <x v="9"/>
    <x v="1"/>
    <n v="26343"/>
    <n v="714456"/>
  </r>
  <r>
    <x v="10"/>
    <x v="1"/>
    <n v="26464"/>
    <n v="708743"/>
  </r>
  <r>
    <x v="11"/>
    <x v="1"/>
    <n v="21136"/>
    <n v="580099"/>
  </r>
  <r>
    <x v="0"/>
    <x v="2"/>
    <n v="0"/>
    <n v="0"/>
  </r>
  <r>
    <x v="1"/>
    <x v="2"/>
    <n v="0"/>
    <n v="0"/>
  </r>
  <r>
    <x v="2"/>
    <x v="2"/>
    <n v="0"/>
    <n v="0"/>
  </r>
  <r>
    <x v="3"/>
    <x v="2"/>
    <n v="0"/>
    <n v="0"/>
  </r>
  <r>
    <x v="4"/>
    <x v="2"/>
    <n v="0"/>
    <n v="0"/>
  </r>
  <r>
    <x v="5"/>
    <x v="2"/>
    <n v="0"/>
    <n v="0"/>
  </r>
  <r>
    <x v="6"/>
    <x v="2"/>
    <n v="326"/>
    <n v="10145.700000000001"/>
  </r>
  <r>
    <x v="7"/>
    <x v="2"/>
    <n v="336"/>
    <n v="9747.7000000000007"/>
  </r>
  <r>
    <x v="8"/>
    <x v="2"/>
    <n v="387"/>
    <n v="11235.3"/>
  </r>
  <r>
    <x v="9"/>
    <x v="2"/>
    <n v="400"/>
    <n v="11425.3"/>
  </r>
  <r>
    <x v="10"/>
    <x v="2"/>
    <n v="387"/>
    <n v="11111.8"/>
  </r>
  <r>
    <x v="11"/>
    <x v="2"/>
    <n v="373.38841846490027"/>
    <n v="10935.8"/>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x v="0"/>
    <n v="86016"/>
    <n v="2924169"/>
    <x v="0"/>
  </r>
  <r>
    <x v="1"/>
    <x v="0"/>
    <n v="81429"/>
    <n v="2539907"/>
    <x v="1"/>
  </r>
  <r>
    <x v="2"/>
    <x v="0"/>
    <n v="79643"/>
    <n v="2444624"/>
    <x v="2"/>
  </r>
  <r>
    <x v="3"/>
    <x v="0"/>
    <n v="103875"/>
    <n v="2874120"/>
    <x v="3"/>
  </r>
  <r>
    <x v="4"/>
    <x v="0"/>
    <n v="92677"/>
    <n v="2571741"/>
    <x v="4"/>
  </r>
  <r>
    <x v="5"/>
    <x v="0"/>
    <n v="89876"/>
    <n v="2572738"/>
    <x v="5"/>
  </r>
  <r>
    <x v="6"/>
    <x v="0"/>
    <n v="114423"/>
    <n v="2925671"/>
    <x v="6"/>
  </r>
  <r>
    <x v="7"/>
    <x v="0"/>
    <n v="79007"/>
    <n v="2661737"/>
    <x v="2"/>
  </r>
  <r>
    <x v="8"/>
    <x v="0"/>
    <n v="83063"/>
    <n v="2334412"/>
    <x v="7"/>
  </r>
  <r>
    <x v="9"/>
    <x v="0"/>
    <n v="94477"/>
    <n v="2512809"/>
    <x v="8"/>
  </r>
  <r>
    <x v="10"/>
    <x v="0"/>
    <n v="86302"/>
    <n v="2407846"/>
    <x v="7"/>
  </r>
  <r>
    <x v="11"/>
    <x v="0"/>
    <n v="77732"/>
    <n v="2126692"/>
    <x v="9"/>
  </r>
  <r>
    <x v="0"/>
    <x v="1"/>
    <n v="29120"/>
    <n v="971891"/>
    <x v="10"/>
  </r>
  <r>
    <x v="1"/>
    <x v="1"/>
    <n v="27524"/>
    <n v="844806"/>
    <x v="11"/>
  </r>
  <r>
    <x v="2"/>
    <x v="1"/>
    <n v="25014"/>
    <n v="776046"/>
    <x v="12"/>
  </r>
  <r>
    <x v="3"/>
    <x v="1"/>
    <n v="36155"/>
    <n v="962102"/>
    <x v="10"/>
  </r>
  <r>
    <x v="4"/>
    <x v="1"/>
    <n v="32727"/>
    <n v="879091"/>
    <x v="13"/>
  </r>
  <r>
    <x v="5"/>
    <x v="1"/>
    <n v="29107"/>
    <n v="818086"/>
    <x v="14"/>
  </r>
  <r>
    <x v="6"/>
    <x v="1"/>
    <n v="38062"/>
    <n v="934168"/>
    <x v="12"/>
  </r>
  <r>
    <x v="7"/>
    <x v="1"/>
    <n v="32895"/>
    <n v="873004"/>
    <x v="13"/>
  </r>
  <r>
    <x v="8"/>
    <x v="1"/>
    <n v="31711"/>
    <n v="831377"/>
    <x v="15"/>
  </r>
  <r>
    <x v="9"/>
    <x v="1"/>
    <n v="26343"/>
    <n v="714456"/>
    <x v="15"/>
  </r>
  <r>
    <x v="10"/>
    <x v="1"/>
    <n v="26464"/>
    <n v="708743"/>
    <x v="16"/>
  </r>
  <r>
    <x v="11"/>
    <x v="1"/>
    <n v="21136"/>
    <n v="580099"/>
    <x v="17"/>
  </r>
  <r>
    <x v="0"/>
    <x v="2"/>
    <n v="0"/>
    <n v="0"/>
    <x v="18"/>
  </r>
  <r>
    <x v="1"/>
    <x v="2"/>
    <n v="0"/>
    <n v="0"/>
    <x v="18"/>
  </r>
  <r>
    <x v="2"/>
    <x v="2"/>
    <n v="0"/>
    <n v="0"/>
    <x v="18"/>
  </r>
  <r>
    <x v="3"/>
    <x v="2"/>
    <n v="0"/>
    <n v="0"/>
    <x v="18"/>
  </r>
  <r>
    <x v="4"/>
    <x v="2"/>
    <n v="0"/>
    <n v="0"/>
    <x v="18"/>
  </r>
  <r>
    <x v="5"/>
    <x v="2"/>
    <n v="0"/>
    <n v="0"/>
    <x v="18"/>
  </r>
  <r>
    <x v="6"/>
    <x v="2"/>
    <n v="326"/>
    <n v="10145.700000000001"/>
    <x v="18"/>
  </r>
  <r>
    <x v="7"/>
    <x v="2"/>
    <n v="336"/>
    <n v="9747.7000000000007"/>
    <x v="18"/>
  </r>
  <r>
    <x v="8"/>
    <x v="2"/>
    <n v="387"/>
    <n v="11235.3"/>
    <x v="18"/>
  </r>
  <r>
    <x v="9"/>
    <x v="2"/>
    <n v="400"/>
    <n v="11425.3"/>
    <x v="18"/>
  </r>
  <r>
    <x v="10"/>
    <x v="2"/>
    <n v="387"/>
    <n v="11111.8"/>
    <x v="18"/>
  </r>
  <r>
    <x v="11"/>
    <x v="2"/>
    <n v="373.38841846490027"/>
    <n v="10935.8"/>
    <x v="18"/>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
  <r>
    <x v="0"/>
    <x v="0"/>
    <n v="413"/>
  </r>
  <r>
    <x v="1"/>
    <x v="0"/>
    <n v="361"/>
  </r>
  <r>
    <x v="2"/>
    <x v="0"/>
    <n v="626"/>
  </r>
  <r>
    <x v="3"/>
    <x v="0"/>
    <n v="627"/>
  </r>
  <r>
    <x v="4"/>
    <x v="0"/>
    <n v="489"/>
  </r>
  <r>
    <x v="5"/>
    <x v="0"/>
    <n v="581"/>
  </r>
  <r>
    <x v="6"/>
    <x v="0"/>
    <n v="649"/>
  </r>
  <r>
    <x v="7"/>
    <x v="0"/>
    <n v="663"/>
  </r>
  <r>
    <x v="8"/>
    <x v="0"/>
    <n v="511.80000000000291"/>
  </r>
  <r>
    <x v="9"/>
    <x v="0"/>
    <n v="589.19999999999709"/>
  </r>
  <r>
    <x v="10"/>
    <x v="0"/>
    <n v="1131"/>
  </r>
  <r>
    <x v="11"/>
    <x v="0"/>
    <n v="115"/>
  </r>
  <r>
    <x v="0"/>
    <x v="1"/>
    <n v="1775"/>
  </r>
  <r>
    <x v="1"/>
    <x v="1"/>
    <n v="1475"/>
  </r>
  <r>
    <x v="2"/>
    <x v="1"/>
    <n v="1140"/>
  </r>
  <r>
    <x v="3"/>
    <x v="1"/>
    <n v="1371"/>
  </r>
  <r>
    <x v="4"/>
    <x v="1"/>
    <n v="1265"/>
  </r>
  <r>
    <x v="5"/>
    <x v="1"/>
    <n v="1373"/>
  </r>
  <r>
    <x v="6"/>
    <x v="1"/>
    <n v="1535"/>
  </r>
  <r>
    <x v="7"/>
    <x v="1"/>
    <n v="1929"/>
  </r>
  <r>
    <x v="8"/>
    <x v="1"/>
    <n v="1773"/>
  </r>
  <r>
    <x v="9"/>
    <x v="1"/>
    <n v="2722"/>
  </r>
  <r>
    <x v="10"/>
    <x v="1"/>
    <n v="2647"/>
  </r>
  <r>
    <x v="11"/>
    <x v="1"/>
    <n v="561"/>
  </r>
  <r>
    <x v="0"/>
    <x v="2"/>
    <n v="113"/>
  </r>
  <r>
    <x v="1"/>
    <x v="2"/>
    <n v="146"/>
  </r>
  <r>
    <x v="2"/>
    <x v="2"/>
    <n v="5"/>
  </r>
  <r>
    <x v="3"/>
    <x v="2"/>
    <n v="281"/>
  </r>
  <r>
    <x v="4"/>
    <x v="2"/>
    <n v="455"/>
  </r>
  <r>
    <x v="5"/>
    <x v="2"/>
    <n v="192"/>
  </r>
  <r>
    <x v="6"/>
    <x v="2"/>
    <n v="109"/>
  </r>
  <r>
    <x v="7"/>
    <x v="2"/>
    <n v="206"/>
  </r>
  <r>
    <x v="8"/>
    <x v="2"/>
    <n v="134"/>
  </r>
  <r>
    <x v="9"/>
    <x v="2"/>
    <n v="146"/>
  </r>
  <r>
    <x v="10"/>
    <x v="2"/>
    <n v="128.29999999999927"/>
  </r>
  <r>
    <x v="11"/>
    <x v="2"/>
    <n v="146.70000000000073"/>
  </r>
  <r>
    <x v="0"/>
    <x v="3"/>
    <n v="259"/>
  </r>
  <r>
    <x v="1"/>
    <x v="3"/>
    <n v="92"/>
  </r>
  <r>
    <x v="2"/>
    <x v="3"/>
    <n v="65"/>
  </r>
  <r>
    <x v="3"/>
    <x v="3"/>
    <n v="128"/>
  </r>
  <r>
    <x v="4"/>
    <x v="3"/>
    <n v="103"/>
  </r>
  <r>
    <x v="5"/>
    <x v="3"/>
    <n v="132"/>
  </r>
  <r>
    <x v="6"/>
    <x v="3"/>
    <n v="148"/>
  </r>
  <r>
    <x v="7"/>
    <x v="3"/>
    <n v="107"/>
  </r>
  <r>
    <x v="8"/>
    <x v="3"/>
    <n v="76"/>
  </r>
  <r>
    <x v="9"/>
    <x v="3"/>
    <n v="162"/>
  </r>
  <r>
    <x v="10"/>
    <x v="3"/>
    <n v="149"/>
  </r>
  <r>
    <x v="11"/>
    <x v="3"/>
    <n v="18"/>
  </r>
  <r>
    <x v="0"/>
    <x v="4"/>
    <n v="0"/>
  </r>
  <r>
    <x v="1"/>
    <x v="4"/>
    <n v="0"/>
  </r>
  <r>
    <x v="2"/>
    <x v="4"/>
    <n v="0"/>
  </r>
  <r>
    <x v="3"/>
    <x v="4"/>
    <n v="0"/>
  </r>
  <r>
    <x v="4"/>
    <x v="4"/>
    <n v="0"/>
  </r>
  <r>
    <x v="5"/>
    <x v="4"/>
    <n v="0"/>
  </r>
  <r>
    <x v="6"/>
    <x v="4"/>
    <n v="0"/>
  </r>
  <r>
    <x v="7"/>
    <x v="4"/>
    <n v="0"/>
  </r>
  <r>
    <x v="8"/>
    <x v="4"/>
    <n v="0"/>
  </r>
  <r>
    <x v="9"/>
    <x v="4"/>
    <n v="0"/>
  </r>
  <r>
    <x v="10"/>
    <x v="4"/>
    <n v="0"/>
  </r>
  <r>
    <x v="11"/>
    <x v="4"/>
    <n v="0"/>
  </r>
  <r>
    <x v="0"/>
    <x v="5"/>
    <n v="2356"/>
  </r>
  <r>
    <x v="1"/>
    <x v="5"/>
    <n v="1972"/>
  </r>
  <r>
    <x v="2"/>
    <x v="5"/>
    <n v="1597"/>
  </r>
  <r>
    <x v="3"/>
    <x v="5"/>
    <n v="2046"/>
  </r>
  <r>
    <x v="4"/>
    <x v="5"/>
    <n v="2067"/>
  </r>
  <r>
    <x v="5"/>
    <x v="5"/>
    <n v="2758"/>
  </r>
  <r>
    <x v="6"/>
    <x v="5"/>
    <n v="2708"/>
  </r>
  <r>
    <x v="7"/>
    <x v="5"/>
    <n v="2784"/>
  </r>
  <r>
    <x v="8"/>
    <x v="5"/>
    <n v="2140"/>
  </r>
  <r>
    <x v="9"/>
    <x v="5"/>
    <n v="2056"/>
  </r>
  <r>
    <x v="10"/>
    <x v="5"/>
    <n v="1096"/>
  </r>
  <r>
    <x v="11"/>
    <x v="5"/>
    <n v="2292"/>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x v="0"/>
    <n v="115136"/>
    <n v="3896060"/>
    <x v="0"/>
  </r>
  <r>
    <x v="1"/>
    <x v="0"/>
    <n v="108953"/>
    <n v="3384713"/>
    <x v="1"/>
  </r>
  <r>
    <x v="2"/>
    <x v="0"/>
    <n v="104657"/>
    <n v="3220670"/>
    <x v="2"/>
  </r>
  <r>
    <x v="3"/>
    <x v="0"/>
    <n v="140030"/>
    <n v="3836222"/>
    <x v="3"/>
  </r>
  <r>
    <x v="4"/>
    <x v="0"/>
    <n v="125404"/>
    <n v="3450832"/>
    <x v="4"/>
  </r>
  <r>
    <x v="5"/>
    <x v="0"/>
    <n v="118983"/>
    <n v="3390824"/>
    <x v="5"/>
  </r>
  <r>
    <x v="6"/>
    <x v="0"/>
    <n v="152811"/>
    <n v="3869984.7"/>
    <x v="6"/>
  </r>
  <r>
    <x v="7"/>
    <x v="0"/>
    <n v="112238"/>
    <n v="3544488.7"/>
    <x v="7"/>
  </r>
  <r>
    <x v="8"/>
    <x v="0"/>
    <n v="115161"/>
    <n v="3177024.3"/>
    <x v="8"/>
  </r>
  <r>
    <x v="9"/>
    <x v="0"/>
    <n v="121220"/>
    <n v="3238690.3"/>
    <x v="9"/>
  </r>
  <r>
    <x v="10"/>
    <x v="0"/>
    <n v="113153"/>
    <n v="3127700.8"/>
    <x v="10"/>
  </r>
  <r>
    <x v="11"/>
    <x v="0"/>
    <n v="99241.388418464907"/>
    <n v="2717726.8"/>
    <x v="11"/>
  </r>
  <r>
    <x v="0"/>
    <x v="1"/>
    <n v="938.4"/>
    <n v="171678.79"/>
    <x v="12"/>
  </r>
  <r>
    <x v="1"/>
    <x v="1"/>
    <n v="1476.38"/>
    <n v="303428.65999999997"/>
    <x v="13"/>
  </r>
  <r>
    <x v="2"/>
    <x v="1"/>
    <n v="2368.8200000000002"/>
    <n v="502889.82999999996"/>
    <x v="14"/>
  </r>
  <r>
    <x v="3"/>
    <x v="1"/>
    <n v="563.89"/>
    <n v="100734.91"/>
    <x v="15"/>
  </r>
  <r>
    <x v="4"/>
    <x v="1"/>
    <n v="1409.93"/>
    <n v="252037.01"/>
    <x v="16"/>
  </r>
  <r>
    <x v="5"/>
    <x v="1"/>
    <n v="1429.23"/>
    <n v="303211.64"/>
    <x v="17"/>
  </r>
  <r>
    <x v="6"/>
    <x v="1"/>
    <n v="1241.57"/>
    <n v="234546.02000000002"/>
    <x v="18"/>
  </r>
  <r>
    <x v="7"/>
    <x v="1"/>
    <n v="745.69"/>
    <n v="140141.62"/>
    <x v="19"/>
  </r>
  <r>
    <x v="8"/>
    <x v="1"/>
    <n v="1446.72"/>
    <n v="220592.09"/>
    <x v="20"/>
  </r>
  <r>
    <x v="9"/>
    <x v="1"/>
    <n v="1422.04"/>
    <n v="250528.52000000002"/>
    <x v="21"/>
  </r>
  <r>
    <x v="10"/>
    <x v="1"/>
    <n v="1281.8699999999999"/>
    <n v="287781.18"/>
    <x v="22"/>
  </r>
  <r>
    <x v="11"/>
    <x v="1"/>
    <n v="624.52"/>
    <n v="127320.41"/>
    <x v="23"/>
  </r>
  <r>
    <x v="0"/>
    <x v="2"/>
    <n v="3957.56"/>
    <n v="780640.41"/>
    <x v="24"/>
  </r>
  <r>
    <x v="1"/>
    <x v="2"/>
    <n v="6852.48"/>
    <n v="1343246.5899999999"/>
    <x v="25"/>
  </r>
  <r>
    <x v="2"/>
    <x v="2"/>
    <n v="4841.24"/>
    <n v="930411.6"/>
    <x v="26"/>
  </r>
  <r>
    <x v="3"/>
    <x v="2"/>
    <n v="6263.4400000000005"/>
    <n v="1159183.18"/>
    <x v="27"/>
  </r>
  <r>
    <x v="4"/>
    <x v="2"/>
    <n v="8103.4500000000007"/>
    <n v="1457083.98"/>
    <x v="28"/>
  </r>
  <r>
    <x v="5"/>
    <x v="2"/>
    <n v="8087.1"/>
    <n v="1434723.02"/>
    <x v="29"/>
  </r>
  <r>
    <x v="6"/>
    <x v="2"/>
    <n v="8760.66"/>
    <n v="1510174.1099999999"/>
    <x v="30"/>
  </r>
  <r>
    <x v="7"/>
    <x v="2"/>
    <n v="9210.14"/>
    <n v="1579059.97"/>
    <x v="31"/>
  </r>
  <r>
    <x v="8"/>
    <x v="2"/>
    <n v="8428.2250000000004"/>
    <n v="1446021.6"/>
    <x v="32"/>
  </r>
  <r>
    <x v="9"/>
    <x v="2"/>
    <n v="5155.66"/>
    <n v="874562.59"/>
    <x v="33"/>
  </r>
  <r>
    <x v="10"/>
    <x v="2"/>
    <n v="5883.22"/>
    <n v="990459.6100000001"/>
    <x v="34"/>
  </r>
  <r>
    <x v="11"/>
    <x v="2"/>
    <n v="6097.03"/>
    <n v="1016583.63"/>
    <x v="35"/>
  </r>
  <r>
    <x v="0"/>
    <x v="3"/>
    <n v="465"/>
    <n v="116250"/>
    <x v="36"/>
  </r>
  <r>
    <x v="1"/>
    <x v="3"/>
    <n v="320"/>
    <n v="80000"/>
    <x v="37"/>
  </r>
  <r>
    <x v="2"/>
    <x v="3"/>
    <n v="480"/>
    <n v="120000"/>
    <x v="38"/>
  </r>
  <r>
    <x v="3"/>
    <x v="3"/>
    <n v="320"/>
    <n v="80000"/>
    <x v="37"/>
  </r>
  <r>
    <x v="4"/>
    <x v="3"/>
    <n v="320"/>
    <n v="80000"/>
    <x v="37"/>
  </r>
  <r>
    <x v="5"/>
    <x v="3"/>
    <n v="310"/>
    <n v="77500"/>
    <x v="39"/>
  </r>
  <r>
    <x v="6"/>
    <x v="3"/>
    <n v="310"/>
    <n v="77500"/>
    <x v="39"/>
  </r>
  <r>
    <x v="7"/>
    <x v="3"/>
    <n v="401"/>
    <n v="100250"/>
    <x v="40"/>
  </r>
  <r>
    <x v="8"/>
    <x v="3"/>
    <n v="256"/>
    <n v="64000"/>
    <x v="41"/>
  </r>
  <r>
    <x v="9"/>
    <x v="3"/>
    <n v="256"/>
    <n v="64000"/>
    <x v="41"/>
  </r>
  <r>
    <x v="10"/>
    <x v="3"/>
    <n v="512"/>
    <n v="128000"/>
    <x v="42"/>
  </r>
  <r>
    <x v="11"/>
    <x v="3"/>
    <n v="133"/>
    <n v="33250"/>
    <x v="43"/>
  </r>
  <r>
    <x v="0"/>
    <x v="4"/>
    <n v="39793"/>
    <m/>
    <x v="44"/>
  </r>
  <r>
    <x v="1"/>
    <x v="4"/>
    <n v="44070.6"/>
    <m/>
    <x v="45"/>
  </r>
  <r>
    <x v="2"/>
    <x v="4"/>
    <n v="48508.800000000003"/>
    <m/>
    <x v="46"/>
  </r>
  <r>
    <x v="3"/>
    <x v="4"/>
    <n v="36741.199999999997"/>
    <m/>
    <x v="47"/>
  </r>
  <r>
    <x v="4"/>
    <x v="4"/>
    <n v="39007.599999999999"/>
    <m/>
    <x v="48"/>
  </r>
  <r>
    <x v="5"/>
    <x v="4"/>
    <n v="35300.199999999997"/>
    <m/>
    <x v="49"/>
  </r>
  <r>
    <x v="6"/>
    <x v="4"/>
    <n v="33126.800000000003"/>
    <m/>
    <x v="50"/>
  </r>
  <r>
    <x v="7"/>
    <x v="4"/>
    <n v="36806"/>
    <m/>
    <x v="51"/>
  </r>
  <r>
    <x v="8"/>
    <x v="4"/>
    <n v="46545"/>
    <m/>
    <x v="52"/>
  </r>
  <r>
    <x v="9"/>
    <x v="4"/>
    <n v="49876.2"/>
    <m/>
    <x v="53"/>
  </r>
  <r>
    <x v="10"/>
    <x v="4"/>
    <n v="42387.4"/>
    <m/>
    <x v="54"/>
  </r>
  <r>
    <x v="11"/>
    <x v="4"/>
    <n v="41836.199999999997"/>
    <m/>
    <x v="55"/>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x v="0"/>
    <x v="0"/>
    <x v="0"/>
    <n v="13.200116200000002"/>
  </r>
  <r>
    <x v="1"/>
    <x v="0"/>
    <x v="0"/>
    <n v="21.704246800000004"/>
  </r>
  <r>
    <x v="2"/>
    <x v="0"/>
    <x v="0"/>
    <n v="19.651286799999998"/>
  </r>
  <r>
    <x v="3"/>
    <x v="0"/>
    <x v="0"/>
    <n v="16.757424099999998"/>
  </r>
  <r>
    <x v="4"/>
    <x v="0"/>
    <x v="0"/>
    <n v="25.126884100000002"/>
  </r>
  <r>
    <x v="5"/>
    <x v="0"/>
    <x v="0"/>
    <n v="24.559901300000003"/>
  </r>
  <r>
    <x v="6"/>
    <x v="0"/>
    <x v="0"/>
    <n v="26.543197700000004"/>
  </r>
  <r>
    <x v="7"/>
    <x v="0"/>
    <x v="0"/>
    <n v="26.079321699999998"/>
  </r>
  <r>
    <x v="8"/>
    <x v="0"/>
    <x v="0"/>
    <n v="27.881793600000005"/>
  </r>
  <r>
    <x v="9"/>
    <x v="0"/>
    <x v="0"/>
    <n v="16.019272400000002"/>
  </r>
  <r>
    <x v="10"/>
    <x v="0"/>
    <x v="0"/>
    <n v="18.599917800000004"/>
  </r>
  <r>
    <x v="11"/>
    <x v="0"/>
    <x v="0"/>
    <n v="16.0433846"/>
  </r>
  <r>
    <x v="0"/>
    <x v="0"/>
    <x v="1"/>
    <n v="1.3668024000000001"/>
  </r>
  <r>
    <x v="1"/>
    <x v="0"/>
    <x v="1"/>
    <n v="0.94059520000000008"/>
  </r>
  <r>
    <x v="2"/>
    <x v="0"/>
    <x v="1"/>
    <n v="1.4108928000000001"/>
  </r>
  <r>
    <x v="3"/>
    <x v="0"/>
    <x v="1"/>
    <n v="0.94059520000000008"/>
  </r>
  <r>
    <x v="4"/>
    <x v="0"/>
    <x v="1"/>
    <n v="0.94059520000000008"/>
  </r>
  <r>
    <x v="5"/>
    <x v="0"/>
    <x v="1"/>
    <n v="0.91120160000000006"/>
  </r>
  <r>
    <x v="6"/>
    <x v="0"/>
    <x v="1"/>
    <n v="0.91120160000000006"/>
  </r>
  <r>
    <x v="7"/>
    <x v="0"/>
    <x v="1"/>
    <n v="1.17868336"/>
  </r>
  <r>
    <x v="8"/>
    <x v="0"/>
    <x v="1"/>
    <n v="0.75247616000000006"/>
  </r>
  <r>
    <x v="9"/>
    <x v="0"/>
    <x v="1"/>
    <n v="0.75247616000000006"/>
  </r>
  <r>
    <x v="10"/>
    <x v="0"/>
    <x v="1"/>
    <n v="1.5049523200000001"/>
  </r>
  <r>
    <x v="11"/>
    <x v="0"/>
    <x v="1"/>
    <n v="0.39093488000000004"/>
  </r>
  <r>
    <x v="0"/>
    <x v="0"/>
    <x v="2"/>
    <n v="23.4"/>
  </r>
  <r>
    <x v="1"/>
    <x v="0"/>
    <x v="2"/>
    <n v="11.7"/>
  </r>
  <r>
    <x v="2"/>
    <x v="0"/>
    <x v="2"/>
    <n v="11.7"/>
  </r>
  <r>
    <x v="3"/>
    <x v="0"/>
    <x v="2"/>
    <n v="15.6"/>
  </r>
  <r>
    <x v="4"/>
    <x v="0"/>
    <x v="2"/>
    <n v="11.7"/>
  </r>
  <r>
    <x v="5"/>
    <x v="0"/>
    <x v="2"/>
    <n v="195"/>
  </r>
  <r>
    <x v="6"/>
    <x v="0"/>
    <x v="2"/>
    <n v="19.5"/>
  </r>
  <r>
    <x v="7"/>
    <x v="0"/>
    <x v="2"/>
    <n v="31.2"/>
  </r>
  <r>
    <x v="8"/>
    <x v="0"/>
    <x v="2"/>
    <n v="31.2"/>
  </r>
  <r>
    <x v="9"/>
    <x v="0"/>
    <x v="2"/>
    <n v="19.5"/>
  </r>
  <r>
    <x v="10"/>
    <x v="0"/>
    <x v="2"/>
    <n v="15.6"/>
  </r>
  <r>
    <x v="11"/>
    <x v="0"/>
    <x v="2"/>
    <n v="19.5"/>
  </r>
  <r>
    <x v="0"/>
    <x v="1"/>
    <x v="3"/>
    <n v="5.5138630400000004"/>
  </r>
  <r>
    <x v="1"/>
    <x v="1"/>
    <x v="3"/>
    <n v="5.2177591699999999"/>
  </r>
  <r>
    <x v="2"/>
    <x v="1"/>
    <x v="3"/>
    <n v="5.0120237300000001"/>
  </r>
  <r>
    <x v="3"/>
    <x v="1"/>
    <x v="3"/>
    <n v="6.7060367000000003"/>
  </r>
  <r>
    <x v="4"/>
    <x v="1"/>
    <x v="3"/>
    <n v="6.00559756"/>
  </r>
  <r>
    <x v="5"/>
    <x v="1"/>
    <x v="3"/>
    <n v="5.6980958700000004"/>
  </r>
  <r>
    <x v="6"/>
    <x v="1"/>
    <x v="3"/>
    <n v="7.3025066500000007"/>
  </r>
  <r>
    <x v="7"/>
    <x v="1"/>
    <x v="3"/>
    <n v="5.3589867800000004"/>
  </r>
  <r>
    <x v="8"/>
    <x v="1"/>
    <x v="3"/>
    <n v="5.4965268600000003"/>
  </r>
  <r>
    <x v="9"/>
    <x v="1"/>
    <x v="3"/>
    <n v="5.7860697999999999"/>
  </r>
  <r>
    <x v="10"/>
    <x v="1"/>
    <x v="3"/>
    <n v="5.4003637399999995"/>
  </r>
  <r>
    <x v="11"/>
    <x v="1"/>
    <x v="3"/>
    <n v="4.7347885200000004"/>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x v="0"/>
    <n v="6357"/>
  </r>
  <r>
    <x v="1"/>
    <x v="0"/>
    <n v="6099.4"/>
  </r>
  <r>
    <x v="2"/>
    <x v="0"/>
    <n v="8531.2000000000007"/>
  </r>
  <r>
    <x v="3"/>
    <x v="0"/>
    <n v="3308.8"/>
  </r>
  <r>
    <x v="4"/>
    <x v="0"/>
    <n v="2962.4"/>
  </r>
  <r>
    <x v="5"/>
    <x v="0"/>
    <n v="3159.8"/>
  </r>
  <r>
    <x v="6"/>
    <x v="0"/>
    <n v="1953.2"/>
  </r>
  <r>
    <x v="7"/>
    <x v="0"/>
    <n v="2454"/>
  </r>
  <r>
    <x v="8"/>
    <x v="0"/>
    <n v="5375"/>
  </r>
  <r>
    <x v="9"/>
    <x v="0"/>
    <n v="7813.8"/>
  </r>
  <r>
    <x v="10"/>
    <x v="0"/>
    <n v="4412.6000000000004"/>
  </r>
  <r>
    <x v="11"/>
    <x v="0"/>
    <n v="15823.8"/>
  </r>
  <r>
    <x v="0"/>
    <x v="1"/>
    <n v="39793"/>
  </r>
  <r>
    <x v="1"/>
    <x v="1"/>
    <n v="44070.6"/>
  </r>
  <r>
    <x v="2"/>
    <x v="1"/>
    <n v="48508.800000000003"/>
  </r>
  <r>
    <x v="3"/>
    <x v="1"/>
    <n v="36741.199999999997"/>
  </r>
  <r>
    <x v="4"/>
    <x v="1"/>
    <n v="39007.599999999999"/>
  </r>
  <r>
    <x v="5"/>
    <x v="1"/>
    <n v="35300.199999999997"/>
  </r>
  <r>
    <x v="6"/>
    <x v="1"/>
    <n v="33126.800000000003"/>
  </r>
  <r>
    <x v="7"/>
    <x v="1"/>
    <n v="36806"/>
  </r>
  <r>
    <x v="8"/>
    <x v="1"/>
    <n v="46545"/>
  </r>
  <r>
    <x v="9"/>
    <x v="1"/>
    <n v="49876.2"/>
  </r>
  <r>
    <x v="10"/>
    <x v="1"/>
    <n v="42387.4"/>
  </r>
  <r>
    <x v="11"/>
    <x v="1"/>
    <n v="41836.199999999997"/>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
  <r>
    <x v="0"/>
    <n v="5065988"/>
    <x v="0"/>
    <n v="1807"/>
    <n v="95501"/>
  </r>
  <r>
    <x v="0"/>
    <n v="5078365"/>
    <x v="1"/>
    <n v="709"/>
    <n v="91416.99"/>
  </r>
  <r>
    <x v="0"/>
    <n v="5162471"/>
    <x v="2"/>
    <n v="102"/>
    <n v="11749"/>
  </r>
  <r>
    <x v="0"/>
    <n v="5171777"/>
    <x v="0"/>
    <n v="1819"/>
    <n v="96149"/>
  </r>
  <r>
    <x v="0"/>
    <n v="5216943"/>
    <x v="3"/>
    <n v="164"/>
    <n v="19668"/>
  </r>
  <r>
    <x v="1"/>
    <n v="5078365"/>
    <x v="1"/>
    <n v="376"/>
    <n v="47256"/>
  </r>
  <r>
    <x v="1"/>
    <n v="5065988"/>
    <x v="0"/>
    <n v="1660"/>
    <n v="87822"/>
  </r>
  <r>
    <x v="2"/>
    <n v="5216943"/>
    <x v="3"/>
    <n v="280"/>
    <n v="34810"/>
  </r>
  <r>
    <x v="2"/>
    <n v="5162471"/>
    <x v="2"/>
    <n v="128"/>
    <n v="15124"/>
  </r>
  <r>
    <x v="2"/>
    <n v="5078365"/>
    <x v="1"/>
    <n v="627"/>
    <n v="80800"/>
  </r>
  <r>
    <x v="2"/>
    <n v="5065988"/>
    <x v="0"/>
    <n v="1372"/>
    <n v="72270"/>
  </r>
  <r>
    <x v="3"/>
    <n v="5171777"/>
    <x v="0"/>
    <n v="1911"/>
    <n v="101358"/>
  </r>
  <r>
    <x v="3"/>
    <n v="5078365"/>
    <x v="1"/>
    <n v="428"/>
    <n v="53748"/>
  </r>
  <r>
    <x v="3"/>
    <n v="5065988"/>
    <x v="0"/>
    <n v="1243"/>
    <n v="64996"/>
  </r>
  <r>
    <x v="4"/>
    <n v="5216943"/>
    <x v="3"/>
    <n v="97"/>
    <n v="11307"/>
  </r>
  <r>
    <x v="4"/>
    <n v="5171777"/>
    <x v="0"/>
    <n v="2005"/>
    <n v="106470"/>
  </r>
  <r>
    <x v="4"/>
    <n v="5162471"/>
    <x v="2"/>
    <n v="283"/>
    <n v="35090"/>
  </r>
  <r>
    <x v="4"/>
    <n v="5078365"/>
    <x v="1"/>
    <n v="486"/>
    <n v="61960"/>
  </r>
  <r>
    <x v="4"/>
    <n v="5065988"/>
    <x v="0"/>
    <n v="1461"/>
    <n v="77094"/>
  </r>
  <r>
    <x v="5"/>
    <n v="5216943"/>
    <x v="3"/>
    <n v="122"/>
    <n v="14486"/>
  </r>
  <r>
    <x v="5"/>
    <n v="5171777"/>
    <x v="0"/>
    <n v="2757"/>
    <n v="147078"/>
  </r>
  <r>
    <x v="5"/>
    <n v="5162471"/>
    <x v="2"/>
    <n v="126"/>
    <n v="14903"/>
  </r>
  <r>
    <x v="5"/>
    <n v="5078365"/>
    <x v="1"/>
    <n v="400"/>
    <n v="50400"/>
  </r>
  <r>
    <x v="5"/>
    <n v="5065988"/>
    <x v="0"/>
    <n v="1891"/>
    <n v="100278"/>
  </r>
  <r>
    <x v="6"/>
    <n v="5216943"/>
    <x v="3"/>
    <n v="202"/>
    <n v="24782"/>
  </r>
  <r>
    <x v="6"/>
    <n v="5171777"/>
    <x v="0"/>
    <n v="4706"/>
    <n v="149166"/>
  </r>
  <r>
    <x v="7"/>
    <n v="5216943"/>
    <x v="3"/>
    <n v="133"/>
    <n v="15864"/>
  </r>
  <r>
    <x v="7"/>
    <n v="5171777"/>
    <x v="0"/>
    <n v="2040"/>
    <n v="108342"/>
  </r>
  <r>
    <x v="7"/>
    <n v="5162471"/>
    <x v="2"/>
    <n v="99"/>
    <n v="11434"/>
  </r>
  <r>
    <x v="7"/>
    <n v="5078365"/>
    <x v="1"/>
    <n v="334"/>
    <n v="41788"/>
  </r>
  <r>
    <x v="7"/>
    <n v="5065988"/>
    <x v="0"/>
    <n v="1543"/>
    <n v="81486"/>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
  <r>
    <x v="0"/>
    <x v="0"/>
    <n v="15590"/>
    <n v="7274.48"/>
    <n v="1301020.4220999996"/>
    <n v="2.1431085108488857"/>
  </r>
  <r>
    <x v="1"/>
    <x v="0"/>
    <n v="16486"/>
    <n v="8077.3900000000012"/>
    <n v="1440334.6940000004"/>
    <n v="2.0410058199492656"/>
  </r>
  <r>
    <x v="2"/>
    <x v="0"/>
    <n v="17163"/>
    <n v="4916.829999999999"/>
    <n v="880675.38100000005"/>
    <n v="3.4906636999855607"/>
  </r>
  <r>
    <x v="3"/>
    <x v="0"/>
    <n v="21008"/>
    <n v="5258.95"/>
    <n v="937937.87"/>
    <n v="3.9947137736620428"/>
  </r>
  <r>
    <x v="4"/>
    <x v="1"/>
    <n v="9418"/>
    <n v="1513.22"/>
    <n v="291002.55000000005"/>
    <n v="6.2238141182379296"/>
  </r>
  <r>
    <x v="5"/>
    <x v="0"/>
    <n v="12179"/>
    <n v="3207.76"/>
    <n v="560354.826"/>
    <n v="3.7967304287103771"/>
  </r>
  <r>
    <x v="6"/>
    <x v="2"/>
    <n v="28125"/>
    <n v="2749.2599999999998"/>
    <n v="537965.34800000011"/>
    <n v="10.230025534143735"/>
  </r>
  <r>
    <x v="7"/>
    <x v="2"/>
    <n v="21159"/>
    <n v="1920.8199999999995"/>
    <n v="375175.46600000013"/>
    <n v="11.015607917451925"/>
  </r>
  <r>
    <x v="8"/>
    <x v="3"/>
    <n v="25536"/>
    <n v="2958.2700000000004"/>
    <n v="530414.59899999993"/>
    <n v="8.6320721232341864"/>
  </r>
  <r>
    <x v="9"/>
    <x v="4"/>
    <n v="18481"/>
    <n v="2613.4500000000012"/>
    <n v="504309.17430000019"/>
    <n v="7.0714955327249394"/>
  </r>
  <r>
    <x v="10"/>
    <x v="2"/>
    <n v="37400"/>
    <n v="3555.2099999999996"/>
    <n v="683856.25509999995"/>
    <n v="10.519772390379192"/>
  </r>
  <r>
    <x v="11"/>
    <x v="4"/>
    <n v="2897"/>
    <n v="229.47999999999996"/>
    <n v="41785.336000000003"/>
    <n v="12.624193829527631"/>
  </r>
  <r>
    <x v="12"/>
    <x v="0"/>
    <n v="18723"/>
    <n v="9121.74"/>
    <n v="1638029.6789999995"/>
    <n v="2.052568917772267"/>
  </r>
  <r>
    <x v="13"/>
    <x v="4"/>
    <n v="15346"/>
    <n v="1888.0299999999995"/>
    <n v="363832.0199999999"/>
    <n v="8.1280488127836978"/>
  </r>
  <r>
    <x v="14"/>
    <x v="4"/>
    <n v="23526"/>
    <n v="3262.7599999999984"/>
    <n v="582035.6399999999"/>
    <n v="7.2104598560727764"/>
  </r>
  <r>
    <x v="15"/>
    <x v="5"/>
    <n v="44720"/>
    <n v="4826.2499999999982"/>
    <n v="865610.804"/>
    <n v="9.265993265993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87D8D1-C832-4D3D-8012-349F1789B275}" name="PivotTable4"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35:B48" firstHeaderRow="1" firstDataRow="1" firstDataCol="1"/>
  <pivotFields count="5">
    <pivotField axis="axisRow" showAll="0">
      <items count="13">
        <item x="0"/>
        <item x="1"/>
        <item x="2"/>
        <item x="3"/>
        <item x="4"/>
        <item x="5"/>
        <item x="6"/>
        <item x="7"/>
        <item x="8"/>
        <item x="9"/>
        <item x="10"/>
        <item x="11"/>
        <item t="default"/>
      </items>
    </pivotField>
    <pivotField showAll="0">
      <items count="9">
        <item h="1" x="2"/>
        <item h="1" x="0"/>
        <item h="1" m="1" x="6"/>
        <item x="3"/>
        <item h="1" m="1" x="5"/>
        <item h="1" x="1"/>
        <item h="1" x="4"/>
        <item h="1" m="1" x="7"/>
        <item t="default"/>
      </items>
    </pivotField>
    <pivotField numFmtId="164" showAll="0"/>
    <pivotField numFmtId="164" showAll="0"/>
    <pivotField dataField="1" numFmtId="43" showAll="0"/>
  </pivotFields>
  <rowFields count="1">
    <field x="0"/>
  </rowFields>
  <rowItems count="13">
    <i>
      <x/>
    </i>
    <i>
      <x v="1"/>
    </i>
    <i>
      <x v="2"/>
    </i>
    <i>
      <x v="3"/>
    </i>
    <i>
      <x v="4"/>
    </i>
    <i>
      <x v="5"/>
    </i>
    <i>
      <x v="6"/>
    </i>
    <i>
      <x v="7"/>
    </i>
    <i>
      <x v="8"/>
    </i>
    <i>
      <x v="9"/>
    </i>
    <i>
      <x v="10"/>
    </i>
    <i>
      <x v="11"/>
    </i>
    <i t="grand">
      <x/>
    </i>
  </rowItems>
  <colItems count="1">
    <i/>
  </colItems>
  <dataFields count="1">
    <dataField name="Sum of Energy" fld="4" baseField="0" baseItem="0" numFmtId="43"/>
  </dataFields>
  <chartFormats count="3">
    <chartFormat chart="7" format="2" series="1">
      <pivotArea type="data" outline="0" fieldPosition="0">
        <references count="1">
          <reference field="4294967294" count="1" selected="0">
            <x v="0"/>
          </reference>
        </references>
      </pivotArea>
    </chartFormat>
    <chartFormat chart="21" format="13" series="1">
      <pivotArea type="data" outline="0" fieldPosition="0">
        <references count="1">
          <reference field="4294967294" count="1" selected="0">
            <x v="0"/>
          </reference>
        </references>
      </pivotArea>
    </chartFormat>
    <chartFormat chart="2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D3369B-23FF-485C-A5CA-1A7AC623CCC8}" name="PivotTable10" cacheId="29"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13">
  <location ref="I21:M35" firstHeaderRow="1" firstDataRow="2" firstDataCol="1"/>
  <pivotFields count="5">
    <pivotField axis="axisRow" showAll="0">
      <items count="13">
        <item x="0"/>
        <item x="1"/>
        <item x="2"/>
        <item x="3"/>
        <item x="4"/>
        <item x="5"/>
        <item x="6"/>
        <item x="7"/>
        <item x="8"/>
        <item x="9"/>
        <item x="10"/>
        <item x="11"/>
        <item t="default"/>
      </items>
    </pivotField>
    <pivotField axis="axisCol" showAll="0">
      <items count="4">
        <item x="1"/>
        <item x="0"/>
        <item x="2"/>
        <item t="default"/>
      </items>
    </pivotField>
    <pivotField numFmtId="164" showAll="0"/>
    <pivotField numFmtId="164" showAll="0"/>
    <pivotField dataField="1" showAll="0">
      <items count="20">
        <item x="17"/>
        <item x="14"/>
        <item x="16"/>
        <item x="12"/>
        <item x="15"/>
        <item x="10"/>
        <item x="11"/>
        <item x="13"/>
        <item x="2"/>
        <item x="0"/>
        <item x="9"/>
        <item x="8"/>
        <item x="1"/>
        <item x="5"/>
        <item x="4"/>
        <item x="3"/>
        <item x="6"/>
        <item x="7"/>
        <item x="18"/>
        <item t="default"/>
      </items>
    </pivotField>
  </pivotFields>
  <rowFields count="1">
    <field x="0"/>
  </rowFields>
  <rowItems count="13">
    <i>
      <x/>
    </i>
    <i>
      <x v="1"/>
    </i>
    <i>
      <x v="2"/>
    </i>
    <i>
      <x v="3"/>
    </i>
    <i>
      <x v="4"/>
    </i>
    <i>
      <x v="5"/>
    </i>
    <i>
      <x v="6"/>
    </i>
    <i>
      <x v="7"/>
    </i>
    <i>
      <x v="8"/>
    </i>
    <i>
      <x v="9"/>
    </i>
    <i>
      <x v="10"/>
    </i>
    <i>
      <x v="11"/>
    </i>
    <i t="grand">
      <x/>
    </i>
  </rowItems>
  <colFields count="1">
    <field x="1"/>
  </colFields>
  <colItems count="4">
    <i>
      <x/>
    </i>
    <i>
      <x v="1"/>
    </i>
    <i>
      <x v="2"/>
    </i>
    <i t="grand">
      <x/>
    </i>
  </colItems>
  <dataFields count="1">
    <dataField name="Sum of Demand" fld="4" baseField="0" baseItem="0"/>
  </dataFields>
  <chartFormats count="3">
    <chartFormat chart="6" format="6" series="1">
      <pivotArea type="data" outline="0" fieldPosition="0">
        <references count="2">
          <reference field="4294967294" count="1" selected="0">
            <x v="0"/>
          </reference>
          <reference field="1" count="1" selected="0">
            <x v="0"/>
          </reference>
        </references>
      </pivotArea>
    </chartFormat>
    <chartFormat chart="6" format="7" series="1">
      <pivotArea type="data" outline="0" fieldPosition="0">
        <references count="2">
          <reference field="4294967294" count="1" selected="0">
            <x v="0"/>
          </reference>
          <reference field="1" count="1" selected="0">
            <x v="1"/>
          </reference>
        </references>
      </pivotArea>
    </chartFormat>
    <chartFormat chart="6" format="8"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F3383B-0E27-425A-8D60-566718C0D05E}" name="PivotTable2"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19:C33" firstHeaderRow="1" firstDataRow="2" firstDataCol="1"/>
  <pivotFields count="5">
    <pivotField axis="axisRow" showAll="0">
      <items count="13">
        <item x="0"/>
        <item x="1"/>
        <item x="2"/>
        <item x="3"/>
        <item x="4"/>
        <item x="5"/>
        <item x="6"/>
        <item x="7"/>
        <item x="8"/>
        <item x="9"/>
        <item x="10"/>
        <item x="11"/>
        <item t="default"/>
      </items>
    </pivotField>
    <pivotField axis="axisCol" showAll="0">
      <items count="9">
        <item h="1" x="2"/>
        <item h="1" x="0"/>
        <item h="1" m="1" x="6"/>
        <item x="3"/>
        <item h="1" m="1" x="5"/>
        <item h="1" x="1"/>
        <item h="1" x="4"/>
        <item h="1" m="1" x="7"/>
        <item t="default"/>
      </items>
    </pivotField>
    <pivotField dataField="1" numFmtId="164" showAll="0"/>
    <pivotField numFmtId="164" showAll="0"/>
    <pivotField numFmtId="43" showAll="0">
      <items count="57">
        <item x="43"/>
        <item x="41"/>
        <item x="39"/>
        <item x="37"/>
        <item x="40"/>
        <item x="15"/>
        <item x="23"/>
        <item x="36"/>
        <item x="38"/>
        <item x="42"/>
        <item x="19"/>
        <item x="12"/>
        <item x="18"/>
        <item x="22"/>
        <item x="16"/>
        <item x="21"/>
        <item x="17"/>
        <item x="20"/>
        <item x="13"/>
        <item x="14"/>
        <item x="50"/>
        <item x="49"/>
        <item x="47"/>
        <item x="51"/>
        <item x="48"/>
        <item x="44"/>
        <item x="55"/>
        <item x="54"/>
        <item x="45"/>
        <item x="52"/>
        <item x="46"/>
        <item x="53"/>
        <item x="24"/>
        <item x="26"/>
        <item x="33"/>
        <item x="34"/>
        <item x="35"/>
        <item x="27"/>
        <item x="25"/>
        <item x="11"/>
        <item x="29"/>
        <item x="28"/>
        <item x="2"/>
        <item x="32"/>
        <item x="1"/>
        <item x="30"/>
        <item x="7"/>
        <item x="10"/>
        <item x="0"/>
        <item x="8"/>
        <item x="31"/>
        <item x="5"/>
        <item x="9"/>
        <item x="4"/>
        <item x="3"/>
        <item x="6"/>
        <item t="default"/>
      </items>
    </pivotField>
  </pivotFields>
  <rowFields count="1">
    <field x="0"/>
  </rowFields>
  <rowItems count="13">
    <i>
      <x/>
    </i>
    <i>
      <x v="1"/>
    </i>
    <i>
      <x v="2"/>
    </i>
    <i>
      <x v="3"/>
    </i>
    <i>
      <x v="4"/>
    </i>
    <i>
      <x v="5"/>
    </i>
    <i>
      <x v="6"/>
    </i>
    <i>
      <x v="7"/>
    </i>
    <i>
      <x v="8"/>
    </i>
    <i>
      <x v="9"/>
    </i>
    <i>
      <x v="10"/>
    </i>
    <i>
      <x v="11"/>
    </i>
    <i t="grand">
      <x/>
    </i>
  </rowItems>
  <colFields count="1">
    <field x="1"/>
  </colFields>
  <colItems count="2">
    <i>
      <x v="3"/>
    </i>
    <i t="grand">
      <x/>
    </i>
  </colItems>
  <dataFields count="1">
    <dataField name="Sum of Quantities" fld="2" baseField="0" baseItem="0" numFmtId="164"/>
  </dataFields>
  <chartFormats count="9">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series="1">
      <pivotArea type="data" outline="0" fieldPosition="0">
        <references count="2">
          <reference field="4294967294" count="1" selected="0">
            <x v="0"/>
          </reference>
          <reference field="1" count="1" selected="0">
            <x v="1"/>
          </reference>
        </references>
      </pivotArea>
    </chartFormat>
    <chartFormat chart="4" format="4" series="1">
      <pivotArea type="data" outline="0" fieldPosition="0">
        <references count="2">
          <reference field="4294967294" count="1" selected="0">
            <x v="0"/>
          </reference>
          <reference field="1" count="1" selected="0">
            <x v="3"/>
          </reference>
        </references>
      </pivotArea>
    </chartFormat>
    <chartFormat chart="4" format="5" series="1">
      <pivotArea type="data" outline="0" fieldPosition="0">
        <references count="2">
          <reference field="4294967294" count="1" selected="0">
            <x v="0"/>
          </reference>
          <reference field="1" count="1" selected="0">
            <x v="5"/>
          </reference>
        </references>
      </pivotArea>
    </chartFormat>
    <chartFormat chart="4" format="6" series="1">
      <pivotArea type="data" outline="0" fieldPosition="0">
        <references count="2">
          <reference field="4294967294" count="1" selected="0">
            <x v="0"/>
          </reference>
          <reference field="1" count="1" selected="0">
            <x v="6"/>
          </reference>
        </references>
      </pivotArea>
    </chartFormat>
    <chartFormat chart="4" format="7"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2338114-3351-4690-AD7A-054190728766}" name="PivotTable12"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I93:N103" firstHeaderRow="1" firstDataRow="2" firstDataCol="1"/>
  <pivotFields count="5">
    <pivotField axis="axisRow" showAll="0">
      <items count="9">
        <item x="4"/>
        <item x="1"/>
        <item x="7"/>
        <item x="2"/>
        <item x="3"/>
        <item x="6"/>
        <item x="5"/>
        <item x="0"/>
        <item t="default"/>
      </items>
    </pivotField>
    <pivotField showAll="0"/>
    <pivotField axis="axisCol" showAll="0">
      <items count="5">
        <item x="0"/>
        <item x="2"/>
        <item x="3"/>
        <item x="1"/>
        <item t="default"/>
      </items>
    </pivotField>
    <pivotField numFmtId="164" showAll="0"/>
    <pivotField dataField="1" numFmtId="164" showAll="0"/>
  </pivotFields>
  <rowFields count="1">
    <field x="0"/>
  </rowFields>
  <rowItems count="9">
    <i>
      <x/>
    </i>
    <i>
      <x v="1"/>
    </i>
    <i>
      <x v="2"/>
    </i>
    <i>
      <x v="3"/>
    </i>
    <i>
      <x v="4"/>
    </i>
    <i>
      <x v="5"/>
    </i>
    <i>
      <x v="6"/>
    </i>
    <i>
      <x v="7"/>
    </i>
    <i t="grand">
      <x/>
    </i>
  </rowItems>
  <colFields count="1">
    <field x="2"/>
  </colFields>
  <colItems count="5">
    <i>
      <x/>
    </i>
    <i>
      <x v="1"/>
    </i>
    <i>
      <x v="2"/>
    </i>
    <i>
      <x v="3"/>
    </i>
    <i t="grand">
      <x/>
    </i>
  </colItems>
  <dataFields count="1">
    <dataField name="Sum of Charge" fld="4" baseField="0" baseItem="0" numFmtId="164"/>
  </dataFields>
  <chartFormats count="4">
    <chartFormat chart="4" format="8" series="1">
      <pivotArea type="data" outline="0" fieldPosition="0">
        <references count="2">
          <reference field="4294967294" count="1" selected="0">
            <x v="0"/>
          </reference>
          <reference field="2" count="1" selected="0">
            <x v="0"/>
          </reference>
        </references>
      </pivotArea>
    </chartFormat>
    <chartFormat chart="4" format="9" series="1">
      <pivotArea type="data" outline="0" fieldPosition="0">
        <references count="2">
          <reference field="4294967294" count="1" selected="0">
            <x v="0"/>
          </reference>
          <reference field="2" count="1" selected="0">
            <x v="1"/>
          </reference>
        </references>
      </pivotArea>
    </chartFormat>
    <chartFormat chart="4" format="10" series="1">
      <pivotArea type="data" outline="0" fieldPosition="0">
        <references count="2">
          <reference field="4294967294" count="1" selected="0">
            <x v="0"/>
          </reference>
          <reference field="2" count="1" selected="0">
            <x v="2"/>
          </reference>
        </references>
      </pivotArea>
    </chartFormat>
    <chartFormat chart="4" format="11"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0EC0D96-6982-424B-8F98-96D103A9CBFB}" name="PivotTable5"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I74:L89" firstHeaderRow="1" firstDataRow="3" firstDataCol="1"/>
  <pivotFields count="4">
    <pivotField axis="axisRow" showAll="0">
      <items count="13">
        <item x="0"/>
        <item x="1"/>
        <item x="2"/>
        <item x="3"/>
        <item x="4"/>
        <item x="5"/>
        <item x="6"/>
        <item x="7"/>
        <item x="8"/>
        <item x="9"/>
        <item x="10"/>
        <item x="11"/>
        <item t="default"/>
      </items>
    </pivotField>
    <pivotField axis="axisCol" showAll="0">
      <items count="3">
        <item x="0"/>
        <item x="1"/>
        <item t="default"/>
      </items>
    </pivotField>
    <pivotField axis="axisCol" showAll="0">
      <items count="5">
        <item h="1" x="1"/>
        <item h="1" x="3"/>
        <item x="2"/>
        <item h="1" x="0"/>
        <item t="default"/>
      </items>
    </pivotField>
    <pivotField dataField="1" numFmtId="43" showAll="0"/>
  </pivotFields>
  <rowFields count="1">
    <field x="0"/>
  </rowFields>
  <rowItems count="13">
    <i>
      <x/>
    </i>
    <i>
      <x v="1"/>
    </i>
    <i>
      <x v="2"/>
    </i>
    <i>
      <x v="3"/>
    </i>
    <i>
      <x v="4"/>
    </i>
    <i>
      <x v="5"/>
    </i>
    <i>
      <x v="6"/>
    </i>
    <i>
      <x v="7"/>
    </i>
    <i>
      <x v="8"/>
    </i>
    <i>
      <x v="9"/>
    </i>
    <i>
      <x v="10"/>
    </i>
    <i>
      <x v="11"/>
    </i>
    <i t="grand">
      <x/>
    </i>
  </rowItems>
  <colFields count="2">
    <field x="1"/>
    <field x="2"/>
  </colFields>
  <colItems count="3">
    <i>
      <x/>
      <x v="2"/>
    </i>
    <i t="default">
      <x/>
    </i>
    <i t="grand">
      <x/>
    </i>
  </colItems>
  <dataFields count="1">
    <dataField name="Sum of Quantity" fld="3" baseField="0" baseItem="0" numFmtId="43"/>
  </dataFields>
  <chartFormats count="20">
    <chartFormat chart="0" format="0" series="1">
      <pivotArea type="data" outline="0" fieldPosition="0">
        <references count="3">
          <reference field="4294967294" count="1" selected="0">
            <x v="0"/>
          </reference>
          <reference field="1" count="1" selected="0">
            <x v="0"/>
          </reference>
          <reference field="2" count="1" selected="0">
            <x v="0"/>
          </reference>
        </references>
      </pivotArea>
    </chartFormat>
    <chartFormat chart="0" format="1" series="1">
      <pivotArea type="data" outline="0" fieldPosition="0">
        <references count="3">
          <reference field="4294967294" count="1" selected="0">
            <x v="0"/>
          </reference>
          <reference field="1" count="1" selected="0">
            <x v="0"/>
          </reference>
          <reference field="2" count="1" selected="0">
            <x v="2"/>
          </reference>
        </references>
      </pivotArea>
    </chartFormat>
    <chartFormat chart="0" format="2" series="1">
      <pivotArea type="data" outline="0" fieldPosition="0">
        <references count="3">
          <reference field="4294967294" count="1" selected="0">
            <x v="0"/>
          </reference>
          <reference field="1" count="1" selected="0">
            <x v="0"/>
          </reference>
          <reference field="2" count="1" selected="0">
            <x v="3"/>
          </reference>
        </references>
      </pivotArea>
    </chartFormat>
    <chartFormat chart="0" format="3" series="1">
      <pivotArea type="data" outline="0" fieldPosition="0">
        <references count="3">
          <reference field="4294967294" count="1" selected="0">
            <x v="0"/>
          </reference>
          <reference field="1" count="1" selected="0">
            <x v="1"/>
          </reference>
          <reference field="2" count="1" selected="0">
            <x v="1"/>
          </reference>
        </references>
      </pivotArea>
    </chartFormat>
    <chartFormat chart="2" format="4" series="1">
      <pivotArea type="data" outline="0" fieldPosition="0">
        <references count="3">
          <reference field="4294967294" count="1" selected="0">
            <x v="0"/>
          </reference>
          <reference field="1" count="1" selected="0">
            <x v="0"/>
          </reference>
          <reference field="2" count="1" selected="0">
            <x v="0"/>
          </reference>
        </references>
      </pivotArea>
    </chartFormat>
    <chartFormat chart="2" format="5" series="1">
      <pivotArea type="data" outline="0" fieldPosition="0">
        <references count="3">
          <reference field="4294967294" count="1" selected="0">
            <x v="0"/>
          </reference>
          <reference field="1" count="1" selected="0">
            <x v="0"/>
          </reference>
          <reference field="2" count="1" selected="0">
            <x v="2"/>
          </reference>
        </references>
      </pivotArea>
    </chartFormat>
    <chartFormat chart="2" format="6" series="1">
      <pivotArea type="data" outline="0" fieldPosition="0">
        <references count="3">
          <reference field="4294967294" count="1" selected="0">
            <x v="0"/>
          </reference>
          <reference field="1" count="1" selected="0">
            <x v="0"/>
          </reference>
          <reference field="2" count="1" selected="0">
            <x v="3"/>
          </reference>
        </references>
      </pivotArea>
    </chartFormat>
    <chartFormat chart="2" format="7" series="1">
      <pivotArea type="data" outline="0" fieldPosition="0">
        <references count="3">
          <reference field="4294967294" count="1" selected="0">
            <x v="0"/>
          </reference>
          <reference field="1" count="1" selected="0">
            <x v="1"/>
          </reference>
          <reference field="2" count="1" selected="0">
            <x v="1"/>
          </reference>
        </references>
      </pivotArea>
    </chartFormat>
    <chartFormat chart="3" format="8" series="1">
      <pivotArea type="data" outline="0" fieldPosition="0">
        <references count="3">
          <reference field="4294967294" count="1" selected="0">
            <x v="0"/>
          </reference>
          <reference field="1" count="1" selected="0">
            <x v="0"/>
          </reference>
          <reference field="2" count="1" selected="0">
            <x v="0"/>
          </reference>
        </references>
      </pivotArea>
    </chartFormat>
    <chartFormat chart="3" format="9" series="1">
      <pivotArea type="data" outline="0" fieldPosition="0">
        <references count="3">
          <reference field="4294967294" count="1" selected="0">
            <x v="0"/>
          </reference>
          <reference field="1" count="1" selected="0">
            <x v="0"/>
          </reference>
          <reference field="2" count="1" selected="0">
            <x v="2"/>
          </reference>
        </references>
      </pivotArea>
    </chartFormat>
    <chartFormat chart="3" format="10" series="1">
      <pivotArea type="data" outline="0" fieldPosition="0">
        <references count="3">
          <reference field="4294967294" count="1" selected="0">
            <x v="0"/>
          </reference>
          <reference field="1" count="1" selected="0">
            <x v="0"/>
          </reference>
          <reference field="2" count="1" selected="0">
            <x v="3"/>
          </reference>
        </references>
      </pivotArea>
    </chartFormat>
    <chartFormat chart="3" format="11" series="1">
      <pivotArea type="data" outline="0" fieldPosition="0">
        <references count="3">
          <reference field="4294967294" count="1" selected="0">
            <x v="0"/>
          </reference>
          <reference field="1" count="1" selected="0">
            <x v="1"/>
          </reference>
          <reference field="2" count="1" selected="0">
            <x v="1"/>
          </reference>
        </references>
      </pivotArea>
    </chartFormat>
    <chartFormat chart="4" format="8" series="1">
      <pivotArea type="data" outline="0" fieldPosition="0">
        <references count="3">
          <reference field="4294967294" count="1" selected="0">
            <x v="0"/>
          </reference>
          <reference field="1" count="1" selected="0">
            <x v="0"/>
          </reference>
          <reference field="2" count="1" selected="0">
            <x v="0"/>
          </reference>
        </references>
      </pivotArea>
    </chartFormat>
    <chartFormat chart="4" format="9" series="1">
      <pivotArea type="data" outline="0" fieldPosition="0">
        <references count="3">
          <reference field="4294967294" count="1" selected="0">
            <x v="0"/>
          </reference>
          <reference field="1" count="1" selected="0">
            <x v="0"/>
          </reference>
          <reference field="2" count="1" selected="0">
            <x v="2"/>
          </reference>
        </references>
      </pivotArea>
    </chartFormat>
    <chartFormat chart="4" format="10" series="1">
      <pivotArea type="data" outline="0" fieldPosition="0">
        <references count="3">
          <reference field="4294967294" count="1" selected="0">
            <x v="0"/>
          </reference>
          <reference field="1" count="1" selected="0">
            <x v="0"/>
          </reference>
          <reference field="2" count="1" selected="0">
            <x v="3"/>
          </reference>
        </references>
      </pivotArea>
    </chartFormat>
    <chartFormat chart="4" format="11" series="1">
      <pivotArea type="data" outline="0" fieldPosition="0">
        <references count="3">
          <reference field="4294967294" count="1" selected="0">
            <x v="0"/>
          </reference>
          <reference field="1" count="1" selected="0">
            <x v="1"/>
          </reference>
          <reference field="2" count="1" selected="0">
            <x v="1"/>
          </reference>
        </references>
      </pivotArea>
    </chartFormat>
    <chartFormat chart="4" format="12" series="1">
      <pivotArea type="data" outline="0" fieldPosition="0">
        <references count="1">
          <reference field="4294967294" count="1" selected="0">
            <x v="0"/>
          </reference>
        </references>
      </pivotArea>
    </chartFormat>
    <chartFormat chart="3" format="12"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A290148-42B0-462F-979D-C8C90BFBB6C2}" name="PivotTable7"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O3:S17" firstHeaderRow="1" firstDataRow="2" firstDataCol="1"/>
  <pivotFields count="4">
    <pivotField axis="axisRow" showAll="0">
      <items count="13">
        <item x="0"/>
        <item x="1"/>
        <item x="2"/>
        <item x="3"/>
        <item x="4"/>
        <item x="5"/>
        <item x="6"/>
        <item x="7"/>
        <item x="8"/>
        <item x="9"/>
        <item x="10"/>
        <item x="11"/>
        <item t="default"/>
      </items>
    </pivotField>
    <pivotField axis="axisCol" showAll="0">
      <items count="4">
        <item x="1"/>
        <item x="0"/>
        <item x="2"/>
        <item t="default"/>
      </items>
    </pivotField>
    <pivotField numFmtId="164" showAll="0"/>
    <pivotField dataField="1" numFmtId="164" showAll="0"/>
  </pivotFields>
  <rowFields count="1">
    <field x="0"/>
  </rowFields>
  <rowItems count="13">
    <i>
      <x/>
    </i>
    <i>
      <x v="1"/>
    </i>
    <i>
      <x v="2"/>
    </i>
    <i>
      <x v="3"/>
    </i>
    <i>
      <x v="4"/>
    </i>
    <i>
      <x v="5"/>
    </i>
    <i>
      <x v="6"/>
    </i>
    <i>
      <x v="7"/>
    </i>
    <i>
      <x v="8"/>
    </i>
    <i>
      <x v="9"/>
    </i>
    <i>
      <x v="10"/>
    </i>
    <i>
      <x v="11"/>
    </i>
    <i t="grand">
      <x/>
    </i>
  </rowItems>
  <colFields count="1">
    <field x="1"/>
  </colFields>
  <colItems count="4">
    <i>
      <x/>
    </i>
    <i>
      <x v="1"/>
    </i>
    <i>
      <x v="2"/>
    </i>
    <i t="grand">
      <x/>
    </i>
  </colItems>
  <dataFields count="1">
    <dataField name="Sum of Costs" fld="3" baseField="0" baseItem="0" numFmtId="164"/>
  </dataFields>
  <chartFormats count="3">
    <chartFormat chart="3" format="6" series="1">
      <pivotArea type="data" outline="0" fieldPosition="0">
        <references count="2">
          <reference field="4294967294" count="1" selected="0">
            <x v="0"/>
          </reference>
          <reference field="1" count="1" selected="0">
            <x v="0"/>
          </reference>
        </references>
      </pivotArea>
    </chartFormat>
    <chartFormat chart="3" format="7" series="1">
      <pivotArea type="data" outline="0" fieldPosition="0">
        <references count="2">
          <reference field="4294967294" count="1" selected="0">
            <x v="0"/>
          </reference>
          <reference field="1" count="1" selected="0">
            <x v="1"/>
          </reference>
        </references>
      </pivotArea>
    </chartFormat>
    <chartFormat chart="3" format="8"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A289CB7-32A7-4AED-907E-6734937955DB}" name="PivotTable13"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Q93:V103" firstHeaderRow="1" firstDataRow="2" firstDataCol="1"/>
  <pivotFields count="5">
    <pivotField axis="axisRow" showAll="0">
      <items count="9">
        <item x="4"/>
        <item x="1"/>
        <item x="7"/>
        <item x="2"/>
        <item x="3"/>
        <item x="6"/>
        <item x="5"/>
        <item x="0"/>
        <item t="default"/>
      </items>
    </pivotField>
    <pivotField showAll="0"/>
    <pivotField axis="axisCol" showAll="0">
      <items count="5">
        <item x="0"/>
        <item x="2"/>
        <item x="3"/>
        <item x="1"/>
        <item t="default"/>
      </items>
    </pivotField>
    <pivotField dataField="1" numFmtId="164" showAll="0"/>
    <pivotField numFmtId="164" showAll="0"/>
  </pivotFields>
  <rowFields count="1">
    <field x="0"/>
  </rowFields>
  <rowItems count="9">
    <i>
      <x/>
    </i>
    <i>
      <x v="1"/>
    </i>
    <i>
      <x v="2"/>
    </i>
    <i>
      <x v="3"/>
    </i>
    <i>
      <x v="4"/>
    </i>
    <i>
      <x v="5"/>
    </i>
    <i>
      <x v="6"/>
    </i>
    <i>
      <x v="7"/>
    </i>
    <i t="grand">
      <x/>
    </i>
  </rowItems>
  <colFields count="1">
    <field x="2"/>
  </colFields>
  <colItems count="5">
    <i>
      <x/>
    </i>
    <i>
      <x v="1"/>
    </i>
    <i>
      <x v="2"/>
    </i>
    <i>
      <x v="3"/>
    </i>
    <i t="grand">
      <x/>
    </i>
  </colItems>
  <dataFields count="1">
    <dataField name="Sum of Consumption" fld="3" baseField="0" baseItem="0" numFmtId="164"/>
  </dataFields>
  <chartFormats count="4">
    <chartFormat chart="3" format="8" series="1">
      <pivotArea type="data" outline="0" fieldPosition="0">
        <references count="2">
          <reference field="4294967294" count="1" selected="0">
            <x v="0"/>
          </reference>
          <reference field="2" count="1" selected="0">
            <x v="0"/>
          </reference>
        </references>
      </pivotArea>
    </chartFormat>
    <chartFormat chart="3" format="9" series="1">
      <pivotArea type="data" outline="0" fieldPosition="0">
        <references count="2">
          <reference field="4294967294" count="1" selected="0">
            <x v="0"/>
          </reference>
          <reference field="2" count="1" selected="0">
            <x v="1"/>
          </reference>
        </references>
      </pivotArea>
    </chartFormat>
    <chartFormat chart="3" format="10" series="1">
      <pivotArea type="data" outline="0" fieldPosition="0">
        <references count="2">
          <reference field="4294967294" count="1" selected="0">
            <x v="0"/>
          </reference>
          <reference field="2" count="1" selected="0">
            <x v="2"/>
          </reference>
        </references>
      </pivotArea>
    </chartFormat>
    <chartFormat chart="3" format="11"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B9FBCFE-A75F-44D7-A825-F9F3C53E3B68}" name="PivotTable1"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3:B16" firstHeaderRow="1" firstDataRow="1" firstDataCol="1"/>
  <pivotFields count="5">
    <pivotField axis="axisRow" showAll="0">
      <items count="13">
        <item x="0"/>
        <item x="1"/>
        <item x="2"/>
        <item x="3"/>
        <item x="4"/>
        <item x="5"/>
        <item x="6"/>
        <item x="7"/>
        <item x="8"/>
        <item x="9"/>
        <item x="10"/>
        <item x="11"/>
        <item t="default"/>
      </items>
    </pivotField>
    <pivotField showAll="0">
      <items count="9">
        <item h="1" x="2"/>
        <item h="1" x="0"/>
        <item h="1" m="1" x="6"/>
        <item x="3"/>
        <item h="1" m="1" x="5"/>
        <item h="1" x="1"/>
        <item h="1" x="4"/>
        <item h="1" m="1" x="7"/>
        <item t="default"/>
      </items>
    </pivotField>
    <pivotField numFmtId="164" showAll="0"/>
    <pivotField dataField="1" numFmtId="164" showAll="0"/>
    <pivotField numFmtId="43" showAll="0"/>
  </pivotFields>
  <rowFields count="1">
    <field x="0"/>
  </rowFields>
  <rowItems count="13">
    <i>
      <x/>
    </i>
    <i>
      <x v="1"/>
    </i>
    <i>
      <x v="2"/>
    </i>
    <i>
      <x v="3"/>
    </i>
    <i>
      <x v="4"/>
    </i>
    <i>
      <x v="5"/>
    </i>
    <i>
      <x v="6"/>
    </i>
    <i>
      <x v="7"/>
    </i>
    <i>
      <x v="8"/>
    </i>
    <i>
      <x v="9"/>
    </i>
    <i>
      <x v="10"/>
    </i>
    <i>
      <x v="11"/>
    </i>
    <i t="grand">
      <x/>
    </i>
  </rowItems>
  <colItems count="1">
    <i/>
  </colItems>
  <dataFields count="1">
    <dataField name="Sum of Costs" fld="3" baseField="0" baseItem="0" numFmtId="164"/>
  </dataFields>
  <chartFormats count="2">
    <chartFormat chart="11" format="9" series="1">
      <pivotArea type="data" outline="0" fieldPosition="0">
        <references count="1">
          <reference field="4294967294" count="1" selected="0">
            <x v="0"/>
          </reference>
        </references>
      </pivotArea>
    </chartFormat>
    <chartFormat chart="4" format="3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145BCD3-C7C3-4CAB-A935-8CDE78F455D9}" name="PivotTable6"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I3:M17" firstHeaderRow="1" firstDataRow="2" firstDataCol="1"/>
  <pivotFields count="4">
    <pivotField axis="axisRow" showAll="0">
      <items count="13">
        <item x="0"/>
        <item x="1"/>
        <item x="2"/>
        <item x="3"/>
        <item x="4"/>
        <item x="5"/>
        <item x="6"/>
        <item x="7"/>
        <item x="8"/>
        <item x="9"/>
        <item x="10"/>
        <item x="11"/>
        <item t="default"/>
      </items>
    </pivotField>
    <pivotField axis="axisCol" showAll="0">
      <items count="4">
        <item x="1"/>
        <item x="0"/>
        <item x="2"/>
        <item t="default"/>
      </items>
    </pivotField>
    <pivotField dataField="1" numFmtId="164" showAll="0"/>
    <pivotField numFmtId="164" showAll="0"/>
  </pivotFields>
  <rowFields count="1">
    <field x="0"/>
  </rowFields>
  <rowItems count="13">
    <i>
      <x/>
    </i>
    <i>
      <x v="1"/>
    </i>
    <i>
      <x v="2"/>
    </i>
    <i>
      <x v="3"/>
    </i>
    <i>
      <x v="4"/>
    </i>
    <i>
      <x v="5"/>
    </i>
    <i>
      <x v="6"/>
    </i>
    <i>
      <x v="7"/>
    </i>
    <i>
      <x v="8"/>
    </i>
    <i>
      <x v="9"/>
    </i>
    <i>
      <x v="10"/>
    </i>
    <i>
      <x v="11"/>
    </i>
    <i t="grand">
      <x/>
    </i>
  </rowItems>
  <colFields count="1">
    <field x="1"/>
  </colFields>
  <colItems count="4">
    <i>
      <x/>
    </i>
    <i>
      <x v="1"/>
    </i>
    <i>
      <x v="2"/>
    </i>
    <i t="grand">
      <x/>
    </i>
  </colItems>
  <dataFields count="1">
    <dataField name="Sum of Quantities" fld="2" baseField="0" baseItem="0" numFmtId="164"/>
  </dataFields>
  <chartFormats count="3">
    <chartFormat chart="4" format="6" series="1">
      <pivotArea type="data" outline="0" fieldPosition="0">
        <references count="2">
          <reference field="4294967294" count="1" selected="0">
            <x v="0"/>
          </reference>
          <reference field="1" count="1" selected="0">
            <x v="0"/>
          </reference>
        </references>
      </pivotArea>
    </chartFormat>
    <chartFormat chart="4" format="7" series="1">
      <pivotArea type="data" outline="0" fieldPosition="0">
        <references count="2">
          <reference field="4294967294" count="1" selected="0">
            <x v="0"/>
          </reference>
          <reference field="1" count="1" selected="0">
            <x v="1"/>
          </reference>
        </references>
      </pivotArea>
    </chartFormat>
    <chartFormat chart="4" format="8"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CD386EE-EFCB-4A63-9323-0238F7DAAE07}" name="PivotTable11"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I38:K52" firstHeaderRow="1" firstDataRow="2" firstDataCol="1"/>
  <pivotFields count="3">
    <pivotField axis="axisRow" showAll="0">
      <items count="14">
        <item x="0"/>
        <item x="1"/>
        <item x="2"/>
        <item x="3"/>
        <item x="4"/>
        <item x="5"/>
        <item x="6"/>
        <item x="7"/>
        <item x="8"/>
        <item x="9"/>
        <item x="10"/>
        <item x="11"/>
        <item m="1" x="12"/>
        <item t="default"/>
      </items>
    </pivotField>
    <pivotField axis="axisCol" showAll="0">
      <items count="8">
        <item h="1" x="4"/>
        <item h="1" x="2"/>
        <item x="1"/>
        <item h="1" x="0"/>
        <item h="1" x="3"/>
        <item h="1" m="1" x="6"/>
        <item h="1" x="5"/>
        <item t="default"/>
      </items>
    </pivotField>
    <pivotField dataField="1" showAll="0"/>
  </pivotFields>
  <rowFields count="1">
    <field x="0"/>
  </rowFields>
  <rowItems count="13">
    <i>
      <x/>
    </i>
    <i>
      <x v="1"/>
    </i>
    <i>
      <x v="2"/>
    </i>
    <i>
      <x v="3"/>
    </i>
    <i>
      <x v="4"/>
    </i>
    <i>
      <x v="5"/>
    </i>
    <i>
      <x v="6"/>
    </i>
    <i>
      <x v="7"/>
    </i>
    <i>
      <x v="8"/>
    </i>
    <i>
      <x v="9"/>
    </i>
    <i>
      <x v="10"/>
    </i>
    <i>
      <x v="11"/>
    </i>
    <i t="grand">
      <x/>
    </i>
  </rowItems>
  <colFields count="1">
    <field x="1"/>
  </colFields>
  <colItems count="2">
    <i>
      <x v="2"/>
    </i>
    <i t="grand">
      <x/>
    </i>
  </colItems>
  <dataFields count="1">
    <dataField name="Sum of Quantity" fld="2" baseField="0" baseItem="0" numFmtId="164"/>
  </dataFields>
  <formats count="1">
    <format dxfId="31">
      <pivotArea outline="0" collapsedLevelsAreSubtotals="1" fieldPosition="0"/>
    </format>
  </formats>
  <chartFormats count="18">
    <chartFormat chart="3" format="6" series="1">
      <pivotArea type="data" outline="0" fieldPosition="0">
        <references count="2">
          <reference field="4294967294" count="1" selected="0">
            <x v="0"/>
          </reference>
          <reference field="1" count="1" selected="0">
            <x v="0"/>
          </reference>
        </references>
      </pivotArea>
    </chartFormat>
    <chartFormat chart="3" format="7" series="1">
      <pivotArea type="data" outline="0" fieldPosition="0">
        <references count="2">
          <reference field="4294967294" count="1" selected="0">
            <x v="0"/>
          </reference>
          <reference field="1" count="1" selected="0">
            <x v="1"/>
          </reference>
        </references>
      </pivotArea>
    </chartFormat>
    <chartFormat chart="3" format="8" series="1">
      <pivotArea type="data" outline="0" fieldPosition="0">
        <references count="2">
          <reference field="4294967294" count="1" selected="0">
            <x v="0"/>
          </reference>
          <reference field="1" count="1" selected="0">
            <x v="2"/>
          </reference>
        </references>
      </pivotArea>
    </chartFormat>
    <chartFormat chart="3" format="9" series="1">
      <pivotArea type="data" outline="0" fieldPosition="0">
        <references count="2">
          <reference field="4294967294" count="1" selected="0">
            <x v="0"/>
          </reference>
          <reference field="1" count="1" selected="0">
            <x v="3"/>
          </reference>
        </references>
      </pivotArea>
    </chartFormat>
    <chartFormat chart="3" format="10" series="1">
      <pivotArea type="data" outline="0" fieldPosition="0">
        <references count="2">
          <reference field="4294967294" count="1" selected="0">
            <x v="0"/>
          </reference>
          <reference field="1" count="1" selected="0">
            <x v="4"/>
          </reference>
        </references>
      </pivotArea>
    </chartFormat>
    <chartFormat chart="3" format="11" series="1">
      <pivotArea type="data" outline="0" fieldPosition="0">
        <references count="2">
          <reference field="4294967294" count="1" selected="0">
            <x v="0"/>
          </reference>
          <reference field="1" count="1" selected="0">
            <x v="6"/>
          </reference>
        </references>
      </pivotArea>
    </chartFormat>
    <chartFormat chart="4" format="12" series="1">
      <pivotArea type="data" outline="0" fieldPosition="0">
        <references count="2">
          <reference field="4294967294" count="1" selected="0">
            <x v="0"/>
          </reference>
          <reference field="1" count="1" selected="0">
            <x v="0"/>
          </reference>
        </references>
      </pivotArea>
    </chartFormat>
    <chartFormat chart="4" format="13" series="1">
      <pivotArea type="data" outline="0" fieldPosition="0">
        <references count="2">
          <reference field="4294967294" count="1" selected="0">
            <x v="0"/>
          </reference>
          <reference field="1" count="1" selected="0">
            <x v="1"/>
          </reference>
        </references>
      </pivotArea>
    </chartFormat>
    <chartFormat chart="4" format="14" series="1">
      <pivotArea type="data" outline="0" fieldPosition="0">
        <references count="2">
          <reference field="4294967294" count="1" selected="0">
            <x v="0"/>
          </reference>
          <reference field="1" count="1" selected="0">
            <x v="2"/>
          </reference>
        </references>
      </pivotArea>
    </chartFormat>
    <chartFormat chart="4" format="15" series="1">
      <pivotArea type="data" outline="0" fieldPosition="0">
        <references count="2">
          <reference field="4294967294" count="1" selected="0">
            <x v="0"/>
          </reference>
          <reference field="1" count="1" selected="0">
            <x v="3"/>
          </reference>
        </references>
      </pivotArea>
    </chartFormat>
    <chartFormat chart="4" format="16" series="1">
      <pivotArea type="data" outline="0" fieldPosition="0">
        <references count="2">
          <reference field="4294967294" count="1" selected="0">
            <x v="0"/>
          </reference>
          <reference field="1" count="1" selected="0">
            <x v="4"/>
          </reference>
        </references>
      </pivotArea>
    </chartFormat>
    <chartFormat chart="4" format="17" series="1">
      <pivotArea type="data" outline="0" fieldPosition="0">
        <references count="2">
          <reference field="4294967294" count="1" selected="0">
            <x v="0"/>
          </reference>
          <reference field="1" count="1" selected="0">
            <x v="6"/>
          </reference>
        </references>
      </pivotArea>
    </chartFormat>
    <chartFormat chart="5" format="12" series="1">
      <pivotArea type="data" outline="0" fieldPosition="0">
        <references count="2">
          <reference field="4294967294" count="1" selected="0">
            <x v="0"/>
          </reference>
          <reference field="1" count="1" selected="0">
            <x v="0"/>
          </reference>
        </references>
      </pivotArea>
    </chartFormat>
    <chartFormat chart="5" format="13" series="1">
      <pivotArea type="data" outline="0" fieldPosition="0">
        <references count="2">
          <reference field="4294967294" count="1" selected="0">
            <x v="0"/>
          </reference>
          <reference field="1" count="1" selected="0">
            <x v="1"/>
          </reference>
        </references>
      </pivotArea>
    </chartFormat>
    <chartFormat chart="5" format="14" series="1">
      <pivotArea type="data" outline="0" fieldPosition="0">
        <references count="2">
          <reference field="4294967294" count="1" selected="0">
            <x v="0"/>
          </reference>
          <reference field="1" count="1" selected="0">
            <x v="2"/>
          </reference>
        </references>
      </pivotArea>
    </chartFormat>
    <chartFormat chart="5" format="15" series="1">
      <pivotArea type="data" outline="0" fieldPosition="0">
        <references count="2">
          <reference field="4294967294" count="1" selected="0">
            <x v="0"/>
          </reference>
          <reference field="1" count="1" selected="0">
            <x v="3"/>
          </reference>
        </references>
      </pivotArea>
    </chartFormat>
    <chartFormat chart="5" format="16" series="1">
      <pivotArea type="data" outline="0" fieldPosition="0">
        <references count="2">
          <reference field="4294967294" count="1" selected="0">
            <x v="0"/>
          </reference>
          <reference field="1" count="1" selected="0">
            <x v="4"/>
          </reference>
        </references>
      </pivotArea>
    </chartFormat>
    <chartFormat chart="5" format="17"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E457197-E285-434B-8CA8-A3CB28C53F8D}" name="PivotTable3"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I56:L70" firstHeaderRow="1" firstDataRow="2" firstDataCol="1"/>
  <pivotFields count="3">
    <pivotField axis="axisRow" showAll="0">
      <items count="13">
        <item x="0"/>
        <item x="1"/>
        <item x="2"/>
        <item x="3"/>
        <item x="4"/>
        <item x="5"/>
        <item x="6"/>
        <item x="7"/>
        <item x="8"/>
        <item x="9"/>
        <item x="10"/>
        <item x="11"/>
        <item t="default"/>
      </items>
    </pivotField>
    <pivotField axis="axisCol" showAll="0">
      <items count="4">
        <item x="1"/>
        <item x="0"/>
        <item m="1" x="2"/>
        <item t="default"/>
      </items>
    </pivotField>
    <pivotField dataField="1" numFmtId="43" showAll="0"/>
  </pivotFields>
  <rowFields count="1">
    <field x="0"/>
  </rowFields>
  <rowItems count="13">
    <i>
      <x/>
    </i>
    <i>
      <x v="1"/>
    </i>
    <i>
      <x v="2"/>
    </i>
    <i>
      <x v="3"/>
    </i>
    <i>
      <x v="4"/>
    </i>
    <i>
      <x v="5"/>
    </i>
    <i>
      <x v="6"/>
    </i>
    <i>
      <x v="7"/>
    </i>
    <i>
      <x v="8"/>
    </i>
    <i>
      <x v="9"/>
    </i>
    <i>
      <x v="10"/>
    </i>
    <i>
      <x v="11"/>
    </i>
    <i t="grand">
      <x/>
    </i>
  </rowItems>
  <colFields count="1">
    <field x="1"/>
  </colFields>
  <colItems count="3">
    <i>
      <x/>
    </i>
    <i>
      <x v="1"/>
    </i>
    <i t="grand">
      <x/>
    </i>
  </colItems>
  <dataFields count="1">
    <dataField name="Sum of Quantity" fld="2" baseField="0" baseItem="0" numFmtId="43"/>
  </dataFields>
  <chartFormats count="2">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FB0A3C7-8610-4422-93E7-BA8E8D889FB6}" name="PivotTable1"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C17" firstHeaderRow="1" firstDataRow="2" firstDataCol="1"/>
  <pivotFields count="5">
    <pivotField axis="axisRow" showAll="0">
      <items count="13">
        <item x="0"/>
        <item x="1"/>
        <item x="2"/>
        <item x="3"/>
        <item x="4"/>
        <item x="5"/>
        <item x="6"/>
        <item x="7"/>
        <item x="8"/>
        <item x="9"/>
        <item x="10"/>
        <item x="11"/>
        <item t="default"/>
      </items>
    </pivotField>
    <pivotField axis="axisCol" showAll="0">
      <items count="18">
        <item h="1" x="16"/>
        <item x="0"/>
        <item h="1" x="1"/>
        <item h="1" x="2"/>
        <item h="1" x="3"/>
        <item h="1" x="4"/>
        <item h="1" x="5"/>
        <item h="1" x="6"/>
        <item h="1" x="7"/>
        <item h="1" x="8"/>
        <item h="1" x="9"/>
        <item h="1" x="10"/>
        <item h="1" x="11"/>
        <item h="1" x="12"/>
        <item h="1" x="13"/>
        <item h="1" x="14"/>
        <item h="1" x="15"/>
        <item t="default"/>
      </items>
    </pivotField>
    <pivotField dataField="1" showAll="0"/>
    <pivotField showAll="0">
      <items count="3">
        <item x="0"/>
        <item x="1"/>
        <item t="default"/>
      </items>
    </pivotField>
    <pivotField showAll="0">
      <items count="195">
        <item x="60"/>
        <item x="130"/>
        <item x="93"/>
        <item x="133"/>
        <item x="85"/>
        <item x="89"/>
        <item x="131"/>
        <item x="134"/>
        <item x="132"/>
        <item x="48"/>
        <item x="58"/>
        <item x="57"/>
        <item x="129"/>
        <item x="90"/>
        <item x="80"/>
        <item x="112"/>
        <item x="151"/>
        <item x="162"/>
        <item x="156"/>
        <item x="78"/>
        <item x="74"/>
        <item x="121"/>
        <item x="149"/>
        <item x="101"/>
        <item x="104"/>
        <item x="152"/>
        <item x="105"/>
        <item x="92"/>
        <item x="82"/>
        <item x="109"/>
        <item x="26"/>
        <item x="59"/>
        <item x="158"/>
        <item x="117"/>
        <item x="55"/>
        <item x="40"/>
        <item x="51"/>
        <item x="146"/>
        <item x="49"/>
        <item x="163"/>
        <item x="53"/>
        <item x="153"/>
        <item x="147"/>
        <item x="54"/>
        <item x="71"/>
        <item x="166"/>
        <item x="150"/>
        <item x="154"/>
        <item x="9"/>
        <item x="111"/>
        <item x="96"/>
        <item x="103"/>
        <item x="114"/>
        <item x="113"/>
        <item x="180"/>
        <item x="52"/>
        <item x="70"/>
        <item x="87"/>
        <item x="50"/>
        <item x="125"/>
        <item x="39"/>
        <item x="65"/>
        <item x="118"/>
        <item x="81"/>
        <item x="108"/>
        <item x="61"/>
        <item x="91"/>
        <item x="110"/>
        <item x="35"/>
        <item x="33"/>
        <item x="165"/>
        <item x="157"/>
        <item x="75"/>
        <item x="62"/>
        <item x="47"/>
        <item x="88"/>
        <item x="94"/>
        <item x="95"/>
        <item x="170"/>
        <item x="167"/>
        <item x="86"/>
        <item x="36"/>
        <item x="27"/>
        <item x="155"/>
        <item x="56"/>
        <item x="159"/>
        <item x="64"/>
        <item x="68"/>
        <item x="69"/>
        <item x="77"/>
        <item x="98"/>
        <item x="11"/>
        <item x="119"/>
        <item x="128"/>
        <item x="97"/>
        <item x="106"/>
        <item x="29"/>
        <item x="164"/>
        <item x="107"/>
        <item x="115"/>
        <item x="83"/>
        <item x="178"/>
        <item x="169"/>
        <item x="160"/>
        <item x="176"/>
        <item x="120"/>
        <item x="72"/>
        <item x="4"/>
        <item x="0"/>
        <item x="84"/>
        <item x="99"/>
        <item x="100"/>
        <item x="161"/>
        <item x="173"/>
        <item x="14"/>
        <item x="45"/>
        <item x="24"/>
        <item x="42"/>
        <item x="124"/>
        <item x="148"/>
        <item x="79"/>
        <item x="2"/>
        <item x="76"/>
        <item x="102"/>
        <item x="30"/>
        <item x="7"/>
        <item x="66"/>
        <item x="181"/>
        <item x="32"/>
        <item x="38"/>
        <item x="23"/>
        <item x="127"/>
        <item x="174"/>
        <item x="177"/>
        <item x="34"/>
        <item x="41"/>
        <item x="126"/>
        <item x="44"/>
        <item x="172"/>
        <item x="20"/>
        <item x="122"/>
        <item x="179"/>
        <item x="171"/>
        <item x="1"/>
        <item x="63"/>
        <item x="123"/>
        <item x="175"/>
        <item x="46"/>
        <item x="116"/>
        <item x="3"/>
        <item x="5"/>
        <item x="31"/>
        <item x="135"/>
        <item x="15"/>
        <item x="25"/>
        <item x="140"/>
        <item x="21"/>
        <item x="168"/>
        <item x="12"/>
        <item x="73"/>
        <item x="67"/>
        <item x="141"/>
        <item x="17"/>
        <item x="137"/>
        <item x="37"/>
        <item x="16"/>
        <item x="13"/>
        <item x="19"/>
        <item x="28"/>
        <item x="139"/>
        <item x="144"/>
        <item x="22"/>
        <item x="143"/>
        <item x="192"/>
        <item x="138"/>
        <item x="43"/>
        <item x="10"/>
        <item x="145"/>
        <item x="18"/>
        <item x="142"/>
        <item x="6"/>
        <item x="136"/>
        <item x="8"/>
        <item x="182"/>
        <item x="191"/>
        <item x="185"/>
        <item x="183"/>
        <item x="184"/>
        <item x="193"/>
        <item x="187"/>
        <item x="186"/>
        <item x="188"/>
        <item x="190"/>
        <item x="189"/>
        <item t="default"/>
      </items>
    </pivotField>
  </pivotFields>
  <rowFields count="1">
    <field x="0"/>
  </rowFields>
  <rowItems count="13">
    <i>
      <x/>
    </i>
    <i>
      <x v="1"/>
    </i>
    <i>
      <x v="2"/>
    </i>
    <i>
      <x v="3"/>
    </i>
    <i>
      <x v="4"/>
    </i>
    <i>
      <x v="5"/>
    </i>
    <i>
      <x v="6"/>
    </i>
    <i>
      <x v="7"/>
    </i>
    <i>
      <x v="8"/>
    </i>
    <i>
      <x v="9"/>
    </i>
    <i>
      <x v="10"/>
    </i>
    <i>
      <x v="11"/>
    </i>
    <i t="grand">
      <x/>
    </i>
  </rowItems>
  <colFields count="1">
    <field x="1"/>
  </colFields>
  <colItems count="2">
    <i>
      <x v="1"/>
    </i>
    <i t="grand">
      <x/>
    </i>
  </colItems>
  <dataFields count="1">
    <dataField name="Sum of Litres" fld="2" baseField="0" baseItem="0" numFmtId="164"/>
  </dataFields>
  <formats count="1">
    <format dxfId="29">
      <pivotArea outline="0" collapsedLevelsAreSubtotals="1" fieldPosition="0"/>
    </format>
  </formats>
  <chartFormats count="18">
    <chartFormat chart="3" format="34" series="1">
      <pivotArea type="data" outline="0" fieldPosition="0">
        <references count="2">
          <reference field="4294967294" count="1" selected="0">
            <x v="0"/>
          </reference>
          <reference field="1" count="1" selected="0">
            <x v="0"/>
          </reference>
        </references>
      </pivotArea>
    </chartFormat>
    <chartFormat chart="3" format="35" series="1">
      <pivotArea type="data" outline="0" fieldPosition="0">
        <references count="2">
          <reference field="4294967294" count="1" selected="0">
            <x v="0"/>
          </reference>
          <reference field="1" count="1" selected="0">
            <x v="1"/>
          </reference>
        </references>
      </pivotArea>
    </chartFormat>
    <chartFormat chart="3" format="36" series="1">
      <pivotArea type="data" outline="0" fieldPosition="0">
        <references count="2">
          <reference field="4294967294" count="1" selected="0">
            <x v="0"/>
          </reference>
          <reference field="1" count="1" selected="0">
            <x v="2"/>
          </reference>
        </references>
      </pivotArea>
    </chartFormat>
    <chartFormat chart="3" format="37" series="1">
      <pivotArea type="data" outline="0" fieldPosition="0">
        <references count="2">
          <reference field="4294967294" count="1" selected="0">
            <x v="0"/>
          </reference>
          <reference field="1" count="1" selected="0">
            <x v="3"/>
          </reference>
        </references>
      </pivotArea>
    </chartFormat>
    <chartFormat chart="3" format="38" series="1">
      <pivotArea type="data" outline="0" fieldPosition="0">
        <references count="2">
          <reference field="4294967294" count="1" selected="0">
            <x v="0"/>
          </reference>
          <reference field="1" count="1" selected="0">
            <x v="4"/>
          </reference>
        </references>
      </pivotArea>
    </chartFormat>
    <chartFormat chart="3" format="39" series="1">
      <pivotArea type="data" outline="0" fieldPosition="0">
        <references count="2">
          <reference field="4294967294" count="1" selected="0">
            <x v="0"/>
          </reference>
          <reference field="1" count="1" selected="0">
            <x v="5"/>
          </reference>
        </references>
      </pivotArea>
    </chartFormat>
    <chartFormat chart="3" format="40" series="1">
      <pivotArea type="data" outline="0" fieldPosition="0">
        <references count="2">
          <reference field="4294967294" count="1" selected="0">
            <x v="0"/>
          </reference>
          <reference field="1" count="1" selected="0">
            <x v="6"/>
          </reference>
        </references>
      </pivotArea>
    </chartFormat>
    <chartFormat chart="3" format="41" series="1">
      <pivotArea type="data" outline="0" fieldPosition="0">
        <references count="2">
          <reference field="4294967294" count="1" selected="0">
            <x v="0"/>
          </reference>
          <reference field="1" count="1" selected="0">
            <x v="7"/>
          </reference>
        </references>
      </pivotArea>
    </chartFormat>
    <chartFormat chart="3" format="42" series="1">
      <pivotArea type="data" outline="0" fieldPosition="0">
        <references count="2">
          <reference field="4294967294" count="1" selected="0">
            <x v="0"/>
          </reference>
          <reference field="1" count="1" selected="0">
            <x v="8"/>
          </reference>
        </references>
      </pivotArea>
    </chartFormat>
    <chartFormat chart="3" format="43" series="1">
      <pivotArea type="data" outline="0" fieldPosition="0">
        <references count="2">
          <reference field="4294967294" count="1" selected="0">
            <x v="0"/>
          </reference>
          <reference field="1" count="1" selected="0">
            <x v="9"/>
          </reference>
        </references>
      </pivotArea>
    </chartFormat>
    <chartFormat chart="3" format="44" series="1">
      <pivotArea type="data" outline="0" fieldPosition="0">
        <references count="2">
          <reference field="4294967294" count="1" selected="0">
            <x v="0"/>
          </reference>
          <reference field="1" count="1" selected="0">
            <x v="10"/>
          </reference>
        </references>
      </pivotArea>
    </chartFormat>
    <chartFormat chart="3" format="45" series="1">
      <pivotArea type="data" outline="0" fieldPosition="0">
        <references count="2">
          <reference field="4294967294" count="1" selected="0">
            <x v="0"/>
          </reference>
          <reference field="1" count="1" selected="0">
            <x v="11"/>
          </reference>
        </references>
      </pivotArea>
    </chartFormat>
    <chartFormat chart="3" format="46" series="1">
      <pivotArea type="data" outline="0" fieldPosition="0">
        <references count="2">
          <reference field="4294967294" count="1" selected="0">
            <x v="0"/>
          </reference>
          <reference field="1" count="1" selected="0">
            <x v="12"/>
          </reference>
        </references>
      </pivotArea>
    </chartFormat>
    <chartFormat chart="3" format="47" series="1">
      <pivotArea type="data" outline="0" fieldPosition="0">
        <references count="2">
          <reference field="4294967294" count="1" selected="0">
            <x v="0"/>
          </reference>
          <reference field="1" count="1" selected="0">
            <x v="13"/>
          </reference>
        </references>
      </pivotArea>
    </chartFormat>
    <chartFormat chart="3" format="48" series="1">
      <pivotArea type="data" outline="0" fieldPosition="0">
        <references count="2">
          <reference field="4294967294" count="1" selected="0">
            <x v="0"/>
          </reference>
          <reference field="1" count="1" selected="0">
            <x v="14"/>
          </reference>
        </references>
      </pivotArea>
    </chartFormat>
    <chartFormat chart="3" format="49" series="1">
      <pivotArea type="data" outline="0" fieldPosition="0">
        <references count="2">
          <reference field="4294967294" count="1" selected="0">
            <x v="0"/>
          </reference>
          <reference field="1" count="1" selected="0">
            <x v="15"/>
          </reference>
        </references>
      </pivotArea>
    </chartFormat>
    <chartFormat chart="3" format="50" series="1">
      <pivotArea type="data" outline="0" fieldPosition="0">
        <references count="2">
          <reference field="4294967294" count="1" selected="0">
            <x v="0"/>
          </reference>
          <reference field="1" count="1" selected="0">
            <x v="16"/>
          </reference>
        </references>
      </pivotArea>
    </chartFormat>
    <chartFormat chart="3" format="6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AE1257A-3E73-474E-B3DB-18820260DE04}" name="PivotTable3"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2:C36" firstHeaderRow="1" firstDataRow="2" firstDataCol="1"/>
  <pivotFields count="5">
    <pivotField axis="axisRow" showAll="0">
      <items count="13">
        <item x="0"/>
        <item x="1"/>
        <item x="2"/>
        <item x="3"/>
        <item x="4"/>
        <item x="5"/>
        <item x="6"/>
        <item x="7"/>
        <item x="8"/>
        <item x="9"/>
        <item x="10"/>
        <item x="11"/>
        <item t="default"/>
      </items>
    </pivotField>
    <pivotField axis="axisCol" showAll="0">
      <items count="18">
        <item h="1" x="16"/>
        <item x="0"/>
        <item h="1" x="1"/>
        <item h="1" x="2"/>
        <item h="1" x="3"/>
        <item h="1" x="4"/>
        <item h="1" x="5"/>
        <item h="1" x="6"/>
        <item h="1" x="7"/>
        <item h="1" x="8"/>
        <item h="1" x="9"/>
        <item h="1" x="10"/>
        <item h="1" x="11"/>
        <item h="1" x="12"/>
        <item h="1" x="13"/>
        <item h="1" x="14"/>
        <item h="1" x="15"/>
        <item t="default"/>
      </items>
    </pivotField>
    <pivotField showAll="0"/>
    <pivotField showAll="0">
      <items count="3">
        <item x="0"/>
        <item x="1"/>
        <item t="default"/>
      </items>
    </pivotField>
    <pivotField dataField="1" showAll="0"/>
  </pivotFields>
  <rowFields count="1">
    <field x="0"/>
  </rowFields>
  <rowItems count="13">
    <i>
      <x/>
    </i>
    <i>
      <x v="1"/>
    </i>
    <i>
      <x v="2"/>
    </i>
    <i>
      <x v="3"/>
    </i>
    <i>
      <x v="4"/>
    </i>
    <i>
      <x v="5"/>
    </i>
    <i>
      <x v="6"/>
    </i>
    <i>
      <x v="7"/>
    </i>
    <i>
      <x v="8"/>
    </i>
    <i>
      <x v="9"/>
    </i>
    <i>
      <x v="10"/>
    </i>
    <i>
      <x v="11"/>
    </i>
    <i t="grand">
      <x/>
    </i>
  </rowItems>
  <colFields count="1">
    <field x="1"/>
  </colFields>
  <colItems count="2">
    <i>
      <x v="1"/>
    </i>
    <i t="grand">
      <x/>
    </i>
  </colItems>
  <dataFields count="1">
    <dataField name="Sum of Cost" fld="4" baseField="0" baseItem="0" numFmtId="164"/>
  </dataFields>
  <formats count="1">
    <format dxfId="30">
      <pivotArea outline="0" collapsedLevelsAreSubtotals="1" fieldPosition="0"/>
    </format>
  </formats>
  <chartFormats count="18">
    <chartFormat chart="4" format="34" series="1">
      <pivotArea type="data" outline="0" fieldPosition="0">
        <references count="2">
          <reference field="4294967294" count="1" selected="0">
            <x v="0"/>
          </reference>
          <reference field="1" count="1" selected="0">
            <x v="0"/>
          </reference>
        </references>
      </pivotArea>
    </chartFormat>
    <chartFormat chart="4" format="35" series="1">
      <pivotArea type="data" outline="0" fieldPosition="0">
        <references count="2">
          <reference field="4294967294" count="1" selected="0">
            <x v="0"/>
          </reference>
          <reference field="1" count="1" selected="0">
            <x v="1"/>
          </reference>
        </references>
      </pivotArea>
    </chartFormat>
    <chartFormat chart="4" format="36" series="1">
      <pivotArea type="data" outline="0" fieldPosition="0">
        <references count="2">
          <reference field="4294967294" count="1" selected="0">
            <x v="0"/>
          </reference>
          <reference field="1" count="1" selected="0">
            <x v="2"/>
          </reference>
        </references>
      </pivotArea>
    </chartFormat>
    <chartFormat chart="4" format="37" series="1">
      <pivotArea type="data" outline="0" fieldPosition="0">
        <references count="2">
          <reference field="4294967294" count="1" selected="0">
            <x v="0"/>
          </reference>
          <reference field="1" count="1" selected="0">
            <x v="3"/>
          </reference>
        </references>
      </pivotArea>
    </chartFormat>
    <chartFormat chart="4" format="38" series="1">
      <pivotArea type="data" outline="0" fieldPosition="0">
        <references count="2">
          <reference field="4294967294" count="1" selected="0">
            <x v="0"/>
          </reference>
          <reference field="1" count="1" selected="0">
            <x v="4"/>
          </reference>
        </references>
      </pivotArea>
    </chartFormat>
    <chartFormat chart="4" format="39" series="1">
      <pivotArea type="data" outline="0" fieldPosition="0">
        <references count="2">
          <reference field="4294967294" count="1" selected="0">
            <x v="0"/>
          </reference>
          <reference field="1" count="1" selected="0">
            <x v="5"/>
          </reference>
        </references>
      </pivotArea>
    </chartFormat>
    <chartFormat chart="4" format="40" series="1">
      <pivotArea type="data" outline="0" fieldPosition="0">
        <references count="2">
          <reference field="4294967294" count="1" selected="0">
            <x v="0"/>
          </reference>
          <reference field="1" count="1" selected="0">
            <x v="6"/>
          </reference>
        </references>
      </pivotArea>
    </chartFormat>
    <chartFormat chart="4" format="41" series="1">
      <pivotArea type="data" outline="0" fieldPosition="0">
        <references count="2">
          <reference field="4294967294" count="1" selected="0">
            <x v="0"/>
          </reference>
          <reference field="1" count="1" selected="0">
            <x v="7"/>
          </reference>
        </references>
      </pivotArea>
    </chartFormat>
    <chartFormat chart="4" format="42" series="1">
      <pivotArea type="data" outline="0" fieldPosition="0">
        <references count="2">
          <reference field="4294967294" count="1" selected="0">
            <x v="0"/>
          </reference>
          <reference field="1" count="1" selected="0">
            <x v="8"/>
          </reference>
        </references>
      </pivotArea>
    </chartFormat>
    <chartFormat chart="4" format="43" series="1">
      <pivotArea type="data" outline="0" fieldPosition="0">
        <references count="2">
          <reference field="4294967294" count="1" selected="0">
            <x v="0"/>
          </reference>
          <reference field="1" count="1" selected="0">
            <x v="9"/>
          </reference>
        </references>
      </pivotArea>
    </chartFormat>
    <chartFormat chart="4" format="44" series="1">
      <pivotArea type="data" outline="0" fieldPosition="0">
        <references count="2">
          <reference field="4294967294" count="1" selected="0">
            <x v="0"/>
          </reference>
          <reference field="1" count="1" selected="0">
            <x v="10"/>
          </reference>
        </references>
      </pivotArea>
    </chartFormat>
    <chartFormat chart="4" format="45" series="1">
      <pivotArea type="data" outline="0" fieldPosition="0">
        <references count="2">
          <reference field="4294967294" count="1" selected="0">
            <x v="0"/>
          </reference>
          <reference field="1" count="1" selected="0">
            <x v="11"/>
          </reference>
        </references>
      </pivotArea>
    </chartFormat>
    <chartFormat chart="4" format="46" series="1">
      <pivotArea type="data" outline="0" fieldPosition="0">
        <references count="2">
          <reference field="4294967294" count="1" selected="0">
            <x v="0"/>
          </reference>
          <reference field="1" count="1" selected="0">
            <x v="12"/>
          </reference>
        </references>
      </pivotArea>
    </chartFormat>
    <chartFormat chart="4" format="47" series="1">
      <pivotArea type="data" outline="0" fieldPosition="0">
        <references count="2">
          <reference field="4294967294" count="1" selected="0">
            <x v="0"/>
          </reference>
          <reference field="1" count="1" selected="0">
            <x v="13"/>
          </reference>
        </references>
      </pivotArea>
    </chartFormat>
    <chartFormat chart="4" format="48" series="1">
      <pivotArea type="data" outline="0" fieldPosition="0">
        <references count="2">
          <reference field="4294967294" count="1" selected="0">
            <x v="0"/>
          </reference>
          <reference field="1" count="1" selected="0">
            <x v="14"/>
          </reference>
        </references>
      </pivotArea>
    </chartFormat>
    <chartFormat chart="4" format="49" series="1">
      <pivotArea type="data" outline="0" fieldPosition="0">
        <references count="2">
          <reference field="4294967294" count="1" selected="0">
            <x v="0"/>
          </reference>
          <reference field="1" count="1" selected="0">
            <x v="15"/>
          </reference>
        </references>
      </pivotArea>
    </chartFormat>
    <chartFormat chart="4" format="50" series="1">
      <pivotArea type="data" outline="0" fieldPosition="0">
        <references count="2">
          <reference field="4294967294" count="1" selected="0">
            <x v="0"/>
          </reference>
          <reference field="1" count="1" selected="0">
            <x v="16"/>
          </reference>
        </references>
      </pivotArea>
    </chartFormat>
    <chartFormat chart="4" format="5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795AF9D-F05D-4AC5-8C7B-A44AACFEE672}" name="PivotTable2"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1:C46" firstHeaderRow="1" firstDataRow="2" firstDataCol="1"/>
  <pivotFields count="6">
    <pivotField axis="axisRow" showAll="0">
      <items count="17">
        <item x="0"/>
        <item x="1"/>
        <item x="2"/>
        <item x="3"/>
        <item x="4"/>
        <item x="5"/>
        <item x="6"/>
        <item x="7"/>
        <item x="8"/>
        <item x="9"/>
        <item x="10"/>
        <item x="11"/>
        <item x="12"/>
        <item x="13"/>
        <item x="14"/>
        <item x="15"/>
        <item t="default"/>
      </items>
    </pivotField>
    <pivotField axis="axisCol" showAll="0">
      <items count="7">
        <item h="1" x="0"/>
        <item h="1" x="5"/>
        <item h="1" x="1"/>
        <item x="2"/>
        <item h="1" x="4"/>
        <item h="1" x="3"/>
        <item t="default"/>
      </items>
    </pivotField>
    <pivotField numFmtId="164" showAll="0"/>
    <pivotField numFmtId="164" showAll="0"/>
    <pivotField numFmtId="164" showAll="0"/>
    <pivotField dataField="1" numFmtId="43" showAll="0"/>
  </pivotFields>
  <rowFields count="1">
    <field x="0"/>
  </rowFields>
  <rowItems count="4">
    <i>
      <x v="6"/>
    </i>
    <i>
      <x v="7"/>
    </i>
    <i>
      <x v="10"/>
    </i>
    <i t="grand">
      <x/>
    </i>
  </rowItems>
  <colFields count="1">
    <field x="1"/>
  </colFields>
  <colItems count="2">
    <i>
      <x v="3"/>
    </i>
    <i t="grand">
      <x/>
    </i>
  </colItems>
  <dataFields count="1">
    <dataField name="Average of Fuel Efficiency" fld="5" subtotal="average" baseField="0" baseItem="0" numFmtId="43"/>
  </dataFields>
  <chartFormats count="6">
    <chartFormat chart="5" format="12" series="1">
      <pivotArea type="data" outline="0" fieldPosition="0">
        <references count="2">
          <reference field="4294967294" count="1" selected="0">
            <x v="0"/>
          </reference>
          <reference field="1" count="1" selected="0">
            <x v="0"/>
          </reference>
        </references>
      </pivotArea>
    </chartFormat>
    <chartFormat chart="5" format="13" series="1">
      <pivotArea type="data" outline="0" fieldPosition="0">
        <references count="2">
          <reference field="4294967294" count="1" selected="0">
            <x v="0"/>
          </reference>
          <reference field="1" count="1" selected="0">
            <x v="1"/>
          </reference>
        </references>
      </pivotArea>
    </chartFormat>
    <chartFormat chart="5" format="14" series="1">
      <pivotArea type="data" outline="0" fieldPosition="0">
        <references count="2">
          <reference field="4294967294" count="1" selected="0">
            <x v="0"/>
          </reference>
          <reference field="1" count="1" selected="0">
            <x v="2"/>
          </reference>
        </references>
      </pivotArea>
    </chartFormat>
    <chartFormat chart="5" format="15" series="1">
      <pivotArea type="data" outline="0" fieldPosition="0">
        <references count="2">
          <reference field="4294967294" count="1" selected="0">
            <x v="0"/>
          </reference>
          <reference field="1" count="1" selected="0">
            <x v="3"/>
          </reference>
        </references>
      </pivotArea>
    </chartFormat>
    <chartFormat chart="5" format="16" series="1">
      <pivotArea type="data" outline="0" fieldPosition="0">
        <references count="2">
          <reference field="4294967294" count="1" selected="0">
            <x v="0"/>
          </reference>
          <reference field="1" count="1" selected="0">
            <x v="4"/>
          </reference>
        </references>
      </pivotArea>
    </chartFormat>
    <chartFormat chart="5" format="17" series="1">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el1" xr10:uid="{E5861B19-F0BB-4535-A894-5016C48ED70D}" sourceName="Fuel">
  <pivotTables>
    <pivotTable tabId="12" name="PivotTable2"/>
    <pivotTable tabId="12" name="PivotTable1"/>
    <pivotTable tabId="12" name="PivotTable4"/>
  </pivotTables>
  <data>
    <tabular pivotCacheId="790995765">
      <items count="8">
        <i x="2"/>
        <i x="0"/>
        <i x="3" s="1"/>
        <i x="1"/>
        <i x="4"/>
        <i x="6" nd="1"/>
        <i x="5" nd="1"/>
        <i x="7"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hicle" xr10:uid="{EE75E4DC-48BB-499F-BD59-4929DF28A8BF}" sourceName="Vehicle">
  <pivotTables>
    <pivotTable tabId="15" name="PivotTable1"/>
    <pivotTable tabId="15" name="PivotTable3"/>
  </pivotTables>
  <data>
    <tabular pivotCacheId="1268931176">
      <items count="17">
        <i x="16"/>
        <i x="0" s="1"/>
        <i x="1"/>
        <i x="2"/>
        <i x="3"/>
        <i x="4"/>
        <i x="5"/>
        <i x="6"/>
        <i x="7"/>
        <i x="8"/>
        <i x="9"/>
        <i x="10"/>
        <i x="11"/>
        <i x="12"/>
        <i x="13"/>
        <i x="14"/>
        <i x="15"/>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el" xr10:uid="{3FF191BB-0072-459B-BAF2-A748EF32C60F}" sourceName="Fuel">
  <pivotTables>
    <pivotTable tabId="15" name="PivotTable1"/>
    <pivotTable tabId="15" name="PivotTable3"/>
  </pivotTables>
  <data>
    <tabular pivotCacheId="1268931176">
      <items count="2">
        <i x="0" s="1"/>
        <i x="1"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el2" xr10:uid="{892B324B-BBEF-466A-9E25-AC7CC351EED9}" sourceName="Fuel">
  <pivotTables>
    <pivotTable tabId="12" name="PivotTable7"/>
    <pivotTable tabId="12" name="PivotTable6"/>
  </pivotTables>
  <data>
    <tabular pivotCacheId="1305963401">
      <items count="3">
        <i x="1" s="1"/>
        <i x="0"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el3" xr10:uid="{D7919B2C-61BD-4085-8E96-6B0BE0431154}" sourceName="Fuel">
  <pivotTables>
    <pivotTable tabId="12" name="PivotTable10"/>
  </pivotTables>
  <data>
    <tabular pivotCacheId="1205784601">
      <items count="3">
        <i x="1" s="1"/>
        <i x="0" s="1"/>
        <i x="2"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ater_source" xr10:uid="{3E045A2F-F2A2-48C3-8D82-8F9E2F587FF5}" sourceName="Water source">
  <pivotTables>
    <pivotTable tabId="12" name="PivotTable11"/>
  </pivotTables>
  <data>
    <tabular pivotCacheId="361689991">
      <items count="7">
        <i x="4"/>
        <i x="2"/>
        <i x="1" s="1"/>
        <i x="0"/>
        <i x="3"/>
        <i x="5"/>
        <i x="6"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olar" xr10:uid="{E0480A9A-0E86-4B71-BF19-9BDB3EF6AC74}" sourceName="Solar">
  <pivotTables>
    <pivotTable tabId="12" name="PivotTable3"/>
  </pivotTables>
  <data>
    <tabular pivotCacheId="1969584384">
      <items count="3">
        <i x="1" s="1"/>
        <i x="0" s="1"/>
        <i x="2"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C6B163EC-13C7-45E1-B62F-9A3713516D5D}" sourceName="Category">
  <pivotTables>
    <pivotTable tabId="12" name="PivotTable5"/>
  </pivotTables>
  <data>
    <tabular pivotCacheId="215739611">
      <items count="4">
        <i x="1"/>
        <i x="3"/>
        <i x="2" s="1"/>
        <i x="0"/>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ope" xr10:uid="{173FD972-DE32-40D0-AE17-E7D03199B685}" sourceName="Scope">
  <pivotTables>
    <pivotTable tabId="12" name="PivotTable5"/>
  </pivotTables>
  <data>
    <tabular pivotCacheId="215739611">
      <items count="2">
        <i x="0" s="1"/>
        <i x="1"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EBBDE670-10FB-4EAF-8951-938C94A95F1A}" sourceName="Category">
  <pivotTables>
    <pivotTable tabId="12" name="PivotTable12"/>
    <pivotTable tabId="12" name="PivotTable13"/>
  </pivotTables>
  <data>
    <tabular pivotCacheId="522588655">
      <items count="4">
        <i x="0" s="1"/>
        <i x="2" s="1"/>
        <i x="3" s="1"/>
        <i x="1"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hicle_Type" xr10:uid="{8B9840C7-70B2-459C-B66A-B2F07708672C}" sourceName="Vehicle Type">
  <pivotTables>
    <pivotTable tabId="15" name="PivotTable2"/>
  </pivotTables>
  <data>
    <tabular pivotCacheId="1575127405">
      <items count="6">
        <i x="0"/>
        <i x="5"/>
        <i x="1"/>
        <i x="2" s="1"/>
        <i x="4"/>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uel" xr10:uid="{FB9BC899-248C-406A-B89C-79C4C7426983}" cache="Slicer_Fuel1" caption="Energy Type" rowHeight="257175"/>
  <slicer name="Vehicle" xr10:uid="{610B96E0-4DCF-4A83-A32F-1B7676ED44EE}" cache="Slicer_Vehicle" caption="Vehicle" rowHeight="257175"/>
  <slicer name="Fuel 1" xr10:uid="{5847D5D5-4493-4947-912F-BABBC4B7ED30}" cache="Slicer_Fuel" caption="Fuel Type" rowHeight="257175"/>
  <slicer name="Fuel 2" xr10:uid="{72FB96F5-5FE3-40EE-B2B9-976A0E3B245D}" cache="Slicer_Fuel2" caption="KPLC Account" rowHeight="257175"/>
  <slicer name="Fuel 3" xr10:uid="{9A15C002-3820-4672-9E3A-0500CF4C77B9}" cache="Slicer_Fuel3" caption="KVA Demand" rowHeight="257175"/>
  <slicer name="Water source" xr10:uid="{5BB71604-14AF-4BF0-AC83-7AC65B6896AF}" cache="Slicer_Water_source" caption="Water source" rowHeight="257175"/>
  <slicer name="Solar" xr10:uid="{CF525550-351A-4A47-B73D-0404FF1E0676}" cache="Slicer_Solar" caption="Solar" rowHeight="257175"/>
  <slicer name="Category" xr10:uid="{ADB7E2D3-95A3-4D15-9447-DA72701573FE}" cache="Slicer_Category" caption="Category" rowHeight="257175"/>
  <slicer name="Scope" xr10:uid="{FC193B0D-C9CF-4013-B7F5-BB282C835CF4}" cache="Slicer_Scope" caption="Scope" rowHeight="257175"/>
  <slicer name="Category 1" xr10:uid="{27E0BD49-08E8-430D-8C48-D172B183294A}" cache="Slicer_Category1" caption="NCWSC Bills" rowHeight="257175"/>
  <slicer name="Vehicle Type" xr10:uid="{A1F84751-B359-4CD8-859B-4BE7404B6823}" cache="Slicer_Vehicle_Type" caption="Vehicle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DAF4C8-214E-4B5F-8DE1-FB5972817E67}" name="Table2" displayName="Table2" ref="A1:E205" totalsRowShown="0">
  <autoFilter ref="A1:E205" xr:uid="{26DAF4C8-214E-4B5F-8DE1-FB5972817E67}"/>
  <tableColumns count="5">
    <tableColumn id="1" xr3:uid="{55B4291E-F31E-4BB1-AACC-192E1917386E}" name="Month"/>
    <tableColumn id="2" xr3:uid="{73E075FF-A970-426A-BFEB-DFFCAB9AE346}" name="Vehicle"/>
    <tableColumn id="3" xr3:uid="{4D1E53CC-7CAD-404C-8688-E9A3F39AF64A}" name="Litres"/>
    <tableColumn id="4" xr3:uid="{C56DFBBC-30E3-4001-8571-9EEF8D7196C6}" name="Fuel"/>
    <tableColumn id="5" xr3:uid="{F54FDDCE-604E-435E-99BB-B586C1D6EE27}" name="Cost" dataDxfId="28" dataCellStyle="Comm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2EE2CEF-CE82-4565-9AA8-80D7FC2F89F3}" name="Table9" displayName="Table9" ref="J1:O17" totalsRowShown="0">
  <autoFilter ref="J1:O17" xr:uid="{D2EE2CEF-CE82-4565-9AA8-80D7FC2F89F3}"/>
  <tableColumns count="6">
    <tableColumn id="1" xr3:uid="{B5332A8A-A9BC-4643-A41E-601133D8AED9}" name="Vehicle Registration" dataDxfId="27"/>
    <tableColumn id="6" xr3:uid="{FFF05266-E269-4E29-A8BF-C764699F3AD2}" name="Vehicle Type"/>
    <tableColumn id="2" xr3:uid="{55FF8D4B-51AD-483A-B49B-4F80D6090AF2}" name="Annual Mileage" dataDxfId="26" dataCellStyle="Comma"/>
    <tableColumn id="3" xr3:uid="{E8D2AB3E-83B2-441D-9299-33E23C7EB8BE}" name="Fuel Purchased" dataDxfId="25" dataCellStyle="Comma"/>
    <tableColumn id="4" xr3:uid="{5AF6461C-BD20-4F3D-8D9C-345C7153B131}" name="Fuel Costs" dataDxfId="24" dataCellStyle="Comma"/>
    <tableColumn id="5" xr3:uid="{F2BD038F-70BB-4A99-B2E2-21B273825FE8}" name="Fuel Efficiency" dataDxfId="23" dataCellStyle="Comma">
      <calculatedColumnFormula>Table9[[#This Row],[Annual Mileage]]/Table9[[#This Row],[Fuel Purchased]]</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0C23EF-C7FE-476C-A53B-3F6ECDBD6858}" name="Table1" displayName="Table1" ref="A1:E61" totalsRowShown="0">
  <autoFilter ref="A1:E61" xr:uid="{A10C23EF-C7FE-476C-A53B-3F6ECDBD6858}"/>
  <tableColumns count="5">
    <tableColumn id="1" xr3:uid="{9EFA1730-16DC-4E5A-9774-7AB7EDA8A97C}" name="Month"/>
    <tableColumn id="2" xr3:uid="{B295B20F-1ECC-416B-8F56-11F82AA4EEFD}" name="Fuel"/>
    <tableColumn id="3" xr3:uid="{FB0465C1-742B-4DBD-A681-04C86368F1DE}" name="Quantities" dataDxfId="22" dataCellStyle="Comma"/>
    <tableColumn id="4" xr3:uid="{396CA4AD-E635-4608-817D-372996C99615}" name="Costs" dataDxfId="21" dataCellStyle="Comma"/>
    <tableColumn id="5" xr3:uid="{19ACF926-CDCE-4A73-93FB-6507CA0B3511}" name="Energy" dataCellStyle="Comma"/>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66B53F8-BD43-44C4-99F9-C6809B91AC50}" name="Table3" displayName="Table3" ref="H1:L37" totalsRowShown="0" headerRowDxfId="20" tableBorderDxfId="19">
  <autoFilter ref="H1:L37" xr:uid="{A66B53F8-BD43-44C4-99F9-C6809B91AC50}"/>
  <tableColumns count="5">
    <tableColumn id="1" xr3:uid="{C3D27A83-41F5-4E8E-9479-9B8BB59A3832}" name="Month" dataDxfId="18"/>
    <tableColumn id="2" xr3:uid="{23017B47-FD7E-479A-98BA-4679562A55E2}" name="Account" dataDxfId="17"/>
    <tableColumn id="3" xr3:uid="{1176B479-2C0E-4F7A-9E26-490FB55EF42E}" name="Quantities" dataDxfId="16" dataCellStyle="Comma"/>
    <tableColumn id="4" xr3:uid="{44AB7E7D-C99D-4D01-AEAA-F5FA5A6E1445}" name="Costs" dataDxfId="15" dataCellStyle="Comma"/>
    <tableColumn id="5" xr3:uid="{B25B004F-B137-4EF4-B698-57D277C0E2B8}" name="Demand"/>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8A02FE0-3CC7-4E1A-92B8-73B488BEDD7B}" name="Table5" displayName="Table5" ref="O1:Q73" totalsRowShown="0">
  <autoFilter ref="O1:Q73" xr:uid="{08A02FE0-3CC7-4E1A-92B8-73B488BEDD7B}"/>
  <tableColumns count="3">
    <tableColumn id="1" xr3:uid="{AF75FA4C-3103-4A0D-94D8-3D0E945C50F4}" name="Month"/>
    <tableColumn id="2" xr3:uid="{D3594597-185B-4C7D-BC44-391E53A5D172}" name="Water source"/>
    <tableColumn id="3" xr3:uid="{CBB30C1F-FE39-4BB3-A73B-BA76C7E79EAE}" name="Quantity" dataDxfId="1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8C8542A-D7E2-434D-8682-28E0ED4FA94D}" name="Table4" displayName="Table4" ref="T1:V25" totalsRowShown="0" headerRowDxfId="13" headerRowBorderDxfId="12" tableBorderDxfId="11">
  <autoFilter ref="T1:V25" xr:uid="{D8C8542A-D7E2-434D-8682-28E0ED4FA94D}"/>
  <tableColumns count="3">
    <tableColumn id="1" xr3:uid="{8916F68C-B1B5-491C-A2F0-03BEF179FAE4}" name="Month" dataDxfId="10"/>
    <tableColumn id="2" xr3:uid="{57C93004-A468-4FA6-BD96-D1B256FFC80B}" name="Solar" dataDxfId="9"/>
    <tableColumn id="3" xr3:uid="{98C5BC78-AE90-40A7-B07B-D7F29D4BE84F}" name="Quantity" dataDxfId="8" dataCellStyle="Comma"/>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6AC596D-0FC2-4DB9-90A1-20A862627E28}" name="Table6" displayName="Table6" ref="Y1:AB49" totalsRowShown="0">
  <autoFilter ref="Y1:AB49" xr:uid="{16AC596D-0FC2-4DB9-90A1-20A862627E28}"/>
  <tableColumns count="4">
    <tableColumn id="1" xr3:uid="{B0E69599-1878-471A-9A0D-740B37A0BE2A}" name="Month" dataDxfId="7"/>
    <tableColumn id="2" xr3:uid="{E6DDE937-6627-42E3-8092-C6016BCDC209}" name="Scope"/>
    <tableColumn id="3" xr3:uid="{F2D7A7A6-28F7-4980-9D06-4A6019DC3830}" name="Category"/>
    <tableColumn id="4" xr3:uid="{9C5C63EF-F612-4EA2-9A0E-ED3EC65AD0DA}" name="Quantity" dataDxfId="6" dataCellStyle="Comma"/>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23027D2-542D-45A0-89D6-F3BD2277291E}" name="Table8" displayName="Table8" ref="AE1:AI32" totalsRowShown="0" headerRowDxfId="5" headerRowBorderDxfId="4" tableBorderDxfId="3" totalsRowBorderDxfId="2">
  <autoFilter ref="AE1:AI32" xr:uid="{223027D2-542D-45A0-89D6-F3BD2277291E}"/>
  <tableColumns count="5">
    <tableColumn id="1" xr3:uid="{E1C9CB7A-2446-4342-B371-825CF7DE90D9}" name="Month"/>
    <tableColumn id="2" xr3:uid="{4B561C77-48E3-407A-BBCF-A702B644321F}" name="Account Number"/>
    <tableColumn id="3" xr3:uid="{1E3317B5-5CC7-4182-B3B7-CAF52B2BB476}" name="Category"/>
    <tableColumn id="4" xr3:uid="{7997E0D1-36C8-4C10-9A1F-C8E436E207EF}" name="Consumption" dataDxfId="1" dataCellStyle="Comma"/>
    <tableColumn id="5" xr3:uid="{F396B0B8-A232-41FC-B138-54DE8298EEDA}" name="Charge" dataDxfId="0"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14.xml"/><Relationship Id="rId2" Type="http://schemas.openxmlformats.org/officeDocument/2006/relationships/pivotTable" Target="../pivotTables/pivotTable13.xml"/><Relationship Id="rId1" Type="http://schemas.openxmlformats.org/officeDocument/2006/relationships/pivotTable" Target="../pivotTables/pivotTable1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97F6D-60E4-4C77-815F-588CF06D2E6C}">
  <dimension ref="B13:AF61"/>
  <sheetViews>
    <sheetView showGridLines="0" showRowColHeaders="0" tabSelected="1" topLeftCell="A88" zoomScale="90" zoomScaleNormal="90" workbookViewId="0">
      <selection activeCell="V11" sqref="V11"/>
    </sheetView>
  </sheetViews>
  <sheetFormatPr defaultRowHeight="15" x14ac:dyDescent="0.25"/>
  <cols>
    <col min="1" max="16384" width="9.140625" style="8"/>
  </cols>
  <sheetData>
    <row r="13" spans="17:17" x14ac:dyDescent="0.25">
      <c r="Q13" s="8" t="str" cm="1">
        <f t="array" ref="Q13">_xlfn.IFS('Pivot table 1'!B20 = "LPG", "KGs",'Pivot table 1'!B20 = "Diesel", "Litres",'Pivot table 1'!B20 = "Petrol", "Litres", 'Pivot table 1'!B20 = "Electricity ", "kWh", 'Pivot table 1'!B20 = "Solar PV", "kWh")</f>
        <v>KGs</v>
      </c>
    </row>
    <row r="32" spans="2:2" x14ac:dyDescent="0.25">
      <c r="B32" s="8" t="s">
        <v>55</v>
      </c>
    </row>
    <row r="61" spans="32:32" x14ac:dyDescent="0.25">
      <c r="AF61" s="8" t="s">
        <v>88</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2D0A4-4AA9-473C-958E-8AF2997676A6}">
  <dimension ref="A3:X104"/>
  <sheetViews>
    <sheetView workbookViewId="0">
      <selection activeCell="W30" sqref="W30"/>
    </sheetView>
  </sheetViews>
  <sheetFormatPr defaultRowHeight="15" x14ac:dyDescent="0.25"/>
  <cols>
    <col min="1" max="1" width="13.42578125" bestFit="1" customWidth="1"/>
    <col min="2" max="2" width="14" bestFit="1" customWidth="1"/>
    <col min="3" max="3" width="11.28515625" bestFit="1" customWidth="1"/>
    <col min="4" max="4" width="7" bestFit="1" customWidth="1"/>
    <col min="5" max="5" width="8" bestFit="1" customWidth="1"/>
    <col min="6" max="6" width="9" style="3" bestFit="1" customWidth="1"/>
    <col min="7" max="7" width="11.28515625" bestFit="1" customWidth="1"/>
    <col min="8" max="8" width="9" bestFit="1" customWidth="1"/>
    <col min="9" max="9" width="15.5703125" bestFit="1" customWidth="1"/>
    <col min="10" max="10" width="16.85546875" bestFit="1" customWidth="1"/>
    <col min="11" max="11" width="12.85546875" bestFit="1" customWidth="1"/>
    <col min="12" max="13" width="11.28515625" bestFit="1" customWidth="1"/>
    <col min="14" max="14" width="20.28515625" bestFit="1" customWidth="1"/>
    <col min="15" max="15" width="13.42578125" bestFit="1" customWidth="1"/>
    <col min="16" max="16" width="16.85546875" bestFit="1" customWidth="1"/>
    <col min="17" max="17" width="11.5703125" bestFit="1" customWidth="1"/>
    <col min="18" max="18" width="15.5703125" bestFit="1" customWidth="1"/>
    <col min="19" max="19" width="11.5703125" bestFit="1" customWidth="1"/>
    <col min="20" max="20" width="9.7109375" bestFit="1" customWidth="1"/>
    <col min="21" max="21" width="12.28515625" bestFit="1" customWidth="1"/>
    <col min="22" max="22" width="11.28515625" bestFit="1" customWidth="1"/>
    <col min="23" max="23" width="13.28515625" bestFit="1" customWidth="1"/>
    <col min="24" max="24" width="7.42578125" bestFit="1" customWidth="1"/>
    <col min="25" max="34" width="9" bestFit="1" customWidth="1"/>
    <col min="35" max="46" width="10.5703125" bestFit="1" customWidth="1"/>
    <col min="47" max="47" width="12.7109375" bestFit="1" customWidth="1"/>
    <col min="48" max="48" width="20.5703125" bestFit="1" customWidth="1"/>
    <col min="49" max="49" width="11.28515625" bestFit="1" customWidth="1"/>
    <col min="50" max="50" width="11.5703125" bestFit="1" customWidth="1"/>
    <col min="51" max="69" width="10.5703125" bestFit="1" customWidth="1"/>
    <col min="70" max="70" width="12.7109375" bestFit="1" customWidth="1"/>
  </cols>
  <sheetData>
    <row r="3" spans="1:24" x14ac:dyDescent="0.25">
      <c r="A3" s="6" t="s">
        <v>42</v>
      </c>
      <c r="B3" t="s">
        <v>44</v>
      </c>
      <c r="I3" s="6" t="s">
        <v>45</v>
      </c>
      <c r="J3" s="6" t="s">
        <v>51</v>
      </c>
      <c r="O3" s="6" t="s">
        <v>44</v>
      </c>
      <c r="P3" s="6" t="s">
        <v>51</v>
      </c>
      <c r="V3" t="s">
        <v>40</v>
      </c>
      <c r="W3" s="3">
        <f>GETPIVOTDATA("Costs",$A$3)</f>
        <v>1020750</v>
      </c>
    </row>
    <row r="4" spans="1:24" x14ac:dyDescent="0.25">
      <c r="A4" s="7" t="s">
        <v>0</v>
      </c>
      <c r="B4" s="1">
        <v>116250</v>
      </c>
      <c r="I4" s="6" t="s">
        <v>42</v>
      </c>
      <c r="J4" t="s">
        <v>14</v>
      </c>
      <c r="K4" t="s">
        <v>13</v>
      </c>
      <c r="L4" t="s">
        <v>56</v>
      </c>
      <c r="M4" t="s">
        <v>43</v>
      </c>
      <c r="O4" s="6" t="s">
        <v>42</v>
      </c>
      <c r="P4" t="s">
        <v>14</v>
      </c>
      <c r="Q4" t="s">
        <v>13</v>
      </c>
      <c r="R4" t="s">
        <v>56</v>
      </c>
      <c r="S4" t="s">
        <v>43</v>
      </c>
      <c r="V4" t="s">
        <v>47</v>
      </c>
      <c r="W4" s="3">
        <f>GETPIVOTDATA("Energy",$A$35)</f>
        <v>187818</v>
      </c>
    </row>
    <row r="5" spans="1:24" x14ac:dyDescent="0.25">
      <c r="A5" s="7" t="s">
        <v>1</v>
      </c>
      <c r="B5" s="1">
        <v>80000</v>
      </c>
      <c r="I5" s="7" t="s">
        <v>0</v>
      </c>
      <c r="J5" s="1">
        <v>29120</v>
      </c>
      <c r="K5" s="1">
        <v>86016</v>
      </c>
      <c r="L5" s="1">
        <v>0</v>
      </c>
      <c r="M5" s="1">
        <v>115136</v>
      </c>
      <c r="O5" s="7" t="s">
        <v>0</v>
      </c>
      <c r="P5" s="1">
        <v>971891</v>
      </c>
      <c r="Q5" s="1">
        <v>2924169</v>
      </c>
      <c r="R5" s="1">
        <v>0</v>
      </c>
      <c r="S5" s="1">
        <v>3896060</v>
      </c>
      <c r="V5" t="s">
        <v>49</v>
      </c>
      <c r="W5" s="3">
        <f>GETPIVOTDATA("Quantities",$A$19)</f>
        <v>4083</v>
      </c>
    </row>
    <row r="6" spans="1:24" x14ac:dyDescent="0.25">
      <c r="A6" s="7" t="s">
        <v>2</v>
      </c>
      <c r="B6" s="1">
        <v>120000</v>
      </c>
      <c r="I6" s="7" t="s">
        <v>1</v>
      </c>
      <c r="J6" s="1">
        <v>27524</v>
      </c>
      <c r="K6" s="1">
        <v>81429</v>
      </c>
      <c r="L6" s="1">
        <v>0</v>
      </c>
      <c r="M6" s="1">
        <v>108953</v>
      </c>
      <c r="O6" s="7" t="s">
        <v>1</v>
      </c>
      <c r="P6" s="1">
        <v>844806</v>
      </c>
      <c r="Q6" s="1">
        <v>2539907</v>
      </c>
      <c r="R6" s="1">
        <v>0</v>
      </c>
      <c r="S6" s="1">
        <v>3384713</v>
      </c>
      <c r="W6" s="3"/>
    </row>
    <row r="7" spans="1:24" x14ac:dyDescent="0.25">
      <c r="A7" s="7" t="s">
        <v>3</v>
      </c>
      <c r="B7" s="1">
        <v>80000</v>
      </c>
      <c r="I7" s="7" t="s">
        <v>2</v>
      </c>
      <c r="J7" s="1">
        <v>25014</v>
      </c>
      <c r="K7" s="1">
        <v>79643</v>
      </c>
      <c r="L7" s="1">
        <v>0</v>
      </c>
      <c r="M7" s="1">
        <v>104657</v>
      </c>
      <c r="O7" s="7" t="s">
        <v>2</v>
      </c>
      <c r="P7" s="1">
        <v>776046</v>
      </c>
      <c r="Q7" s="1">
        <v>2444624</v>
      </c>
      <c r="R7" s="1">
        <v>0</v>
      </c>
      <c r="S7" s="1">
        <v>3220670</v>
      </c>
      <c r="V7" t="s">
        <v>87</v>
      </c>
      <c r="W7" s="3">
        <v>5137154.5983064733</v>
      </c>
      <c r="X7" s="14">
        <f>W7/$W$12</f>
        <v>0.45344147203326007</v>
      </c>
    </row>
    <row r="8" spans="1:24" x14ac:dyDescent="0.25">
      <c r="A8" s="7" t="s">
        <v>4</v>
      </c>
      <c r="B8" s="1">
        <v>80000</v>
      </c>
      <c r="I8" s="7" t="s">
        <v>3</v>
      </c>
      <c r="J8" s="1">
        <v>36155</v>
      </c>
      <c r="K8" s="1">
        <v>103875</v>
      </c>
      <c r="L8" s="1">
        <v>0</v>
      </c>
      <c r="M8" s="1">
        <v>140030</v>
      </c>
      <c r="O8" s="7" t="s">
        <v>3</v>
      </c>
      <c r="P8" s="1">
        <v>962102</v>
      </c>
      <c r="Q8" s="1">
        <v>2874120</v>
      </c>
      <c r="R8" s="1">
        <v>0</v>
      </c>
      <c r="S8" s="1">
        <v>3836222</v>
      </c>
      <c r="V8" t="s">
        <v>18</v>
      </c>
      <c r="W8" s="3">
        <v>3714629.3274999997</v>
      </c>
      <c r="X8" s="14">
        <f>W8/$W$12</f>
        <v>0.32787936552946861</v>
      </c>
    </row>
    <row r="9" spans="1:24" x14ac:dyDescent="0.25">
      <c r="A9" s="7" t="s">
        <v>5</v>
      </c>
      <c r="B9" s="1">
        <v>77500</v>
      </c>
      <c r="I9" s="7" t="s">
        <v>4</v>
      </c>
      <c r="J9" s="1">
        <v>32727</v>
      </c>
      <c r="K9" s="1">
        <v>92677</v>
      </c>
      <c r="L9" s="1">
        <v>0</v>
      </c>
      <c r="M9" s="1">
        <v>125404</v>
      </c>
      <c r="O9" s="7" t="s">
        <v>4</v>
      </c>
      <c r="P9" s="1">
        <v>879091</v>
      </c>
      <c r="Q9" s="1">
        <v>2571741</v>
      </c>
      <c r="R9" s="1">
        <v>0</v>
      </c>
      <c r="S9" s="1">
        <v>3450832</v>
      </c>
      <c r="V9" t="s">
        <v>68</v>
      </c>
      <c r="W9" s="3">
        <v>1778396.4000000001</v>
      </c>
      <c r="X9" s="14">
        <f>W9/$W$12</f>
        <v>0.15697380058223082</v>
      </c>
    </row>
    <row r="10" spans="1:24" x14ac:dyDescent="0.25">
      <c r="A10" s="7" t="s">
        <v>6</v>
      </c>
      <c r="B10" s="1">
        <v>77500</v>
      </c>
      <c r="I10" s="7" t="s">
        <v>5</v>
      </c>
      <c r="J10" s="1">
        <v>29107</v>
      </c>
      <c r="K10" s="1">
        <v>89876</v>
      </c>
      <c r="L10" s="1">
        <v>0</v>
      </c>
      <c r="M10" s="1">
        <v>118983</v>
      </c>
      <c r="O10" s="7" t="s">
        <v>5</v>
      </c>
      <c r="P10" s="1">
        <v>818086</v>
      </c>
      <c r="Q10" s="1">
        <v>2572738</v>
      </c>
      <c r="R10" s="1">
        <v>0</v>
      </c>
      <c r="S10" s="1">
        <v>3390824</v>
      </c>
      <c r="V10" t="s">
        <v>17</v>
      </c>
      <c r="W10" s="3">
        <v>511257.85200000007</v>
      </c>
      <c r="X10" s="14">
        <f>W10/$W$12</f>
        <v>4.5127221414723785E-2</v>
      </c>
    </row>
    <row r="11" spans="1:24" x14ac:dyDescent="0.25">
      <c r="A11" s="7" t="s">
        <v>7</v>
      </c>
      <c r="B11" s="1">
        <v>100250</v>
      </c>
      <c r="I11" s="7" t="s">
        <v>6</v>
      </c>
      <c r="J11" s="1">
        <v>38062</v>
      </c>
      <c r="K11" s="1">
        <v>114423</v>
      </c>
      <c r="L11" s="1">
        <v>326</v>
      </c>
      <c r="M11" s="1">
        <v>152811</v>
      </c>
      <c r="O11" s="7" t="s">
        <v>6</v>
      </c>
      <c r="P11" s="1">
        <v>934168</v>
      </c>
      <c r="Q11" s="1">
        <v>2925671</v>
      </c>
      <c r="R11" s="1">
        <v>10145.700000000001</v>
      </c>
      <c r="S11" s="1">
        <v>3869984.7</v>
      </c>
      <c r="V11" t="s">
        <v>41</v>
      </c>
      <c r="W11" s="3">
        <v>187818</v>
      </c>
      <c r="X11" s="14">
        <f>W11/$W$12</f>
        <v>1.6578140440316583E-2</v>
      </c>
    </row>
    <row r="12" spans="1:24" x14ac:dyDescent="0.25">
      <c r="A12" s="7" t="s">
        <v>8</v>
      </c>
      <c r="B12" s="1">
        <v>64000</v>
      </c>
      <c r="I12" s="7" t="s">
        <v>7</v>
      </c>
      <c r="J12" s="1">
        <v>32895</v>
      </c>
      <c r="K12" s="1">
        <v>79007</v>
      </c>
      <c r="L12" s="1">
        <v>336</v>
      </c>
      <c r="M12" s="1">
        <v>112238</v>
      </c>
      <c r="O12" s="7" t="s">
        <v>7</v>
      </c>
      <c r="P12" s="1">
        <v>873004</v>
      </c>
      <c r="Q12" s="1">
        <v>2661737</v>
      </c>
      <c r="R12" s="1">
        <v>9747.7000000000007</v>
      </c>
      <c r="S12" s="1">
        <v>3544488.7</v>
      </c>
      <c r="W12" s="3">
        <f>SUM(W7:W11)</f>
        <v>11329256.177806474</v>
      </c>
    </row>
    <row r="13" spans="1:24" x14ac:dyDescent="0.25">
      <c r="A13" s="7" t="s">
        <v>9</v>
      </c>
      <c r="B13" s="1">
        <v>64000</v>
      </c>
      <c r="I13" s="7" t="s">
        <v>8</v>
      </c>
      <c r="J13" s="1">
        <v>31711</v>
      </c>
      <c r="K13" s="1">
        <v>83063</v>
      </c>
      <c r="L13" s="1">
        <v>387</v>
      </c>
      <c r="M13" s="1">
        <v>115161</v>
      </c>
      <c r="O13" s="7" t="s">
        <v>8</v>
      </c>
      <c r="P13" s="1">
        <v>831377</v>
      </c>
      <c r="Q13" s="1">
        <v>2334412</v>
      </c>
      <c r="R13" s="1">
        <v>11235.3</v>
      </c>
      <c r="S13" s="1">
        <v>3177024.3</v>
      </c>
      <c r="W13" s="3"/>
    </row>
    <row r="14" spans="1:24" x14ac:dyDescent="0.25">
      <c r="A14" s="7" t="s">
        <v>10</v>
      </c>
      <c r="B14" s="1">
        <v>128000</v>
      </c>
      <c r="I14" s="7" t="s">
        <v>9</v>
      </c>
      <c r="J14" s="1">
        <v>26343</v>
      </c>
      <c r="K14" s="1">
        <v>94477</v>
      </c>
      <c r="L14" s="1">
        <v>400</v>
      </c>
      <c r="M14" s="1">
        <v>121220</v>
      </c>
      <c r="O14" s="7" t="s">
        <v>9</v>
      </c>
      <c r="P14" s="1">
        <v>714456</v>
      </c>
      <c r="Q14" s="1">
        <v>2512809</v>
      </c>
      <c r="R14" s="1">
        <v>11425.3</v>
      </c>
      <c r="S14" s="1">
        <v>3238690.3</v>
      </c>
      <c r="W14" s="3"/>
    </row>
    <row r="15" spans="1:24" x14ac:dyDescent="0.25">
      <c r="A15" s="7" t="s">
        <v>11</v>
      </c>
      <c r="B15" s="1">
        <v>33250</v>
      </c>
      <c r="I15" s="7" t="s">
        <v>10</v>
      </c>
      <c r="J15" s="1">
        <v>26464</v>
      </c>
      <c r="K15" s="1">
        <v>86302</v>
      </c>
      <c r="L15" s="1">
        <v>387</v>
      </c>
      <c r="M15" s="1">
        <v>113153</v>
      </c>
      <c r="O15" s="7" t="s">
        <v>10</v>
      </c>
      <c r="P15" s="1">
        <v>708743</v>
      </c>
      <c r="Q15" s="1">
        <v>2407846</v>
      </c>
      <c r="R15" s="1">
        <v>11111.8</v>
      </c>
      <c r="S15" s="1">
        <v>3127700.8</v>
      </c>
      <c r="V15" t="s">
        <v>87</v>
      </c>
      <c r="W15" s="3">
        <v>40854937</v>
      </c>
      <c r="X15" s="14">
        <f>W15/$W$20</f>
        <v>0.6890379073213182</v>
      </c>
    </row>
    <row r="16" spans="1:24" x14ac:dyDescent="0.25">
      <c r="A16" s="7" t="s">
        <v>43</v>
      </c>
      <c r="B16" s="1">
        <v>1020750</v>
      </c>
      <c r="I16" s="7" t="s">
        <v>11</v>
      </c>
      <c r="J16" s="1">
        <v>21136</v>
      </c>
      <c r="K16" s="1">
        <v>77732</v>
      </c>
      <c r="L16" s="1">
        <v>373.38841846490027</v>
      </c>
      <c r="M16" s="1">
        <v>99241.388418464907</v>
      </c>
      <c r="O16" s="7" t="s">
        <v>11</v>
      </c>
      <c r="P16" s="1">
        <v>580099</v>
      </c>
      <c r="Q16" s="1">
        <v>2126692</v>
      </c>
      <c r="R16" s="1">
        <v>10935.8</v>
      </c>
      <c r="S16" s="1">
        <v>2717726.8</v>
      </c>
      <c r="V16" t="s">
        <v>18</v>
      </c>
      <c r="W16" s="3">
        <v>14522150</v>
      </c>
      <c r="X16" s="14">
        <f t="shared" ref="X16:X19" si="0">W16/$W$20</f>
        <v>0.2449229537621434</v>
      </c>
    </row>
    <row r="17" spans="1:24" x14ac:dyDescent="0.25">
      <c r="I17" s="7" t="s">
        <v>43</v>
      </c>
      <c r="J17" s="1">
        <v>356258</v>
      </c>
      <c r="K17" s="1">
        <v>1068520</v>
      </c>
      <c r="L17" s="1">
        <v>2209.3884184649005</v>
      </c>
      <c r="M17" s="1">
        <v>1426987.3884184649</v>
      </c>
      <c r="O17" s="7" t="s">
        <v>43</v>
      </c>
      <c r="P17" s="1">
        <v>9893869</v>
      </c>
      <c r="Q17" s="1">
        <v>30896466</v>
      </c>
      <c r="R17" s="1">
        <v>64601.600000000006</v>
      </c>
      <c r="S17" s="1">
        <v>40854936.599999994</v>
      </c>
      <c r="V17" t="s">
        <v>68</v>
      </c>
      <c r="W17" s="3">
        <v>0</v>
      </c>
      <c r="X17" s="14">
        <f t="shared" si="0"/>
        <v>0</v>
      </c>
    </row>
    <row r="18" spans="1:24" x14ac:dyDescent="0.25">
      <c r="J18" s="5"/>
      <c r="K18" s="3">
        <f>GETPIVOTDATA("Quantities",$I$3)</f>
        <v>1426987.3884184649</v>
      </c>
      <c r="L18" s="5"/>
      <c r="M18" s="14"/>
      <c r="P18" s="5"/>
      <c r="Q18" s="3">
        <f>GETPIVOTDATA("Costs",$O$3)</f>
        <v>40854936.599999994</v>
      </c>
      <c r="R18" s="5"/>
      <c r="V18" t="s">
        <v>17</v>
      </c>
      <c r="W18" s="3">
        <v>2894890.68</v>
      </c>
      <c r="X18" s="14">
        <f t="shared" si="0"/>
        <v>4.8823705592085188E-2</v>
      </c>
    </row>
    <row r="19" spans="1:24" x14ac:dyDescent="0.25">
      <c r="A19" s="6" t="s">
        <v>45</v>
      </c>
      <c r="B19" s="6" t="s">
        <v>51</v>
      </c>
      <c r="F19"/>
      <c r="V19" t="s">
        <v>41</v>
      </c>
      <c r="W19" s="3">
        <v>1020750</v>
      </c>
      <c r="X19" s="14">
        <f t="shared" si="0"/>
        <v>1.7215433324453189E-2</v>
      </c>
    </row>
    <row r="20" spans="1:24" x14ac:dyDescent="0.25">
      <c r="A20" s="6" t="s">
        <v>42</v>
      </c>
      <c r="B20" t="s">
        <v>41</v>
      </c>
      <c r="C20" t="s">
        <v>43</v>
      </c>
      <c r="F20"/>
      <c r="W20" s="1">
        <f>SUM(W15:W19)</f>
        <v>59292727.68</v>
      </c>
    </row>
    <row r="21" spans="1:24" x14ac:dyDescent="0.25">
      <c r="A21" s="7" t="s">
        <v>0</v>
      </c>
      <c r="B21" s="1">
        <v>465</v>
      </c>
      <c r="C21" s="1">
        <v>465</v>
      </c>
      <c r="F21"/>
      <c r="I21" s="6" t="s">
        <v>58</v>
      </c>
      <c r="J21" s="6" t="s">
        <v>51</v>
      </c>
    </row>
    <row r="22" spans="1:24" x14ac:dyDescent="0.25">
      <c r="A22" s="7" t="s">
        <v>1</v>
      </c>
      <c r="B22" s="1">
        <v>320</v>
      </c>
      <c r="C22" s="1">
        <v>320</v>
      </c>
      <c r="F22"/>
      <c r="I22" s="6" t="s">
        <v>42</v>
      </c>
      <c r="J22" t="s">
        <v>14</v>
      </c>
      <c r="K22" t="s">
        <v>13</v>
      </c>
      <c r="L22" t="s">
        <v>56</v>
      </c>
      <c r="M22" t="s">
        <v>43</v>
      </c>
    </row>
    <row r="23" spans="1:24" x14ac:dyDescent="0.25">
      <c r="A23" s="7" t="s">
        <v>2</v>
      </c>
      <c r="B23" s="1">
        <v>480</v>
      </c>
      <c r="C23" s="1">
        <v>480</v>
      </c>
      <c r="F23"/>
      <c r="I23" s="7" t="s">
        <v>0</v>
      </c>
      <c r="J23">
        <v>104</v>
      </c>
      <c r="K23">
        <v>306</v>
      </c>
      <c r="M23">
        <v>410</v>
      </c>
    </row>
    <row r="24" spans="1:24" x14ac:dyDescent="0.25">
      <c r="A24" s="7" t="s">
        <v>3</v>
      </c>
      <c r="B24" s="1">
        <v>320</v>
      </c>
      <c r="C24" s="1">
        <v>320</v>
      </c>
      <c r="F24"/>
      <c r="I24" s="7" t="s">
        <v>1</v>
      </c>
      <c r="J24">
        <v>107</v>
      </c>
      <c r="K24">
        <v>332</v>
      </c>
      <c r="M24">
        <v>439</v>
      </c>
    </row>
    <row r="25" spans="1:24" x14ac:dyDescent="0.25">
      <c r="A25" s="7" t="s">
        <v>4</v>
      </c>
      <c r="B25" s="1">
        <v>320</v>
      </c>
      <c r="C25" s="1">
        <v>320</v>
      </c>
      <c r="F25"/>
      <c r="I25" s="7" t="s">
        <v>2</v>
      </c>
      <c r="J25">
        <v>101</v>
      </c>
      <c r="K25">
        <v>301</v>
      </c>
      <c r="M25">
        <v>402</v>
      </c>
    </row>
    <row r="26" spans="1:24" x14ac:dyDescent="0.25">
      <c r="A26" s="7" t="s">
        <v>5</v>
      </c>
      <c r="B26" s="1">
        <v>310</v>
      </c>
      <c r="C26" s="1">
        <v>310</v>
      </c>
      <c r="F26"/>
      <c r="I26" s="7" t="s">
        <v>3</v>
      </c>
      <c r="J26">
        <v>104</v>
      </c>
      <c r="K26">
        <v>344</v>
      </c>
      <c r="M26">
        <v>448</v>
      </c>
    </row>
    <row r="27" spans="1:24" x14ac:dyDescent="0.25">
      <c r="A27" s="7" t="s">
        <v>6</v>
      </c>
      <c r="B27" s="1">
        <v>310</v>
      </c>
      <c r="C27" s="1">
        <v>310</v>
      </c>
      <c r="F27"/>
      <c r="I27" s="7" t="s">
        <v>4</v>
      </c>
      <c r="J27">
        <v>109</v>
      </c>
      <c r="K27">
        <v>343</v>
      </c>
      <c r="M27">
        <v>452</v>
      </c>
    </row>
    <row r="28" spans="1:24" x14ac:dyDescent="0.25">
      <c r="A28" s="7" t="s">
        <v>7</v>
      </c>
      <c r="B28" s="1">
        <v>401</v>
      </c>
      <c r="C28" s="1">
        <v>401</v>
      </c>
      <c r="F28"/>
      <c r="I28" s="7" t="s">
        <v>5</v>
      </c>
      <c r="J28">
        <v>96</v>
      </c>
      <c r="K28">
        <v>333</v>
      </c>
      <c r="M28">
        <v>429</v>
      </c>
    </row>
    <row r="29" spans="1:24" x14ac:dyDescent="0.25">
      <c r="A29" s="7" t="s">
        <v>8</v>
      </c>
      <c r="B29" s="1">
        <v>256</v>
      </c>
      <c r="C29" s="1">
        <v>256</v>
      </c>
      <c r="F29"/>
      <c r="I29" s="7" t="s">
        <v>6</v>
      </c>
      <c r="J29">
        <v>101</v>
      </c>
      <c r="K29">
        <v>364</v>
      </c>
      <c r="M29">
        <v>465</v>
      </c>
    </row>
    <row r="30" spans="1:24" x14ac:dyDescent="0.25">
      <c r="A30" s="7" t="s">
        <v>9</v>
      </c>
      <c r="B30" s="1">
        <v>256</v>
      </c>
      <c r="C30" s="1">
        <v>256</v>
      </c>
      <c r="F30"/>
      <c r="I30" s="7" t="s">
        <v>7</v>
      </c>
      <c r="J30">
        <v>109</v>
      </c>
      <c r="K30">
        <v>301</v>
      </c>
      <c r="M30">
        <v>410</v>
      </c>
    </row>
    <row r="31" spans="1:24" x14ac:dyDescent="0.25">
      <c r="A31" s="7" t="s">
        <v>10</v>
      </c>
      <c r="B31" s="1">
        <v>512</v>
      </c>
      <c r="C31" s="1">
        <v>512</v>
      </c>
      <c r="F31"/>
      <c r="I31" s="7" t="s">
        <v>8</v>
      </c>
      <c r="J31">
        <v>102</v>
      </c>
      <c r="K31">
        <v>390</v>
      </c>
      <c r="M31">
        <v>492</v>
      </c>
    </row>
    <row r="32" spans="1:24" x14ac:dyDescent="0.25">
      <c r="A32" s="7" t="s">
        <v>11</v>
      </c>
      <c r="B32" s="1">
        <v>133</v>
      </c>
      <c r="C32" s="1">
        <v>133</v>
      </c>
      <c r="F32"/>
      <c r="I32" s="7" t="s">
        <v>9</v>
      </c>
      <c r="J32">
        <v>102</v>
      </c>
      <c r="K32">
        <v>327</v>
      </c>
      <c r="M32">
        <v>429</v>
      </c>
    </row>
    <row r="33" spans="1:13" x14ac:dyDescent="0.25">
      <c r="A33" s="7" t="s">
        <v>43</v>
      </c>
      <c r="B33" s="1">
        <v>4083</v>
      </c>
      <c r="C33" s="1">
        <v>4083</v>
      </c>
      <c r="F33"/>
      <c r="I33" s="7" t="s">
        <v>10</v>
      </c>
      <c r="J33">
        <v>97</v>
      </c>
      <c r="K33">
        <v>390</v>
      </c>
      <c r="M33">
        <v>487</v>
      </c>
    </row>
    <row r="34" spans="1:13" x14ac:dyDescent="0.25">
      <c r="I34" s="7" t="s">
        <v>11</v>
      </c>
      <c r="J34">
        <v>86</v>
      </c>
      <c r="K34">
        <v>311</v>
      </c>
      <c r="M34">
        <v>397</v>
      </c>
    </row>
    <row r="35" spans="1:13" x14ac:dyDescent="0.25">
      <c r="A35" s="6" t="s">
        <v>42</v>
      </c>
      <c r="B35" t="s">
        <v>48</v>
      </c>
      <c r="I35" s="7" t="s">
        <v>43</v>
      </c>
      <c r="J35">
        <v>1218</v>
      </c>
      <c r="K35">
        <v>4042</v>
      </c>
      <c r="M35">
        <v>5260</v>
      </c>
    </row>
    <row r="36" spans="1:13" x14ac:dyDescent="0.25">
      <c r="A36" s="7" t="s">
        <v>0</v>
      </c>
      <c r="B36" s="4">
        <v>21390</v>
      </c>
      <c r="K36" s="3">
        <f>MAX(J23:M34)</f>
        <v>492</v>
      </c>
    </row>
    <row r="37" spans="1:13" x14ac:dyDescent="0.25">
      <c r="A37" s="7" t="s">
        <v>1</v>
      </c>
      <c r="B37" s="4">
        <v>14720</v>
      </c>
    </row>
    <row r="38" spans="1:13" x14ac:dyDescent="0.25">
      <c r="A38" s="7" t="s">
        <v>2</v>
      </c>
      <c r="B38" s="4">
        <v>22080</v>
      </c>
      <c r="I38" s="6" t="s">
        <v>64</v>
      </c>
      <c r="J38" s="6" t="s">
        <v>51</v>
      </c>
    </row>
    <row r="39" spans="1:13" x14ac:dyDescent="0.25">
      <c r="A39" s="7" t="s">
        <v>3</v>
      </c>
      <c r="B39" s="4">
        <v>14720</v>
      </c>
      <c r="I39" s="6" t="s">
        <v>42</v>
      </c>
      <c r="J39" t="s">
        <v>15</v>
      </c>
      <c r="K39" t="s">
        <v>43</v>
      </c>
    </row>
    <row r="40" spans="1:13" x14ac:dyDescent="0.25">
      <c r="A40" s="7" t="s">
        <v>4</v>
      </c>
      <c r="B40" s="4">
        <v>14720</v>
      </c>
      <c r="I40" s="7" t="s">
        <v>0</v>
      </c>
      <c r="J40" s="1">
        <v>1775</v>
      </c>
      <c r="K40" s="1">
        <v>1775</v>
      </c>
    </row>
    <row r="41" spans="1:13" x14ac:dyDescent="0.25">
      <c r="A41" s="7" t="s">
        <v>5</v>
      </c>
      <c r="B41" s="4">
        <v>14260</v>
      </c>
      <c r="I41" s="7" t="s">
        <v>1</v>
      </c>
      <c r="J41" s="1">
        <v>1475</v>
      </c>
      <c r="K41" s="1">
        <v>1475</v>
      </c>
    </row>
    <row r="42" spans="1:13" x14ac:dyDescent="0.25">
      <c r="A42" s="7" t="s">
        <v>6</v>
      </c>
      <c r="B42" s="4">
        <v>14260</v>
      </c>
      <c r="I42" s="7" t="s">
        <v>2</v>
      </c>
      <c r="J42" s="1">
        <v>1140</v>
      </c>
      <c r="K42" s="1">
        <v>1140</v>
      </c>
    </row>
    <row r="43" spans="1:13" x14ac:dyDescent="0.25">
      <c r="A43" s="7" t="s">
        <v>7</v>
      </c>
      <c r="B43" s="4">
        <v>18446</v>
      </c>
      <c r="I43" s="7" t="s">
        <v>3</v>
      </c>
      <c r="J43" s="1">
        <v>1371</v>
      </c>
      <c r="K43" s="1">
        <v>1371</v>
      </c>
    </row>
    <row r="44" spans="1:13" x14ac:dyDescent="0.25">
      <c r="A44" s="7" t="s">
        <v>8</v>
      </c>
      <c r="B44" s="4">
        <v>11776</v>
      </c>
      <c r="I44" s="7" t="s">
        <v>4</v>
      </c>
      <c r="J44" s="1">
        <v>1265</v>
      </c>
      <c r="K44" s="1">
        <v>1265</v>
      </c>
    </row>
    <row r="45" spans="1:13" x14ac:dyDescent="0.25">
      <c r="A45" s="7" t="s">
        <v>9</v>
      </c>
      <c r="B45" s="4">
        <v>11776</v>
      </c>
      <c r="I45" s="7" t="s">
        <v>5</v>
      </c>
      <c r="J45" s="1">
        <v>1373</v>
      </c>
      <c r="K45" s="1">
        <v>1373</v>
      </c>
    </row>
    <row r="46" spans="1:13" x14ac:dyDescent="0.25">
      <c r="A46" s="7" t="s">
        <v>10</v>
      </c>
      <c r="B46" s="4">
        <v>23552</v>
      </c>
      <c r="I46" s="7" t="s">
        <v>6</v>
      </c>
      <c r="J46" s="1">
        <v>1535</v>
      </c>
      <c r="K46" s="1">
        <v>1535</v>
      </c>
    </row>
    <row r="47" spans="1:13" x14ac:dyDescent="0.25">
      <c r="A47" s="7" t="s">
        <v>11</v>
      </c>
      <c r="B47" s="4">
        <v>6118</v>
      </c>
      <c r="I47" s="7" t="s">
        <v>7</v>
      </c>
      <c r="J47" s="1">
        <v>1929</v>
      </c>
      <c r="K47" s="1">
        <v>1929</v>
      </c>
    </row>
    <row r="48" spans="1:13" x14ac:dyDescent="0.25">
      <c r="A48" s="7" t="s">
        <v>43</v>
      </c>
      <c r="B48" s="4">
        <v>187818</v>
      </c>
      <c r="I48" s="7" t="s">
        <v>8</v>
      </c>
      <c r="J48" s="1">
        <v>1773</v>
      </c>
      <c r="K48" s="1">
        <v>1773</v>
      </c>
    </row>
    <row r="49" spans="9:12" x14ac:dyDescent="0.25">
      <c r="I49" s="7" t="s">
        <v>9</v>
      </c>
      <c r="J49" s="1">
        <v>2722</v>
      </c>
      <c r="K49" s="1">
        <v>2722</v>
      </c>
    </row>
    <row r="50" spans="9:12" x14ac:dyDescent="0.25">
      <c r="I50" s="7" t="s">
        <v>10</v>
      </c>
      <c r="J50" s="1">
        <v>2647</v>
      </c>
      <c r="K50" s="1">
        <v>2647</v>
      </c>
    </row>
    <row r="51" spans="9:12" x14ac:dyDescent="0.25">
      <c r="I51" s="7" t="s">
        <v>11</v>
      </c>
      <c r="J51" s="1">
        <v>561</v>
      </c>
      <c r="K51" s="1">
        <v>561</v>
      </c>
    </row>
    <row r="52" spans="9:12" x14ac:dyDescent="0.25">
      <c r="I52" s="7" t="s">
        <v>43</v>
      </c>
      <c r="J52" s="1">
        <v>19566</v>
      </c>
      <c r="K52" s="1">
        <v>19566</v>
      </c>
    </row>
    <row r="53" spans="9:12" x14ac:dyDescent="0.25">
      <c r="J53" s="3">
        <f>GETPIVOTDATA("Quantity",$I$38)</f>
        <v>19566</v>
      </c>
    </row>
    <row r="56" spans="9:12" x14ac:dyDescent="0.25">
      <c r="I56" s="6" t="s">
        <v>64</v>
      </c>
      <c r="J56" s="6" t="s">
        <v>51</v>
      </c>
    </row>
    <row r="57" spans="9:12" x14ac:dyDescent="0.25">
      <c r="I57" s="6" t="s">
        <v>42</v>
      </c>
      <c r="J57" t="s">
        <v>67</v>
      </c>
      <c r="K57" t="s">
        <v>66</v>
      </c>
      <c r="L57" t="s">
        <v>43</v>
      </c>
    </row>
    <row r="58" spans="9:12" x14ac:dyDescent="0.25">
      <c r="I58" s="7" t="s">
        <v>0</v>
      </c>
      <c r="J58" s="4">
        <v>39793</v>
      </c>
      <c r="K58" s="4">
        <v>6357</v>
      </c>
      <c r="L58" s="4">
        <v>46150</v>
      </c>
    </row>
    <row r="59" spans="9:12" x14ac:dyDescent="0.25">
      <c r="I59" s="7" t="s">
        <v>1</v>
      </c>
      <c r="J59" s="4">
        <v>44070.6</v>
      </c>
      <c r="K59" s="4">
        <v>6099.4</v>
      </c>
      <c r="L59" s="4">
        <v>50170</v>
      </c>
    </row>
    <row r="60" spans="9:12" x14ac:dyDescent="0.25">
      <c r="I60" s="7" t="s">
        <v>2</v>
      </c>
      <c r="J60" s="4">
        <v>48508.800000000003</v>
      </c>
      <c r="K60" s="4">
        <v>8531.2000000000007</v>
      </c>
      <c r="L60" s="4">
        <v>57040</v>
      </c>
    </row>
    <row r="61" spans="9:12" x14ac:dyDescent="0.25">
      <c r="I61" s="7" t="s">
        <v>3</v>
      </c>
      <c r="J61" s="4">
        <v>36741.199999999997</v>
      </c>
      <c r="K61" s="4">
        <v>3308.8</v>
      </c>
      <c r="L61" s="4">
        <v>40050</v>
      </c>
    </row>
    <row r="62" spans="9:12" x14ac:dyDescent="0.25">
      <c r="I62" s="7" t="s">
        <v>4</v>
      </c>
      <c r="J62" s="4">
        <v>39007.599999999999</v>
      </c>
      <c r="K62" s="4">
        <v>2962.4</v>
      </c>
      <c r="L62" s="4">
        <v>41970</v>
      </c>
    </row>
    <row r="63" spans="9:12" x14ac:dyDescent="0.25">
      <c r="I63" s="7" t="s">
        <v>5</v>
      </c>
      <c r="J63" s="4">
        <v>35300.199999999997</v>
      </c>
      <c r="K63" s="4">
        <v>3159.8</v>
      </c>
      <c r="L63" s="4">
        <v>38460</v>
      </c>
    </row>
    <row r="64" spans="9:12" x14ac:dyDescent="0.25">
      <c r="I64" s="7" t="s">
        <v>6</v>
      </c>
      <c r="J64" s="4">
        <v>33126.800000000003</v>
      </c>
      <c r="K64" s="4">
        <v>1953.2</v>
      </c>
      <c r="L64" s="4">
        <v>35080</v>
      </c>
    </row>
    <row r="65" spans="9:12" x14ac:dyDescent="0.25">
      <c r="I65" s="7" t="s">
        <v>7</v>
      </c>
      <c r="J65" s="4">
        <v>36806</v>
      </c>
      <c r="K65" s="4">
        <v>2454</v>
      </c>
      <c r="L65" s="4">
        <v>39260</v>
      </c>
    </row>
    <row r="66" spans="9:12" x14ac:dyDescent="0.25">
      <c r="I66" s="7" t="s">
        <v>8</v>
      </c>
      <c r="J66" s="4">
        <v>46545</v>
      </c>
      <c r="K66" s="4">
        <v>5375</v>
      </c>
      <c r="L66" s="4">
        <v>51920</v>
      </c>
    </row>
    <row r="67" spans="9:12" x14ac:dyDescent="0.25">
      <c r="I67" s="7" t="s">
        <v>9</v>
      </c>
      <c r="J67" s="4">
        <v>49876.2</v>
      </c>
      <c r="K67" s="4">
        <v>7813.8</v>
      </c>
      <c r="L67" s="4">
        <v>57690</v>
      </c>
    </row>
    <row r="68" spans="9:12" x14ac:dyDescent="0.25">
      <c r="I68" s="7" t="s">
        <v>10</v>
      </c>
      <c r="J68" s="4">
        <v>42387.4</v>
      </c>
      <c r="K68" s="4">
        <v>4412.6000000000004</v>
      </c>
      <c r="L68" s="4">
        <v>46800</v>
      </c>
    </row>
    <row r="69" spans="9:12" x14ac:dyDescent="0.25">
      <c r="I69" s="7" t="s">
        <v>11</v>
      </c>
      <c r="J69" s="4">
        <v>41836.199999999997</v>
      </c>
      <c r="K69" s="4">
        <v>15823.8</v>
      </c>
      <c r="L69" s="4">
        <v>57660</v>
      </c>
    </row>
    <row r="70" spans="9:12" x14ac:dyDescent="0.25">
      <c r="I70" s="7" t="s">
        <v>43</v>
      </c>
      <c r="J70" s="4">
        <v>493999.00000000006</v>
      </c>
      <c r="K70" s="4">
        <v>68251</v>
      </c>
      <c r="L70" s="4">
        <v>562250</v>
      </c>
    </row>
    <row r="71" spans="9:12" x14ac:dyDescent="0.25">
      <c r="J71" s="3">
        <f>GETPIVOTDATA("Quantity",$I$56)</f>
        <v>562250</v>
      </c>
    </row>
    <row r="74" spans="9:12" x14ac:dyDescent="0.25">
      <c r="I74" s="6" t="s">
        <v>64</v>
      </c>
      <c r="J74" s="6" t="s">
        <v>51</v>
      </c>
    </row>
    <row r="75" spans="9:12" x14ac:dyDescent="0.25">
      <c r="J75" t="s">
        <v>70</v>
      </c>
      <c r="K75" t="s">
        <v>77</v>
      </c>
      <c r="L75" t="s">
        <v>43</v>
      </c>
    </row>
    <row r="76" spans="9:12" x14ac:dyDescent="0.25">
      <c r="I76" s="6" t="s">
        <v>42</v>
      </c>
      <c r="J76" t="s">
        <v>75</v>
      </c>
    </row>
    <row r="77" spans="9:12" x14ac:dyDescent="0.25">
      <c r="I77" s="7" t="s">
        <v>0</v>
      </c>
      <c r="J77" s="4">
        <v>23.4</v>
      </c>
      <c r="K77" s="4">
        <v>23.4</v>
      </c>
      <c r="L77" s="4">
        <v>23.4</v>
      </c>
    </row>
    <row r="78" spans="9:12" x14ac:dyDescent="0.25">
      <c r="I78" s="7" t="s">
        <v>1</v>
      </c>
      <c r="J78" s="4">
        <v>11.7</v>
      </c>
      <c r="K78" s="4">
        <v>11.7</v>
      </c>
      <c r="L78" s="4">
        <v>11.7</v>
      </c>
    </row>
    <row r="79" spans="9:12" x14ac:dyDescent="0.25">
      <c r="I79" s="7" t="s">
        <v>2</v>
      </c>
      <c r="J79" s="4">
        <v>11.7</v>
      </c>
      <c r="K79" s="4">
        <v>11.7</v>
      </c>
      <c r="L79" s="4">
        <v>11.7</v>
      </c>
    </row>
    <row r="80" spans="9:12" x14ac:dyDescent="0.25">
      <c r="I80" s="7" t="s">
        <v>3</v>
      </c>
      <c r="J80" s="4">
        <v>15.6</v>
      </c>
      <c r="K80" s="4">
        <v>15.6</v>
      </c>
      <c r="L80" s="4">
        <v>15.6</v>
      </c>
    </row>
    <row r="81" spans="9:22" x14ac:dyDescent="0.25">
      <c r="I81" s="7" t="s">
        <v>4</v>
      </c>
      <c r="J81" s="4">
        <v>11.7</v>
      </c>
      <c r="K81" s="4">
        <v>11.7</v>
      </c>
      <c r="L81" s="4">
        <v>11.7</v>
      </c>
    </row>
    <row r="82" spans="9:22" x14ac:dyDescent="0.25">
      <c r="I82" s="7" t="s">
        <v>5</v>
      </c>
      <c r="J82" s="4">
        <v>195</v>
      </c>
      <c r="K82" s="4">
        <v>195</v>
      </c>
      <c r="L82" s="4">
        <v>195</v>
      </c>
    </row>
    <row r="83" spans="9:22" x14ac:dyDescent="0.25">
      <c r="I83" s="7" t="s">
        <v>6</v>
      </c>
      <c r="J83" s="4">
        <v>19.5</v>
      </c>
      <c r="K83" s="4">
        <v>19.5</v>
      </c>
      <c r="L83" s="4">
        <v>19.5</v>
      </c>
    </row>
    <row r="84" spans="9:22" x14ac:dyDescent="0.25">
      <c r="I84" s="7" t="s">
        <v>7</v>
      </c>
      <c r="J84" s="4">
        <v>31.2</v>
      </c>
      <c r="K84" s="4">
        <v>31.2</v>
      </c>
      <c r="L84" s="4">
        <v>31.2</v>
      </c>
    </row>
    <row r="85" spans="9:22" x14ac:dyDescent="0.25">
      <c r="I85" s="7" t="s">
        <v>8</v>
      </c>
      <c r="J85" s="4">
        <v>31.2</v>
      </c>
      <c r="K85" s="4">
        <v>31.2</v>
      </c>
      <c r="L85" s="4">
        <v>31.2</v>
      </c>
    </row>
    <row r="86" spans="9:22" x14ac:dyDescent="0.25">
      <c r="I86" s="7" t="s">
        <v>9</v>
      </c>
      <c r="J86" s="4">
        <v>19.5</v>
      </c>
      <c r="K86" s="4">
        <v>19.5</v>
      </c>
      <c r="L86" s="4">
        <v>19.5</v>
      </c>
    </row>
    <row r="87" spans="9:22" x14ac:dyDescent="0.25">
      <c r="I87" s="7" t="s">
        <v>10</v>
      </c>
      <c r="J87" s="4">
        <v>15.6</v>
      </c>
      <c r="K87" s="4">
        <v>15.6</v>
      </c>
      <c r="L87" s="4">
        <v>15.6</v>
      </c>
    </row>
    <row r="88" spans="9:22" x14ac:dyDescent="0.25">
      <c r="I88" s="7" t="s">
        <v>11</v>
      </c>
      <c r="J88" s="4">
        <v>19.5</v>
      </c>
      <c r="K88" s="4">
        <v>19.5</v>
      </c>
      <c r="L88" s="4">
        <v>19.5</v>
      </c>
    </row>
    <row r="89" spans="9:22" x14ac:dyDescent="0.25">
      <c r="I89" s="7" t="s">
        <v>43</v>
      </c>
      <c r="J89" s="4">
        <v>405.6</v>
      </c>
      <c r="K89" s="4">
        <v>405.6</v>
      </c>
      <c r="L89" s="4">
        <v>405.6</v>
      </c>
    </row>
    <row r="90" spans="9:22" x14ac:dyDescent="0.25">
      <c r="J90" s="2">
        <f>GETPIVOTDATA("Quantity",$I$74)</f>
        <v>405.6</v>
      </c>
    </row>
    <row r="93" spans="9:22" x14ac:dyDescent="0.25">
      <c r="I93" s="6" t="s">
        <v>86</v>
      </c>
      <c r="J93" s="6" t="s">
        <v>51</v>
      </c>
      <c r="Q93" s="6" t="s">
        <v>85</v>
      </c>
      <c r="R93" s="6" t="s">
        <v>51</v>
      </c>
    </row>
    <row r="94" spans="9:22" x14ac:dyDescent="0.25">
      <c r="I94" s="6" t="s">
        <v>42</v>
      </c>
      <c r="J94" t="s">
        <v>81</v>
      </c>
      <c r="K94" t="s">
        <v>83</v>
      </c>
      <c r="L94" t="s">
        <v>84</v>
      </c>
      <c r="M94" t="s">
        <v>82</v>
      </c>
      <c r="N94" t="s">
        <v>43</v>
      </c>
      <c r="Q94" s="6" t="s">
        <v>42</v>
      </c>
      <c r="R94" t="s">
        <v>81</v>
      </c>
      <c r="S94" t="s">
        <v>83</v>
      </c>
      <c r="T94" t="s">
        <v>84</v>
      </c>
      <c r="U94" t="s">
        <v>82</v>
      </c>
      <c r="V94" t="s">
        <v>43</v>
      </c>
    </row>
    <row r="95" spans="9:22" x14ac:dyDescent="0.25">
      <c r="I95" s="7" t="s">
        <v>0</v>
      </c>
      <c r="J95" s="1">
        <v>183564</v>
      </c>
      <c r="K95" s="1">
        <v>35090</v>
      </c>
      <c r="L95" s="1">
        <v>11307</v>
      </c>
      <c r="M95" s="1">
        <v>61960</v>
      </c>
      <c r="N95" s="1">
        <v>291921</v>
      </c>
      <c r="Q95" s="7" t="s">
        <v>0</v>
      </c>
      <c r="R95" s="1">
        <v>3466</v>
      </c>
      <c r="S95" s="1">
        <v>283</v>
      </c>
      <c r="T95" s="1">
        <v>97</v>
      </c>
      <c r="U95" s="1">
        <v>486</v>
      </c>
      <c r="V95" s="1">
        <v>4332</v>
      </c>
    </row>
    <row r="96" spans="9:22" x14ac:dyDescent="0.25">
      <c r="I96" s="7" t="s">
        <v>1</v>
      </c>
      <c r="J96" s="1">
        <v>87822</v>
      </c>
      <c r="K96" s="1"/>
      <c r="L96" s="1"/>
      <c r="M96" s="1">
        <v>47256</v>
      </c>
      <c r="N96" s="1">
        <v>135078</v>
      </c>
      <c r="Q96" s="7" t="s">
        <v>1</v>
      </c>
      <c r="R96" s="1">
        <v>1660</v>
      </c>
      <c r="S96" s="1"/>
      <c r="T96" s="1"/>
      <c r="U96" s="1">
        <v>376</v>
      </c>
      <c r="V96" s="1">
        <v>2036</v>
      </c>
    </row>
    <row r="97" spans="9:22" x14ac:dyDescent="0.25">
      <c r="I97" s="7" t="s">
        <v>2</v>
      </c>
      <c r="J97" s="1">
        <v>189828</v>
      </c>
      <c r="K97" s="1">
        <v>11434</v>
      </c>
      <c r="L97" s="1">
        <v>15864</v>
      </c>
      <c r="M97" s="1">
        <v>41788</v>
      </c>
      <c r="N97" s="1">
        <v>258914</v>
      </c>
      <c r="Q97" s="7" t="s">
        <v>2</v>
      </c>
      <c r="R97" s="1">
        <v>3583</v>
      </c>
      <c r="S97" s="1">
        <v>99</v>
      </c>
      <c r="T97" s="1">
        <v>133</v>
      </c>
      <c r="U97" s="1">
        <v>334</v>
      </c>
      <c r="V97" s="1">
        <v>4149</v>
      </c>
    </row>
    <row r="98" spans="9:22" x14ac:dyDescent="0.25">
      <c r="I98" s="7" t="s">
        <v>4</v>
      </c>
      <c r="J98" s="1">
        <v>72270</v>
      </c>
      <c r="K98" s="1">
        <v>15124</v>
      </c>
      <c r="L98" s="1">
        <v>34810</v>
      </c>
      <c r="M98" s="1">
        <v>80800</v>
      </c>
      <c r="N98" s="1">
        <v>203004</v>
      </c>
      <c r="Q98" s="7" t="s">
        <v>4</v>
      </c>
      <c r="R98" s="1">
        <v>1372</v>
      </c>
      <c r="S98" s="1">
        <v>128</v>
      </c>
      <c r="T98" s="1">
        <v>280</v>
      </c>
      <c r="U98" s="1">
        <v>627</v>
      </c>
      <c r="V98" s="1">
        <v>2407</v>
      </c>
    </row>
    <row r="99" spans="9:22" x14ac:dyDescent="0.25">
      <c r="I99" s="7" t="s">
        <v>5</v>
      </c>
      <c r="J99" s="1">
        <v>166354</v>
      </c>
      <c r="K99" s="1"/>
      <c r="L99" s="1"/>
      <c r="M99" s="1">
        <v>53748</v>
      </c>
      <c r="N99" s="1">
        <v>220102</v>
      </c>
      <c r="Q99" s="7" t="s">
        <v>5</v>
      </c>
      <c r="R99" s="1">
        <v>3154</v>
      </c>
      <c r="S99" s="1"/>
      <c r="T99" s="1"/>
      <c r="U99" s="1">
        <v>428</v>
      </c>
      <c r="V99" s="1">
        <v>3582</v>
      </c>
    </row>
    <row r="100" spans="9:22" x14ac:dyDescent="0.25">
      <c r="I100" s="7" t="s">
        <v>6</v>
      </c>
      <c r="J100" s="1">
        <v>149166</v>
      </c>
      <c r="K100" s="1"/>
      <c r="L100" s="1">
        <v>24782</v>
      </c>
      <c r="M100" s="1"/>
      <c r="N100" s="1">
        <v>173948</v>
      </c>
      <c r="Q100" s="7" t="s">
        <v>6</v>
      </c>
      <c r="R100" s="1">
        <v>4706</v>
      </c>
      <c r="S100" s="1"/>
      <c r="T100" s="1">
        <v>202</v>
      </c>
      <c r="U100" s="1"/>
      <c r="V100" s="1">
        <v>4908</v>
      </c>
    </row>
    <row r="101" spans="9:22" x14ac:dyDescent="0.25">
      <c r="I101" s="7" t="s">
        <v>10</v>
      </c>
      <c r="J101" s="1">
        <v>247356</v>
      </c>
      <c r="K101" s="1">
        <v>14903</v>
      </c>
      <c r="L101" s="1">
        <v>14486</v>
      </c>
      <c r="M101" s="1">
        <v>50400</v>
      </c>
      <c r="N101" s="1">
        <v>327145</v>
      </c>
      <c r="Q101" s="7" t="s">
        <v>10</v>
      </c>
      <c r="R101" s="1">
        <v>4648</v>
      </c>
      <c r="S101" s="1">
        <v>126</v>
      </c>
      <c r="T101" s="1">
        <v>122</v>
      </c>
      <c r="U101" s="1">
        <v>400</v>
      </c>
      <c r="V101" s="1">
        <v>5296</v>
      </c>
    </row>
    <row r="102" spans="9:22" x14ac:dyDescent="0.25">
      <c r="I102" s="7" t="s">
        <v>11</v>
      </c>
      <c r="J102" s="1">
        <v>191650</v>
      </c>
      <c r="K102" s="1">
        <v>11749</v>
      </c>
      <c r="L102" s="1">
        <v>19668</v>
      </c>
      <c r="M102" s="1">
        <v>91416.99</v>
      </c>
      <c r="N102" s="1">
        <v>314483.99</v>
      </c>
      <c r="Q102" s="7" t="s">
        <v>11</v>
      </c>
      <c r="R102" s="1">
        <v>3626</v>
      </c>
      <c r="S102" s="1">
        <v>102</v>
      </c>
      <c r="T102" s="1">
        <v>164</v>
      </c>
      <c r="U102" s="1">
        <v>709</v>
      </c>
      <c r="V102" s="1">
        <v>4601</v>
      </c>
    </row>
    <row r="103" spans="9:22" x14ac:dyDescent="0.25">
      <c r="I103" s="7" t="s">
        <v>43</v>
      </c>
      <c r="J103" s="1">
        <v>1288010</v>
      </c>
      <c r="K103" s="1">
        <v>88300</v>
      </c>
      <c r="L103" s="1">
        <v>120917</v>
      </c>
      <c r="M103" s="1">
        <v>427368.99</v>
      </c>
      <c r="N103" s="1">
        <v>1924595.99</v>
      </c>
      <c r="Q103" s="7" t="s">
        <v>43</v>
      </c>
      <c r="R103" s="1">
        <v>26215</v>
      </c>
      <c r="S103" s="1">
        <v>738</v>
      </c>
      <c r="T103" s="1">
        <v>998</v>
      </c>
      <c r="U103" s="1">
        <v>3360</v>
      </c>
      <c r="V103" s="1">
        <v>31311</v>
      </c>
    </row>
    <row r="104" spans="9:22" x14ac:dyDescent="0.25">
      <c r="J104" s="3">
        <f>GETPIVOTDATA("Charge",$I$93)</f>
        <v>1924595.99</v>
      </c>
      <c r="R104" s="3">
        <f>GETPIVOTDATA("Consumption",$Q$93)</f>
        <v>31311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6DE70-0327-4545-99AE-CF3C3A26FFD8}">
  <dimension ref="A3:C46"/>
  <sheetViews>
    <sheetView topLeftCell="A16" workbookViewId="0">
      <selection activeCell="I19" sqref="I19"/>
    </sheetView>
  </sheetViews>
  <sheetFormatPr defaultRowHeight="15" x14ac:dyDescent="0.25"/>
  <cols>
    <col min="1" max="1" width="24.5703125" bestFit="1" customWidth="1"/>
    <col min="2" max="2" width="16.85546875" bestFit="1" customWidth="1"/>
    <col min="3" max="3" width="11.28515625" bestFit="1" customWidth="1"/>
    <col min="4" max="4" width="10.5703125" bestFit="1" customWidth="1"/>
    <col min="5" max="7" width="9.28515625" bestFit="1" customWidth="1"/>
    <col min="8" max="8" width="9.140625" bestFit="1" customWidth="1"/>
    <col min="9" max="9" width="10.140625" bestFit="1" customWidth="1"/>
    <col min="10" max="10" width="9.7109375" bestFit="1" customWidth="1"/>
    <col min="11" max="13" width="9.140625" bestFit="1" customWidth="1"/>
    <col min="14" max="14" width="9.28515625" bestFit="1" customWidth="1"/>
    <col min="15" max="15" width="10.5703125" bestFit="1" customWidth="1"/>
    <col min="16" max="16" width="9.42578125" bestFit="1" customWidth="1"/>
    <col min="17" max="18" width="9.85546875" bestFit="1" customWidth="1"/>
    <col min="19" max="19" width="11.5703125" bestFit="1" customWidth="1"/>
    <col min="20" max="25" width="7" bestFit="1" customWidth="1"/>
    <col min="26" max="26" width="6" bestFit="1" customWidth="1"/>
    <col min="27" max="50" width="7" bestFit="1" customWidth="1"/>
    <col min="51" max="52" width="6" bestFit="1" customWidth="1"/>
    <col min="53" max="59" width="7" bestFit="1" customWidth="1"/>
    <col min="60" max="60" width="6" bestFit="1" customWidth="1"/>
    <col min="61" max="102" width="7" bestFit="1" customWidth="1"/>
    <col min="103" max="103" width="6" bestFit="1" customWidth="1"/>
    <col min="104" max="106" width="7" bestFit="1" customWidth="1"/>
    <col min="107" max="107" width="6" bestFit="1" customWidth="1"/>
    <col min="108" max="109" width="7" bestFit="1" customWidth="1"/>
    <col min="110" max="110" width="6" bestFit="1" customWidth="1"/>
    <col min="111" max="111" width="7" bestFit="1" customWidth="1"/>
    <col min="112" max="112" width="6" bestFit="1" customWidth="1"/>
    <col min="113" max="118" width="7" bestFit="1" customWidth="1"/>
    <col min="119" max="119" width="6" bestFit="1" customWidth="1"/>
    <col min="120" max="155" width="7" bestFit="1" customWidth="1"/>
    <col min="156" max="169" width="8" bestFit="1" customWidth="1"/>
    <col min="170" max="170" width="11.28515625" bestFit="1" customWidth="1"/>
  </cols>
  <sheetData>
    <row r="3" spans="1:3" x14ac:dyDescent="0.25">
      <c r="A3" s="6" t="s">
        <v>52</v>
      </c>
      <c r="B3" s="6" t="s">
        <v>51</v>
      </c>
    </row>
    <row r="4" spans="1:3" x14ac:dyDescent="0.25">
      <c r="A4" s="6" t="s">
        <v>42</v>
      </c>
      <c r="B4" t="s">
        <v>19</v>
      </c>
      <c r="C4" t="s">
        <v>43</v>
      </c>
    </row>
    <row r="5" spans="1:3" x14ac:dyDescent="0.25">
      <c r="A5" s="7" t="s">
        <v>0</v>
      </c>
      <c r="B5" s="1">
        <v>351.89</v>
      </c>
      <c r="C5" s="1">
        <v>351.89</v>
      </c>
    </row>
    <row r="6" spans="1:3" x14ac:dyDescent="0.25">
      <c r="A6" s="7" t="s">
        <v>1</v>
      </c>
      <c r="B6" s="1">
        <v>499.92</v>
      </c>
      <c r="C6" s="1">
        <v>499.92</v>
      </c>
    </row>
    <row r="7" spans="1:3" x14ac:dyDescent="0.25">
      <c r="A7" s="7" t="s">
        <v>2</v>
      </c>
      <c r="B7" s="1">
        <v>409.16</v>
      </c>
      <c r="C7" s="1">
        <v>409.16</v>
      </c>
    </row>
    <row r="8" spans="1:3" x14ac:dyDescent="0.25">
      <c r="A8" s="7" t="s">
        <v>3</v>
      </c>
      <c r="B8" s="1">
        <v>576.23</v>
      </c>
      <c r="C8" s="1">
        <v>576.23</v>
      </c>
    </row>
    <row r="9" spans="1:3" x14ac:dyDescent="0.25">
      <c r="A9" s="7" t="s">
        <v>4</v>
      </c>
      <c r="B9" s="1">
        <v>351.05</v>
      </c>
      <c r="C9" s="1">
        <v>351.05</v>
      </c>
    </row>
    <row r="10" spans="1:3" x14ac:dyDescent="0.25">
      <c r="A10" s="7" t="s">
        <v>5</v>
      </c>
      <c r="B10" s="1">
        <v>578.94000000000005</v>
      </c>
      <c r="C10" s="1">
        <v>578.94000000000005</v>
      </c>
    </row>
    <row r="11" spans="1:3" x14ac:dyDescent="0.25">
      <c r="A11" s="7" t="s">
        <v>6</v>
      </c>
      <c r="B11" s="1">
        <v>1042.77</v>
      </c>
      <c r="C11" s="1">
        <v>1042.77</v>
      </c>
    </row>
    <row r="12" spans="1:3" x14ac:dyDescent="0.25">
      <c r="A12" s="7" t="s">
        <v>7</v>
      </c>
      <c r="B12" s="1">
        <v>432.52</v>
      </c>
      <c r="C12" s="1">
        <v>432.52</v>
      </c>
    </row>
    <row r="13" spans="1:3" x14ac:dyDescent="0.25">
      <c r="A13" s="7" t="s">
        <v>8</v>
      </c>
      <c r="B13" s="1">
        <v>1193.53</v>
      </c>
      <c r="C13" s="1">
        <v>1193.53</v>
      </c>
    </row>
    <row r="14" spans="1:3" x14ac:dyDescent="0.25">
      <c r="A14" s="7" t="s">
        <v>9</v>
      </c>
      <c r="B14" s="1">
        <v>159.5</v>
      </c>
      <c r="C14" s="1">
        <v>159.5</v>
      </c>
    </row>
    <row r="15" spans="1:3" x14ac:dyDescent="0.25">
      <c r="A15" s="7" t="s">
        <v>10</v>
      </c>
      <c r="B15" s="1">
        <v>939.24</v>
      </c>
      <c r="C15" s="1">
        <v>939.24</v>
      </c>
    </row>
    <row r="16" spans="1:3" x14ac:dyDescent="0.25">
      <c r="A16" s="7" t="s">
        <v>11</v>
      </c>
      <c r="B16" s="1">
        <v>298.92</v>
      </c>
      <c r="C16" s="1">
        <v>298.92</v>
      </c>
    </row>
    <row r="17" spans="1:3" x14ac:dyDescent="0.25">
      <c r="A17" s="7" t="s">
        <v>43</v>
      </c>
      <c r="B17" s="1">
        <v>6833.6699999999992</v>
      </c>
      <c r="C17" s="1">
        <v>6833.6699999999992</v>
      </c>
    </row>
    <row r="19" spans="1:3" x14ac:dyDescent="0.25">
      <c r="B19" s="3">
        <f>GETPIVOTDATA("Litres",$A$3)</f>
        <v>6833.6699999999992</v>
      </c>
      <c r="C19" s="3"/>
    </row>
    <row r="22" spans="1:3" x14ac:dyDescent="0.25">
      <c r="A22" s="6" t="s">
        <v>54</v>
      </c>
      <c r="B22" s="6" t="s">
        <v>51</v>
      </c>
    </row>
    <row r="23" spans="1:3" x14ac:dyDescent="0.25">
      <c r="A23" s="6" t="s">
        <v>42</v>
      </c>
      <c r="B23" t="s">
        <v>19</v>
      </c>
      <c r="C23" t="s">
        <v>43</v>
      </c>
    </row>
    <row r="24" spans="1:3" x14ac:dyDescent="0.25">
      <c r="A24" s="7" t="s">
        <v>0</v>
      </c>
      <c r="B24" s="1">
        <v>62594.152789646956</v>
      </c>
      <c r="C24" s="1">
        <v>62594.152789646956</v>
      </c>
    </row>
    <row r="25" spans="1:3" x14ac:dyDescent="0.25">
      <c r="A25" s="7" t="s">
        <v>1</v>
      </c>
      <c r="B25" s="1">
        <v>88925.712190173945</v>
      </c>
      <c r="C25" s="1">
        <v>88925.712190173945</v>
      </c>
    </row>
    <row r="26" spans="1:3" x14ac:dyDescent="0.25">
      <c r="A26" s="7" t="s">
        <v>2</v>
      </c>
      <c r="B26" s="1">
        <v>72781.333812873199</v>
      </c>
      <c r="C26" s="1">
        <v>72781.333812873199</v>
      </c>
    </row>
    <row r="27" spans="1:3" x14ac:dyDescent="0.25">
      <c r="A27" s="7" t="s">
        <v>3</v>
      </c>
      <c r="B27" s="1">
        <v>102499.72622688416</v>
      </c>
      <c r="C27" s="1">
        <v>102499.72622688416</v>
      </c>
    </row>
    <row r="28" spans="1:3" x14ac:dyDescent="0.25">
      <c r="A28" s="7" t="s">
        <v>4</v>
      </c>
      <c r="B28" s="1">
        <v>62444.7336861109</v>
      </c>
      <c r="C28" s="1">
        <v>62444.7336861109</v>
      </c>
    </row>
    <row r="29" spans="1:3" x14ac:dyDescent="0.25">
      <c r="A29" s="7" t="s">
        <v>5</v>
      </c>
      <c r="B29" s="1">
        <v>102981.78071567311</v>
      </c>
      <c r="C29" s="1">
        <v>102981.78071567311</v>
      </c>
    </row>
    <row r="30" spans="1:3" x14ac:dyDescent="0.25">
      <c r="A30" s="7" t="s">
        <v>6</v>
      </c>
      <c r="B30" s="1">
        <v>185487.80785035141</v>
      </c>
      <c r="C30" s="1">
        <v>185487.80785035141</v>
      </c>
    </row>
    <row r="31" spans="1:3" x14ac:dyDescent="0.25">
      <c r="A31" s="7" t="s">
        <v>7</v>
      </c>
      <c r="B31" s="1">
        <v>76936.607930256898</v>
      </c>
      <c r="C31" s="1">
        <v>76936.607930256898</v>
      </c>
    </row>
    <row r="32" spans="1:3" x14ac:dyDescent="0.25">
      <c r="A32" s="7" t="s">
        <v>8</v>
      </c>
      <c r="B32" s="1">
        <v>212304.97933737058</v>
      </c>
      <c r="C32" s="1">
        <v>212304.97933737058</v>
      </c>
    </row>
    <row r="33" spans="1:3" x14ac:dyDescent="0.25">
      <c r="A33" s="7" t="s">
        <v>9</v>
      </c>
      <c r="B33" s="1">
        <v>28371.84168333482</v>
      </c>
      <c r="C33" s="1">
        <v>28371.84168333482</v>
      </c>
    </row>
    <row r="34" spans="1:3" x14ac:dyDescent="0.25">
      <c r="A34" s="7" t="s">
        <v>10</v>
      </c>
      <c r="B34" s="1">
        <v>167071.90333953226</v>
      </c>
      <c r="C34" s="1">
        <v>167071.90333953226</v>
      </c>
    </row>
    <row r="35" spans="1:3" x14ac:dyDescent="0.25">
      <c r="A35" s="7" t="s">
        <v>11</v>
      </c>
      <c r="B35" s="1">
        <v>53171.855272617206</v>
      </c>
      <c r="C35" s="1">
        <v>53171.855272617206</v>
      </c>
    </row>
    <row r="36" spans="1:3" x14ac:dyDescent="0.25">
      <c r="A36" s="7" t="s">
        <v>43</v>
      </c>
      <c r="B36" s="1">
        <v>1215572.4348348253</v>
      </c>
      <c r="C36" s="1">
        <v>1215572.4348348253</v>
      </c>
    </row>
    <row r="38" spans="1:3" x14ac:dyDescent="0.25">
      <c r="B38" s="3">
        <f>GETPIVOTDATA("Cost",$A$22)</f>
        <v>1215572.4348348253</v>
      </c>
    </row>
    <row r="41" spans="1:3" x14ac:dyDescent="0.25">
      <c r="A41" s="6" t="s">
        <v>101</v>
      </c>
      <c r="B41" s="6" t="s">
        <v>51</v>
      </c>
    </row>
    <row r="42" spans="1:3" x14ac:dyDescent="0.25">
      <c r="A42" s="6" t="s">
        <v>42</v>
      </c>
      <c r="B42" t="s">
        <v>97</v>
      </c>
      <c r="C42" t="s">
        <v>43</v>
      </c>
    </row>
    <row r="43" spans="1:3" x14ac:dyDescent="0.25">
      <c r="A43" s="7" t="s">
        <v>25</v>
      </c>
      <c r="B43" s="4">
        <v>10.230025534143735</v>
      </c>
      <c r="C43" s="4">
        <v>10.230025534143735</v>
      </c>
    </row>
    <row r="44" spans="1:3" x14ac:dyDescent="0.25">
      <c r="A44" s="7" t="s">
        <v>26</v>
      </c>
      <c r="B44" s="4">
        <v>11.015607917451925</v>
      </c>
      <c r="C44" s="4">
        <v>11.015607917451925</v>
      </c>
    </row>
    <row r="45" spans="1:3" x14ac:dyDescent="0.25">
      <c r="A45" s="7" t="s">
        <v>29</v>
      </c>
      <c r="B45" s="4">
        <v>10.519772390379192</v>
      </c>
      <c r="C45" s="4">
        <v>10.519772390379192</v>
      </c>
    </row>
    <row r="46" spans="1:3" x14ac:dyDescent="0.25">
      <c r="A46" s="7" t="s">
        <v>43</v>
      </c>
      <c r="B46" s="4">
        <v>10.588468613991617</v>
      </c>
      <c r="C46" s="4">
        <v>10.588468613991617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6BD50-13EA-4F15-AB56-C4AE69FC60E9}">
  <dimension ref="A1:O205"/>
  <sheetViews>
    <sheetView workbookViewId="0">
      <selection activeCell="K18" sqref="K18"/>
    </sheetView>
  </sheetViews>
  <sheetFormatPr defaultRowHeight="15" x14ac:dyDescent="0.25"/>
  <cols>
    <col min="1" max="1" width="9" bestFit="1" customWidth="1"/>
    <col min="2" max="2" width="10.7109375" bestFit="1" customWidth="1"/>
    <col min="3" max="3" width="8.42578125" bestFit="1" customWidth="1"/>
    <col min="4" max="4" width="7.140625" bestFit="1" customWidth="1"/>
    <col min="5" max="5" width="12" bestFit="1" customWidth="1"/>
    <col min="10" max="10" width="11.28515625" customWidth="1"/>
    <col min="11" max="11" width="14.7109375" bestFit="1" customWidth="1"/>
    <col min="12" max="12" width="17" bestFit="1" customWidth="1"/>
    <col min="13" max="13" width="17.140625" bestFit="1" customWidth="1"/>
    <col min="14" max="14" width="12.85546875" bestFit="1" customWidth="1"/>
    <col min="15" max="15" width="16.7109375" bestFit="1" customWidth="1"/>
  </cols>
  <sheetData>
    <row r="1" spans="1:15" x14ac:dyDescent="0.25">
      <c r="A1" t="s">
        <v>12</v>
      </c>
      <c r="B1" t="s">
        <v>50</v>
      </c>
      <c r="C1" t="s">
        <v>36</v>
      </c>
      <c r="D1" t="s">
        <v>39</v>
      </c>
      <c r="E1" t="s">
        <v>53</v>
      </c>
      <c r="J1" t="s">
        <v>89</v>
      </c>
      <c r="K1" t="s">
        <v>94</v>
      </c>
      <c r="L1" t="s">
        <v>90</v>
      </c>
      <c r="M1" t="s">
        <v>91</v>
      </c>
      <c r="N1" t="s">
        <v>92</v>
      </c>
      <c r="O1" t="s">
        <v>93</v>
      </c>
    </row>
    <row r="2" spans="1:15" x14ac:dyDescent="0.25">
      <c r="A2" t="s">
        <v>0</v>
      </c>
      <c r="B2" t="s">
        <v>19</v>
      </c>
      <c r="C2">
        <v>351.89</v>
      </c>
      <c r="D2" t="s">
        <v>18</v>
      </c>
      <c r="E2" s="3">
        <v>62594.152789646956</v>
      </c>
      <c r="J2" s="10" t="s">
        <v>19</v>
      </c>
      <c r="K2" s="22" t="s">
        <v>95</v>
      </c>
      <c r="L2" s="3">
        <v>15590</v>
      </c>
      <c r="M2" s="3">
        <v>7274.48</v>
      </c>
      <c r="N2" s="3">
        <v>1301020.4220999996</v>
      </c>
      <c r="O2" s="2">
        <f>Table9[[#This Row],[Annual Mileage]]/Table9[[#This Row],[Fuel Purchased]]</f>
        <v>2.1431085108488857</v>
      </c>
    </row>
    <row r="3" spans="1:15" x14ac:dyDescent="0.25">
      <c r="A3" t="s">
        <v>1</v>
      </c>
      <c r="B3" t="s">
        <v>19</v>
      </c>
      <c r="C3">
        <v>499.92</v>
      </c>
      <c r="D3" t="s">
        <v>18</v>
      </c>
      <c r="E3" s="3">
        <v>88925.712190173945</v>
      </c>
      <c r="J3" s="11" t="s">
        <v>20</v>
      </c>
      <c r="K3" t="s">
        <v>95</v>
      </c>
      <c r="L3" s="3">
        <v>16486</v>
      </c>
      <c r="M3" s="3">
        <v>8077.3900000000012</v>
      </c>
      <c r="N3" s="3">
        <v>1440334.6940000004</v>
      </c>
      <c r="O3" s="2">
        <f>Table9[[#This Row],[Annual Mileage]]/Table9[[#This Row],[Fuel Purchased]]</f>
        <v>2.0410058199492656</v>
      </c>
    </row>
    <row r="4" spans="1:15" x14ac:dyDescent="0.25">
      <c r="A4" t="s">
        <v>2</v>
      </c>
      <c r="B4" t="s">
        <v>19</v>
      </c>
      <c r="C4">
        <v>409.16</v>
      </c>
      <c r="D4" t="s">
        <v>18</v>
      </c>
      <c r="E4" s="3">
        <v>72781.333812873199</v>
      </c>
      <c r="J4" s="10" t="s">
        <v>21</v>
      </c>
      <c r="K4" s="22" t="s">
        <v>95</v>
      </c>
      <c r="L4" s="3">
        <v>17163</v>
      </c>
      <c r="M4" s="3">
        <v>4916.829999999999</v>
      </c>
      <c r="N4" s="3">
        <v>880675.38100000005</v>
      </c>
      <c r="O4" s="2">
        <f>Table9[[#This Row],[Annual Mileage]]/Table9[[#This Row],[Fuel Purchased]]</f>
        <v>3.4906636999855607</v>
      </c>
    </row>
    <row r="5" spans="1:15" x14ac:dyDescent="0.25">
      <c r="A5" t="s">
        <v>3</v>
      </c>
      <c r="B5" t="s">
        <v>19</v>
      </c>
      <c r="C5">
        <v>576.23</v>
      </c>
      <c r="D5" t="s">
        <v>18</v>
      </c>
      <c r="E5" s="3">
        <v>102499.72622688416</v>
      </c>
      <c r="J5" s="11" t="s">
        <v>22</v>
      </c>
      <c r="K5" t="s">
        <v>95</v>
      </c>
      <c r="L5" s="3">
        <v>21008</v>
      </c>
      <c r="M5" s="3">
        <v>5258.95</v>
      </c>
      <c r="N5" s="3">
        <v>937937.87</v>
      </c>
      <c r="O5" s="2">
        <f>Table9[[#This Row],[Annual Mileage]]/Table9[[#This Row],[Fuel Purchased]]</f>
        <v>3.9947137736620428</v>
      </c>
    </row>
    <row r="6" spans="1:15" x14ac:dyDescent="0.25">
      <c r="A6" t="s">
        <v>4</v>
      </c>
      <c r="B6" t="s">
        <v>19</v>
      </c>
      <c r="C6">
        <v>351.05</v>
      </c>
      <c r="D6" t="s">
        <v>18</v>
      </c>
      <c r="E6" s="3">
        <v>62444.7336861109</v>
      </c>
      <c r="J6" s="10" t="s">
        <v>23</v>
      </c>
      <c r="K6" s="22" t="s">
        <v>96</v>
      </c>
      <c r="L6" s="3">
        <v>9418</v>
      </c>
      <c r="M6" s="3">
        <v>1513.22</v>
      </c>
      <c r="N6" s="3">
        <v>291002.55000000005</v>
      </c>
      <c r="O6" s="2">
        <f>Table9[[#This Row],[Annual Mileage]]/Table9[[#This Row],[Fuel Purchased]]</f>
        <v>6.2238141182379296</v>
      </c>
    </row>
    <row r="7" spans="1:15" x14ac:dyDescent="0.25">
      <c r="A7" t="s">
        <v>5</v>
      </c>
      <c r="B7" t="s">
        <v>19</v>
      </c>
      <c r="C7">
        <v>578.94000000000005</v>
      </c>
      <c r="D7" t="s">
        <v>18</v>
      </c>
      <c r="E7" s="3">
        <v>102981.78071567311</v>
      </c>
      <c r="J7" s="11" t="s">
        <v>24</v>
      </c>
      <c r="K7" t="s">
        <v>95</v>
      </c>
      <c r="L7" s="3">
        <v>12179</v>
      </c>
      <c r="M7" s="3">
        <v>3207.76</v>
      </c>
      <c r="N7" s="3">
        <v>560354.826</v>
      </c>
      <c r="O7" s="2">
        <f>Table9[[#This Row],[Annual Mileage]]/Table9[[#This Row],[Fuel Purchased]]</f>
        <v>3.7967304287103771</v>
      </c>
    </row>
    <row r="8" spans="1:15" x14ac:dyDescent="0.25">
      <c r="A8" t="s">
        <v>6</v>
      </c>
      <c r="B8" t="s">
        <v>19</v>
      </c>
      <c r="C8">
        <v>1042.77</v>
      </c>
      <c r="D8" t="s">
        <v>18</v>
      </c>
      <c r="E8" s="3">
        <v>185487.80785035141</v>
      </c>
      <c r="J8" s="10" t="s">
        <v>25</v>
      </c>
      <c r="K8" s="22" t="s">
        <v>97</v>
      </c>
      <c r="L8" s="3">
        <v>28125</v>
      </c>
      <c r="M8" s="3">
        <v>2749.2599999999998</v>
      </c>
      <c r="N8" s="3">
        <v>537965.34800000011</v>
      </c>
      <c r="O8" s="2">
        <f>Table9[[#This Row],[Annual Mileage]]/Table9[[#This Row],[Fuel Purchased]]</f>
        <v>10.230025534143735</v>
      </c>
    </row>
    <row r="9" spans="1:15" x14ac:dyDescent="0.25">
      <c r="A9" t="s">
        <v>7</v>
      </c>
      <c r="B9" t="s">
        <v>19</v>
      </c>
      <c r="C9">
        <v>432.52</v>
      </c>
      <c r="D9" t="s">
        <v>18</v>
      </c>
      <c r="E9" s="3">
        <v>76936.607930256898</v>
      </c>
      <c r="J9" s="11" t="s">
        <v>26</v>
      </c>
      <c r="K9" t="s">
        <v>97</v>
      </c>
      <c r="L9" s="3">
        <v>21159</v>
      </c>
      <c r="M9" s="3">
        <v>1920.8199999999995</v>
      </c>
      <c r="N9" s="3">
        <v>375175.46600000013</v>
      </c>
      <c r="O9" s="2">
        <f>Table9[[#This Row],[Annual Mileage]]/Table9[[#This Row],[Fuel Purchased]]</f>
        <v>11.015607917451925</v>
      </c>
    </row>
    <row r="10" spans="1:15" x14ac:dyDescent="0.25">
      <c r="A10" t="s">
        <v>8</v>
      </c>
      <c r="B10" t="s">
        <v>19</v>
      </c>
      <c r="C10">
        <v>1193.53</v>
      </c>
      <c r="D10" t="s">
        <v>18</v>
      </c>
      <c r="E10" s="3">
        <v>212304.97933737058</v>
      </c>
      <c r="J10" s="10" t="s">
        <v>27</v>
      </c>
      <c r="K10" s="22" t="s">
        <v>98</v>
      </c>
      <c r="L10" s="3">
        <v>25536</v>
      </c>
      <c r="M10" s="3">
        <v>2958.2700000000004</v>
      </c>
      <c r="N10" s="3">
        <v>530414.59899999993</v>
      </c>
      <c r="O10" s="2">
        <f>Table9[[#This Row],[Annual Mileage]]/Table9[[#This Row],[Fuel Purchased]]</f>
        <v>8.6320721232341864</v>
      </c>
    </row>
    <row r="11" spans="1:15" x14ac:dyDescent="0.25">
      <c r="A11" t="s">
        <v>9</v>
      </c>
      <c r="B11" t="s">
        <v>19</v>
      </c>
      <c r="C11">
        <v>159.5</v>
      </c>
      <c r="D11" t="s">
        <v>18</v>
      </c>
      <c r="E11" s="3">
        <v>28371.84168333482</v>
      </c>
      <c r="J11" s="11" t="s">
        <v>28</v>
      </c>
      <c r="K11" t="s">
        <v>99</v>
      </c>
      <c r="L11" s="3">
        <v>18481</v>
      </c>
      <c r="M11" s="3">
        <v>2613.4500000000012</v>
      </c>
      <c r="N11" s="3">
        <v>504309.17430000019</v>
      </c>
      <c r="O11" s="2">
        <f>Table9[[#This Row],[Annual Mileage]]/Table9[[#This Row],[Fuel Purchased]]</f>
        <v>7.0714955327249394</v>
      </c>
    </row>
    <row r="12" spans="1:15" x14ac:dyDescent="0.25">
      <c r="A12" t="s">
        <v>10</v>
      </c>
      <c r="B12" t="s">
        <v>19</v>
      </c>
      <c r="C12">
        <v>939.24</v>
      </c>
      <c r="D12" t="s">
        <v>18</v>
      </c>
      <c r="E12" s="3">
        <v>167071.90333953226</v>
      </c>
      <c r="J12" s="10" t="s">
        <v>29</v>
      </c>
      <c r="K12" s="22" t="s">
        <v>97</v>
      </c>
      <c r="L12" s="3">
        <v>37400</v>
      </c>
      <c r="M12" s="3">
        <v>3555.2099999999996</v>
      </c>
      <c r="N12" s="3">
        <v>683856.25509999995</v>
      </c>
      <c r="O12" s="2">
        <f>Table9[[#This Row],[Annual Mileage]]/Table9[[#This Row],[Fuel Purchased]]</f>
        <v>10.519772390379192</v>
      </c>
    </row>
    <row r="13" spans="1:15" x14ac:dyDescent="0.25">
      <c r="A13" t="s">
        <v>11</v>
      </c>
      <c r="B13" t="s">
        <v>19</v>
      </c>
      <c r="C13">
        <v>298.92</v>
      </c>
      <c r="D13" t="s">
        <v>18</v>
      </c>
      <c r="E13" s="3">
        <v>53171.855272617206</v>
      </c>
      <c r="J13" s="11" t="s">
        <v>30</v>
      </c>
      <c r="K13" t="s">
        <v>99</v>
      </c>
      <c r="L13" s="3">
        <v>2897</v>
      </c>
      <c r="M13" s="3">
        <v>229.47999999999996</v>
      </c>
      <c r="N13" s="3">
        <v>41785.336000000003</v>
      </c>
      <c r="O13" s="2">
        <f>Table9[[#This Row],[Annual Mileage]]/Table9[[#This Row],[Fuel Purchased]]</f>
        <v>12.624193829527631</v>
      </c>
    </row>
    <row r="14" spans="1:15" x14ac:dyDescent="0.25">
      <c r="A14" t="s">
        <v>0</v>
      </c>
      <c r="B14" t="s">
        <v>20</v>
      </c>
      <c r="C14">
        <v>659.63</v>
      </c>
      <c r="D14" t="s">
        <v>18</v>
      </c>
      <c r="E14" s="3">
        <v>117334.90864939278</v>
      </c>
      <c r="J14" s="10" t="s">
        <v>31</v>
      </c>
      <c r="K14" s="22" t="s">
        <v>95</v>
      </c>
      <c r="L14" s="3">
        <v>18723</v>
      </c>
      <c r="M14" s="3">
        <v>9121.74</v>
      </c>
      <c r="N14" s="3">
        <v>1638029.6789999995</v>
      </c>
      <c r="O14" s="2">
        <f>Table9[[#This Row],[Annual Mileage]]/Table9[[#This Row],[Fuel Purchased]]</f>
        <v>2.052568917772267</v>
      </c>
    </row>
    <row r="15" spans="1:15" x14ac:dyDescent="0.25">
      <c r="A15" t="s">
        <v>1</v>
      </c>
      <c r="B15" t="s">
        <v>20</v>
      </c>
      <c r="C15">
        <v>758.23</v>
      </c>
      <c r="D15" t="s">
        <v>18</v>
      </c>
      <c r="E15" s="3">
        <v>134873.86532636339</v>
      </c>
      <c r="J15" s="11" t="s">
        <v>32</v>
      </c>
      <c r="K15" t="s">
        <v>99</v>
      </c>
      <c r="L15" s="3">
        <v>15346</v>
      </c>
      <c r="M15" s="3">
        <v>1888.0299999999995</v>
      </c>
      <c r="N15" s="3">
        <v>363832.0199999999</v>
      </c>
      <c r="O15" s="2">
        <f>Table9[[#This Row],[Annual Mileage]]/Table9[[#This Row],[Fuel Purchased]]</f>
        <v>8.1280488127836978</v>
      </c>
    </row>
    <row r="16" spans="1:15" x14ac:dyDescent="0.25">
      <c r="A16" t="s">
        <v>2</v>
      </c>
      <c r="B16" t="s">
        <v>20</v>
      </c>
      <c r="C16">
        <v>374.85</v>
      </c>
      <c r="D16" t="s">
        <v>18</v>
      </c>
      <c r="E16" s="3">
        <v>66678.274952965876</v>
      </c>
      <c r="J16" s="10" t="s">
        <v>33</v>
      </c>
      <c r="K16" s="22" t="s">
        <v>99</v>
      </c>
      <c r="L16" s="3">
        <v>23526</v>
      </c>
      <c r="M16" s="3">
        <v>3262.7599999999984</v>
      </c>
      <c r="N16" s="3">
        <v>582035.6399999999</v>
      </c>
      <c r="O16" s="2">
        <f>Table9[[#This Row],[Annual Mileage]]/Table9[[#This Row],[Fuel Purchased]]</f>
        <v>7.2104598560727764</v>
      </c>
    </row>
    <row r="17" spans="1:15" x14ac:dyDescent="0.25">
      <c r="A17" t="s">
        <v>3</v>
      </c>
      <c r="B17" t="s">
        <v>20</v>
      </c>
      <c r="C17">
        <v>602.98</v>
      </c>
      <c r="D17" t="s">
        <v>18</v>
      </c>
      <c r="E17" s="3">
        <v>107258.01315496696</v>
      </c>
      <c r="J17" s="11" t="s">
        <v>34</v>
      </c>
      <c r="K17" t="s">
        <v>100</v>
      </c>
      <c r="L17" s="3">
        <v>44720</v>
      </c>
      <c r="M17" s="3">
        <v>4826.2499999999982</v>
      </c>
      <c r="N17" s="3">
        <v>865610.804</v>
      </c>
      <c r="O17" s="2">
        <f>Table9[[#This Row],[Annual Mileage]]/Table9[[#This Row],[Fuel Purchased]]</f>
        <v>9.26599326599327</v>
      </c>
    </row>
    <row r="18" spans="1:15" x14ac:dyDescent="0.25">
      <c r="A18" t="s">
        <v>4</v>
      </c>
      <c r="B18" t="s">
        <v>20</v>
      </c>
      <c r="C18">
        <v>742.17</v>
      </c>
      <c r="D18" t="s">
        <v>18</v>
      </c>
      <c r="E18" s="3">
        <v>132017.11437066208</v>
      </c>
    </row>
    <row r="19" spans="1:15" x14ac:dyDescent="0.25">
      <c r="A19" t="s">
        <v>5</v>
      </c>
      <c r="B19" t="s">
        <v>20</v>
      </c>
      <c r="C19">
        <v>723.61</v>
      </c>
      <c r="D19" t="s">
        <v>18</v>
      </c>
      <c r="E19" s="3">
        <v>128715.66370205586</v>
      </c>
    </row>
    <row r="20" spans="1:15" x14ac:dyDescent="0.25">
      <c r="A20" t="s">
        <v>6</v>
      </c>
      <c r="B20" t="s">
        <v>20</v>
      </c>
      <c r="C20">
        <v>985.14</v>
      </c>
      <c r="D20" t="s">
        <v>18</v>
      </c>
      <c r="E20" s="3">
        <v>175236.59006846684</v>
      </c>
    </row>
    <row r="21" spans="1:15" x14ac:dyDescent="0.25">
      <c r="A21" t="s">
        <v>7</v>
      </c>
      <c r="B21" t="s">
        <v>20</v>
      </c>
      <c r="C21">
        <v>766.95</v>
      </c>
      <c r="D21" t="s">
        <v>18</v>
      </c>
      <c r="E21" s="3">
        <v>136424.9779249758</v>
      </c>
    </row>
    <row r="22" spans="1:15" x14ac:dyDescent="0.25">
      <c r="A22" t="s">
        <v>8</v>
      </c>
      <c r="B22" t="s">
        <v>20</v>
      </c>
      <c r="C22">
        <v>492.46</v>
      </c>
      <c r="D22" t="s">
        <v>18</v>
      </c>
      <c r="E22" s="3">
        <v>87598.728246865605</v>
      </c>
    </row>
    <row r="23" spans="1:15" x14ac:dyDescent="0.25">
      <c r="A23" t="s">
        <v>9</v>
      </c>
      <c r="B23" t="s">
        <v>20</v>
      </c>
      <c r="C23">
        <v>630.82000000000005</v>
      </c>
      <c r="D23" t="s">
        <v>18</v>
      </c>
      <c r="E23" s="3">
        <v>112210.18915787632</v>
      </c>
    </row>
    <row r="24" spans="1:15" x14ac:dyDescent="0.25">
      <c r="A24" t="s">
        <v>10</v>
      </c>
      <c r="B24" t="s">
        <v>20</v>
      </c>
      <c r="C24">
        <v>835.76</v>
      </c>
      <c r="D24" t="s">
        <v>18</v>
      </c>
      <c r="E24" s="3">
        <v>148664.89282297122</v>
      </c>
    </row>
    <row r="25" spans="1:15" x14ac:dyDescent="0.25">
      <c r="A25" t="s">
        <v>11</v>
      </c>
      <c r="B25" t="s">
        <v>20</v>
      </c>
      <c r="C25">
        <v>455.64</v>
      </c>
      <c r="D25" t="s">
        <v>18</v>
      </c>
      <c r="E25" s="3">
        <v>81049.190875201733</v>
      </c>
    </row>
    <row r="26" spans="1:15" x14ac:dyDescent="0.25">
      <c r="A26" t="s">
        <v>0</v>
      </c>
      <c r="B26" t="s">
        <v>21</v>
      </c>
      <c r="C26">
        <v>391.37</v>
      </c>
      <c r="D26" t="s">
        <v>18</v>
      </c>
      <c r="E26" s="3">
        <v>69616.850655841685</v>
      </c>
    </row>
    <row r="27" spans="1:15" x14ac:dyDescent="0.25">
      <c r="A27" t="s">
        <v>1</v>
      </c>
      <c r="B27" t="s">
        <v>21</v>
      </c>
      <c r="C27">
        <v>611.75</v>
      </c>
      <c r="D27" t="s">
        <v>18</v>
      </c>
      <c r="E27" s="3">
        <v>108818.01974783746</v>
      </c>
    </row>
    <row r="28" spans="1:15" x14ac:dyDescent="0.25">
      <c r="A28" t="s">
        <v>2</v>
      </c>
      <c r="B28" t="s">
        <v>21</v>
      </c>
      <c r="C28">
        <v>129.04</v>
      </c>
      <c r="D28" t="s">
        <v>18</v>
      </c>
      <c r="E28" s="3">
        <v>22953.620381301098</v>
      </c>
    </row>
    <row r="29" spans="1:15" x14ac:dyDescent="0.25">
      <c r="A29" t="s">
        <v>3</v>
      </c>
      <c r="B29" t="s">
        <v>21</v>
      </c>
      <c r="C29">
        <v>271.12</v>
      </c>
      <c r="D29" t="s">
        <v>18</v>
      </c>
      <c r="E29" s="3">
        <v>48226.794465114333</v>
      </c>
    </row>
    <row r="30" spans="1:15" x14ac:dyDescent="0.25">
      <c r="A30" t="s">
        <v>4</v>
      </c>
      <c r="B30" t="s">
        <v>21</v>
      </c>
      <c r="C30">
        <v>789.44</v>
      </c>
      <c r="D30" t="s">
        <v>18</v>
      </c>
      <c r="E30" s="3">
        <v>140425.49654226861</v>
      </c>
    </row>
    <row r="31" spans="1:15" x14ac:dyDescent="0.25">
      <c r="A31" t="s">
        <v>5</v>
      </c>
      <c r="B31" t="s">
        <v>21</v>
      </c>
      <c r="C31">
        <v>319.44</v>
      </c>
      <c r="D31" t="s">
        <v>18</v>
      </c>
      <c r="E31" s="3">
        <v>56821.950516140903</v>
      </c>
    </row>
    <row r="32" spans="1:15" x14ac:dyDescent="0.25">
      <c r="A32" t="s">
        <v>6</v>
      </c>
      <c r="B32" t="s">
        <v>21</v>
      </c>
      <c r="C32">
        <v>430.76</v>
      </c>
      <c r="D32" t="s">
        <v>18</v>
      </c>
      <c r="E32" s="3">
        <v>76623.539332371831</v>
      </c>
    </row>
    <row r="33" spans="1:5" x14ac:dyDescent="0.25">
      <c r="A33" t="s">
        <v>7</v>
      </c>
      <c r="B33" t="s">
        <v>21</v>
      </c>
      <c r="C33">
        <v>593.02</v>
      </c>
      <c r="D33" t="s">
        <v>18</v>
      </c>
      <c r="E33" s="3">
        <v>105486.32949875369</v>
      </c>
    </row>
    <row r="34" spans="1:5" x14ac:dyDescent="0.25">
      <c r="A34" t="s">
        <v>8</v>
      </c>
      <c r="B34" t="s">
        <v>21</v>
      </c>
      <c r="C34">
        <v>446.97</v>
      </c>
      <c r="D34" t="s">
        <v>18</v>
      </c>
      <c r="E34" s="3">
        <v>79506.972270847429</v>
      </c>
    </row>
    <row r="35" spans="1:5" x14ac:dyDescent="0.25">
      <c r="A35" t="s">
        <v>9</v>
      </c>
      <c r="B35" t="s">
        <v>21</v>
      </c>
      <c r="C35">
        <v>232.37</v>
      </c>
      <c r="D35" t="s">
        <v>18</v>
      </c>
      <c r="E35" s="3">
        <v>41333.948915087851</v>
      </c>
    </row>
    <row r="36" spans="1:5" x14ac:dyDescent="0.25">
      <c r="A36" t="s">
        <v>10</v>
      </c>
      <c r="B36" t="s">
        <v>21</v>
      </c>
      <c r="C36">
        <v>470.4</v>
      </c>
      <c r="D36" t="s">
        <v>18</v>
      </c>
      <c r="E36" s="3">
        <v>83674.697980192461</v>
      </c>
    </row>
    <row r="37" spans="1:5" x14ac:dyDescent="0.25">
      <c r="A37" t="s">
        <v>11</v>
      </c>
      <c r="B37" t="s">
        <v>21</v>
      </c>
      <c r="C37">
        <v>231.15</v>
      </c>
      <c r="D37" t="s">
        <v>18</v>
      </c>
      <c r="E37" s="3">
        <v>41116.935455190243</v>
      </c>
    </row>
    <row r="38" spans="1:5" x14ac:dyDescent="0.25">
      <c r="A38" t="s">
        <v>0</v>
      </c>
      <c r="B38" t="s">
        <v>22</v>
      </c>
      <c r="C38">
        <v>269.81</v>
      </c>
      <c r="D38" t="s">
        <v>18</v>
      </c>
      <c r="E38" s="3">
        <v>47993.771815552151</v>
      </c>
    </row>
    <row r="39" spans="1:5" x14ac:dyDescent="0.25">
      <c r="A39" t="s">
        <v>1</v>
      </c>
      <c r="B39" t="s">
        <v>22</v>
      </c>
      <c r="C39">
        <v>733.61</v>
      </c>
      <c r="D39" t="s">
        <v>18</v>
      </c>
      <c r="E39" s="3">
        <v>130494.46255367559</v>
      </c>
    </row>
    <row r="40" spans="1:5" x14ac:dyDescent="0.25">
      <c r="A40" t="s">
        <v>2</v>
      </c>
      <c r="B40" t="s">
        <v>22</v>
      </c>
      <c r="C40">
        <v>454.14</v>
      </c>
      <c r="D40" t="s">
        <v>18</v>
      </c>
      <c r="E40" s="3">
        <v>80782.371047458771</v>
      </c>
    </row>
    <row r="41" spans="1:5" x14ac:dyDescent="0.25">
      <c r="A41" t="s">
        <v>3</v>
      </c>
      <c r="B41" t="s">
        <v>22</v>
      </c>
      <c r="C41">
        <v>200.76</v>
      </c>
      <c r="D41" t="s">
        <v>18</v>
      </c>
      <c r="E41" s="3">
        <v>35711.165745117854</v>
      </c>
    </row>
    <row r="42" spans="1:5" x14ac:dyDescent="0.25">
      <c r="A42" t="s">
        <v>4</v>
      </c>
      <c r="B42" t="s">
        <v>22</v>
      </c>
      <c r="C42">
        <v>137.77000000000001</v>
      </c>
      <c r="D42" t="s">
        <v>18</v>
      </c>
      <c r="E42" s="3">
        <v>24506.511778765132</v>
      </c>
    </row>
    <row r="43" spans="1:5" x14ac:dyDescent="0.25">
      <c r="A43" t="s">
        <v>5</v>
      </c>
      <c r="B43" t="s">
        <v>22</v>
      </c>
      <c r="C43">
        <v>472.94</v>
      </c>
      <c r="D43" t="s">
        <v>18</v>
      </c>
      <c r="E43" s="3">
        <v>84126.512888503887</v>
      </c>
    </row>
    <row r="44" spans="1:5" x14ac:dyDescent="0.25">
      <c r="A44" t="s">
        <v>6</v>
      </c>
      <c r="B44" t="s">
        <v>22</v>
      </c>
      <c r="C44">
        <v>393.69</v>
      </c>
      <c r="D44" t="s">
        <v>18</v>
      </c>
      <c r="E44" s="3">
        <v>70029.531989417461</v>
      </c>
    </row>
    <row r="45" spans="1:5" x14ac:dyDescent="0.25">
      <c r="A45" t="s">
        <v>7</v>
      </c>
      <c r="B45" t="s">
        <v>22</v>
      </c>
      <c r="C45">
        <v>936.91</v>
      </c>
      <c r="D45" t="s">
        <v>18</v>
      </c>
      <c r="E45" s="3">
        <v>166657.44320710486</v>
      </c>
    </row>
    <row r="46" spans="1:5" x14ac:dyDescent="0.25">
      <c r="A46" t="s">
        <v>8</v>
      </c>
      <c r="B46" t="s">
        <v>22</v>
      </c>
      <c r="C46">
        <v>478.56</v>
      </c>
      <c r="D46" t="s">
        <v>18</v>
      </c>
      <c r="E46" s="3">
        <v>85126.197843114176</v>
      </c>
    </row>
    <row r="47" spans="1:5" x14ac:dyDescent="0.25">
      <c r="A47" t="s">
        <v>9</v>
      </c>
      <c r="B47" t="s">
        <v>22</v>
      </c>
      <c r="C47">
        <v>375.16</v>
      </c>
      <c r="D47" t="s">
        <v>18</v>
      </c>
      <c r="E47" s="3">
        <v>66733.417717366086</v>
      </c>
    </row>
    <row r="48" spans="1:5" x14ac:dyDescent="0.25">
      <c r="A48" t="s">
        <v>10</v>
      </c>
      <c r="B48" t="s">
        <v>22</v>
      </c>
      <c r="C48">
        <v>554.07000000000005</v>
      </c>
      <c r="D48" t="s">
        <v>18</v>
      </c>
      <c r="E48" s="3">
        <v>98557.907971694833</v>
      </c>
    </row>
    <row r="49" spans="1:5" x14ac:dyDescent="0.25">
      <c r="A49" t="s">
        <v>11</v>
      </c>
      <c r="B49" t="s">
        <v>22</v>
      </c>
      <c r="C49">
        <v>251.53</v>
      </c>
      <c r="D49" t="s">
        <v>18</v>
      </c>
      <c r="E49" s="3">
        <v>44742.127514791267</v>
      </c>
    </row>
    <row r="50" spans="1:5" x14ac:dyDescent="0.25">
      <c r="A50" t="s">
        <v>0</v>
      </c>
      <c r="B50" t="s">
        <v>23</v>
      </c>
      <c r="C50">
        <v>57.4</v>
      </c>
      <c r="D50" t="s">
        <v>17</v>
      </c>
      <c r="E50" s="3">
        <v>11115.530008709578</v>
      </c>
    </row>
    <row r="51" spans="1:5" x14ac:dyDescent="0.25">
      <c r="A51" t="s">
        <v>1</v>
      </c>
      <c r="B51" t="s">
        <v>23</v>
      </c>
      <c r="C51">
        <v>130.13</v>
      </c>
      <c r="D51" t="s">
        <v>17</v>
      </c>
      <c r="E51" s="3">
        <v>25199.719861208665</v>
      </c>
    </row>
    <row r="52" spans="1:5" x14ac:dyDescent="0.25">
      <c r="A52" t="s">
        <v>2</v>
      </c>
      <c r="B52" t="s">
        <v>23</v>
      </c>
      <c r="C52">
        <v>181.39</v>
      </c>
      <c r="D52" t="s">
        <v>17</v>
      </c>
      <c r="E52" s="3">
        <v>35126.236729613767</v>
      </c>
    </row>
    <row r="53" spans="1:5" x14ac:dyDescent="0.25">
      <c r="A53" t="s">
        <v>3</v>
      </c>
      <c r="B53" t="s">
        <v>23</v>
      </c>
      <c r="C53">
        <v>128.88</v>
      </c>
      <c r="D53" t="s">
        <v>17</v>
      </c>
      <c r="E53" s="3">
        <v>24957.656925478928</v>
      </c>
    </row>
    <row r="54" spans="1:5" x14ac:dyDescent="0.25">
      <c r="A54" t="s">
        <v>4</v>
      </c>
      <c r="B54" t="s">
        <v>23</v>
      </c>
      <c r="C54">
        <v>177.71</v>
      </c>
      <c r="D54" t="s">
        <v>17</v>
      </c>
      <c r="E54" s="3">
        <v>34413.603446825422</v>
      </c>
    </row>
    <row r="55" spans="1:5" x14ac:dyDescent="0.25">
      <c r="A55" t="s">
        <v>5</v>
      </c>
      <c r="B55" t="s">
        <v>23</v>
      </c>
      <c r="C55">
        <v>135.75</v>
      </c>
      <c r="D55" t="s">
        <v>17</v>
      </c>
      <c r="E55" s="3">
        <v>26288.03482024957</v>
      </c>
    </row>
    <row r="56" spans="1:5" x14ac:dyDescent="0.25">
      <c r="A56" t="s">
        <v>6</v>
      </c>
      <c r="B56" t="s">
        <v>23</v>
      </c>
      <c r="C56">
        <v>138.94</v>
      </c>
      <c r="D56" t="s">
        <v>17</v>
      </c>
      <c r="E56" s="3">
        <v>26905.779432231859</v>
      </c>
    </row>
    <row r="57" spans="1:5" x14ac:dyDescent="0.25">
      <c r="A57" t="s">
        <v>7</v>
      </c>
      <c r="B57" t="s">
        <v>23</v>
      </c>
      <c r="C57">
        <v>126.03</v>
      </c>
      <c r="D57" t="s">
        <v>17</v>
      </c>
      <c r="E57" s="3">
        <v>24405.753432015124</v>
      </c>
    </row>
    <row r="58" spans="1:5" x14ac:dyDescent="0.25">
      <c r="A58" t="s">
        <v>8</v>
      </c>
      <c r="B58" t="s">
        <v>23</v>
      </c>
      <c r="C58">
        <v>254.16</v>
      </c>
      <c r="D58" t="s">
        <v>17</v>
      </c>
      <c r="E58" s="3">
        <v>49218.172596056211</v>
      </c>
    </row>
    <row r="59" spans="1:5" x14ac:dyDescent="0.25">
      <c r="A59" t="s">
        <v>9</v>
      </c>
      <c r="B59" t="s">
        <v>23</v>
      </c>
      <c r="C59">
        <v>64.010000000000005</v>
      </c>
      <c r="D59" t="s">
        <v>17</v>
      </c>
      <c r="E59" s="3">
        <v>12395.558812848434</v>
      </c>
    </row>
    <row r="60" spans="1:5" x14ac:dyDescent="0.25">
      <c r="A60" t="s">
        <v>10</v>
      </c>
      <c r="B60" t="s">
        <v>23</v>
      </c>
      <c r="C60">
        <v>62.98</v>
      </c>
      <c r="D60" t="s">
        <v>17</v>
      </c>
      <c r="E60" s="3">
        <v>12196.098953807128</v>
      </c>
    </row>
    <row r="61" spans="1:5" x14ac:dyDescent="0.25">
      <c r="A61" t="s">
        <v>11</v>
      </c>
      <c r="B61" t="s">
        <v>23</v>
      </c>
      <c r="C61">
        <v>118.82</v>
      </c>
      <c r="D61" t="s">
        <v>17</v>
      </c>
      <c r="E61" s="3">
        <v>23009.534418725994</v>
      </c>
    </row>
    <row r="62" spans="1:5" x14ac:dyDescent="0.25">
      <c r="A62" t="s">
        <v>0</v>
      </c>
      <c r="B62" t="s">
        <v>24</v>
      </c>
      <c r="C62">
        <v>0</v>
      </c>
      <c r="D62" t="s">
        <v>18</v>
      </c>
      <c r="E62" s="3">
        <v>0</v>
      </c>
    </row>
    <row r="63" spans="1:5" x14ac:dyDescent="0.25">
      <c r="A63" t="s">
        <v>1</v>
      </c>
      <c r="B63" t="s">
        <v>24</v>
      </c>
      <c r="C63">
        <v>0</v>
      </c>
      <c r="D63" t="s">
        <v>18</v>
      </c>
      <c r="E63" s="3">
        <v>0</v>
      </c>
    </row>
    <row r="64" spans="1:5" x14ac:dyDescent="0.25">
      <c r="A64" t="s">
        <v>2</v>
      </c>
      <c r="B64" t="s">
        <v>24</v>
      </c>
      <c r="C64">
        <v>218.19</v>
      </c>
      <c r="D64" t="s">
        <v>18</v>
      </c>
      <c r="E64" s="3">
        <v>38811.61214349106</v>
      </c>
    </row>
    <row r="65" spans="1:5" x14ac:dyDescent="0.25">
      <c r="A65" t="s">
        <v>3</v>
      </c>
      <c r="B65" t="s">
        <v>24</v>
      </c>
      <c r="C65">
        <v>248.5</v>
      </c>
      <c r="D65" t="s">
        <v>18</v>
      </c>
      <c r="E65" s="3">
        <v>44203.151462750488</v>
      </c>
    </row>
    <row r="66" spans="1:5" x14ac:dyDescent="0.25">
      <c r="A66" t="s">
        <v>4</v>
      </c>
      <c r="B66" t="s">
        <v>24</v>
      </c>
      <c r="C66">
        <v>503.37</v>
      </c>
      <c r="D66" t="s">
        <v>18</v>
      </c>
      <c r="E66" s="3">
        <v>89539.397793982745</v>
      </c>
    </row>
    <row r="67" spans="1:5" x14ac:dyDescent="0.25">
      <c r="A67" t="s">
        <v>5</v>
      </c>
      <c r="B67" t="s">
        <v>24</v>
      </c>
      <c r="C67">
        <v>279.20999999999998</v>
      </c>
      <c r="D67" t="s">
        <v>18</v>
      </c>
      <c r="E67" s="3">
        <v>49665.842736074701</v>
      </c>
    </row>
    <row r="68" spans="1:5" x14ac:dyDescent="0.25">
      <c r="A68" t="s">
        <v>6</v>
      </c>
      <c r="B68" t="s">
        <v>24</v>
      </c>
      <c r="C68">
        <v>207.91</v>
      </c>
      <c r="D68" t="s">
        <v>18</v>
      </c>
      <c r="E68" s="3">
        <v>36983.006924025969</v>
      </c>
    </row>
    <row r="69" spans="1:5" x14ac:dyDescent="0.25">
      <c r="A69" t="s">
        <v>7</v>
      </c>
      <c r="B69" t="s">
        <v>24</v>
      </c>
      <c r="C69">
        <v>443.23</v>
      </c>
      <c r="D69" t="s">
        <v>18</v>
      </c>
      <c r="E69" s="3">
        <v>78841.701500341645</v>
      </c>
    </row>
    <row r="70" spans="1:5" x14ac:dyDescent="0.25">
      <c r="A70" t="s">
        <v>8</v>
      </c>
      <c r="B70" t="s">
        <v>24</v>
      </c>
      <c r="C70">
        <v>677.74</v>
      </c>
      <c r="D70" t="s">
        <v>18</v>
      </c>
      <c r="E70" s="3">
        <v>120556.31336967612</v>
      </c>
    </row>
    <row r="71" spans="1:5" x14ac:dyDescent="0.25">
      <c r="A71" t="s">
        <v>9</v>
      </c>
      <c r="B71" t="s">
        <v>24</v>
      </c>
      <c r="C71">
        <v>281.07</v>
      </c>
      <c r="D71" t="s">
        <v>18</v>
      </c>
      <c r="E71" s="3">
        <v>49996.699322475972</v>
      </c>
    </row>
    <row r="72" spans="1:5" x14ac:dyDescent="0.25">
      <c r="A72" t="s">
        <v>10</v>
      </c>
      <c r="B72" t="s">
        <v>24</v>
      </c>
      <c r="C72">
        <v>283.47000000000003</v>
      </c>
      <c r="D72" t="s">
        <v>18</v>
      </c>
      <c r="E72" s="3">
        <v>50423.611046864717</v>
      </c>
    </row>
    <row r="73" spans="1:5" x14ac:dyDescent="0.25">
      <c r="A73" t="s">
        <v>11</v>
      </c>
      <c r="B73" t="s">
        <v>24</v>
      </c>
      <c r="C73">
        <v>193.57</v>
      </c>
      <c r="D73" t="s">
        <v>18</v>
      </c>
      <c r="E73" s="3">
        <v>34432.209370803263</v>
      </c>
    </row>
    <row r="74" spans="1:5" x14ac:dyDescent="0.25">
      <c r="A74" t="s">
        <v>0</v>
      </c>
      <c r="B74" t="s">
        <v>25</v>
      </c>
      <c r="C74">
        <v>139.52000000000001</v>
      </c>
      <c r="D74" t="s">
        <v>17</v>
      </c>
      <c r="E74" s="3">
        <v>27018.09663441046</v>
      </c>
    </row>
    <row r="75" spans="1:5" x14ac:dyDescent="0.25">
      <c r="A75" t="s">
        <v>1</v>
      </c>
      <c r="B75" t="s">
        <v>25</v>
      </c>
      <c r="C75">
        <v>314.45</v>
      </c>
      <c r="D75" t="s">
        <v>17</v>
      </c>
      <c r="E75" s="3">
        <v>60893.352112172943</v>
      </c>
    </row>
    <row r="76" spans="1:5" x14ac:dyDescent="0.25">
      <c r="A76" t="s">
        <v>2</v>
      </c>
      <c r="B76" t="s">
        <v>25</v>
      </c>
      <c r="C76">
        <v>608.11</v>
      </c>
      <c r="D76" t="s">
        <v>17</v>
      </c>
      <c r="E76" s="3">
        <v>117760.71347728888</v>
      </c>
    </row>
    <row r="77" spans="1:5" x14ac:dyDescent="0.25">
      <c r="A77" t="s">
        <v>3</v>
      </c>
      <c r="B77" t="s">
        <v>25</v>
      </c>
      <c r="C77">
        <v>87.71</v>
      </c>
      <c r="D77" t="s">
        <v>17</v>
      </c>
      <c r="E77" s="3">
        <v>16985.072074284268</v>
      </c>
    </row>
    <row r="78" spans="1:5" x14ac:dyDescent="0.25">
      <c r="A78" t="s">
        <v>4</v>
      </c>
      <c r="B78" t="s">
        <v>25</v>
      </c>
      <c r="C78">
        <v>227.52</v>
      </c>
      <c r="D78" t="s">
        <v>17</v>
      </c>
      <c r="E78" s="3">
        <v>44059.327309784028</v>
      </c>
    </row>
    <row r="79" spans="1:5" x14ac:dyDescent="0.25">
      <c r="A79" t="s">
        <v>5</v>
      </c>
      <c r="B79" t="s">
        <v>25</v>
      </c>
      <c r="C79">
        <v>378.79</v>
      </c>
      <c r="D79" t="s">
        <v>17</v>
      </c>
      <c r="E79" s="3">
        <v>73352.815540054027</v>
      </c>
    </row>
    <row r="80" spans="1:5" x14ac:dyDescent="0.25">
      <c r="A80" t="s">
        <v>6</v>
      </c>
      <c r="B80" t="s">
        <v>25</v>
      </c>
      <c r="C80">
        <v>268.60000000000002</v>
      </c>
      <c r="D80" t="s">
        <v>17</v>
      </c>
      <c r="E80" s="3">
        <v>52014.483629606148</v>
      </c>
    </row>
    <row r="81" spans="1:5" x14ac:dyDescent="0.25">
      <c r="A81" t="s">
        <v>7</v>
      </c>
      <c r="B81" t="s">
        <v>25</v>
      </c>
      <c r="C81">
        <v>87.18</v>
      </c>
      <c r="D81" t="s">
        <v>17</v>
      </c>
      <c r="E81" s="3">
        <v>16882.437389534862</v>
      </c>
    </row>
    <row r="82" spans="1:5" x14ac:dyDescent="0.25">
      <c r="A82" t="s">
        <v>8</v>
      </c>
      <c r="B82" t="s">
        <v>25</v>
      </c>
      <c r="C82">
        <v>367.02</v>
      </c>
      <c r="D82" t="s">
        <v>17</v>
      </c>
      <c r="E82" s="3">
        <v>71073.550937222812</v>
      </c>
    </row>
    <row r="83" spans="1:5" x14ac:dyDescent="0.25">
      <c r="A83" t="s">
        <v>9</v>
      </c>
      <c r="B83" t="s">
        <v>25</v>
      </c>
      <c r="C83">
        <v>78.349999999999994</v>
      </c>
      <c r="D83" t="s">
        <v>17</v>
      </c>
      <c r="E83" s="3">
        <v>15172.50481153999</v>
      </c>
    </row>
    <row r="84" spans="1:5" x14ac:dyDescent="0.25">
      <c r="A84" t="s">
        <v>10</v>
      </c>
      <c r="B84" t="s">
        <v>25</v>
      </c>
      <c r="C84">
        <v>192.01</v>
      </c>
      <c r="D84" t="s">
        <v>17</v>
      </c>
      <c r="E84" s="3">
        <v>37182.803431573622</v>
      </c>
    </row>
    <row r="85" spans="1:5" x14ac:dyDescent="0.25">
      <c r="A85" t="s">
        <v>11</v>
      </c>
      <c r="B85" t="s">
        <v>25</v>
      </c>
      <c r="C85">
        <v>0</v>
      </c>
      <c r="D85" t="s">
        <v>17</v>
      </c>
      <c r="E85" s="3">
        <v>0</v>
      </c>
    </row>
    <row r="86" spans="1:5" x14ac:dyDescent="0.25">
      <c r="A86" t="s">
        <v>0</v>
      </c>
      <c r="B86" t="s">
        <v>26</v>
      </c>
      <c r="C86">
        <v>112.44</v>
      </c>
      <c r="D86" t="s">
        <v>17</v>
      </c>
      <c r="E86" s="3">
        <v>21774.045194761409</v>
      </c>
    </row>
    <row r="87" spans="1:5" x14ac:dyDescent="0.25">
      <c r="A87" t="s">
        <v>1</v>
      </c>
      <c r="B87" t="s">
        <v>26</v>
      </c>
      <c r="C87">
        <v>302.63</v>
      </c>
      <c r="D87" t="s">
        <v>17</v>
      </c>
      <c r="E87" s="3">
        <v>58604.404991912539</v>
      </c>
    </row>
    <row r="88" spans="1:5" x14ac:dyDescent="0.25">
      <c r="A88" t="s">
        <v>2</v>
      </c>
      <c r="B88" t="s">
        <v>26</v>
      </c>
      <c r="C88">
        <v>329.89</v>
      </c>
      <c r="D88" t="s">
        <v>17</v>
      </c>
      <c r="E88" s="3">
        <v>63883.313494306662</v>
      </c>
    </row>
    <row r="89" spans="1:5" x14ac:dyDescent="0.25">
      <c r="A89" t="s">
        <v>3</v>
      </c>
      <c r="B89" t="s">
        <v>26</v>
      </c>
      <c r="C89">
        <v>42.24</v>
      </c>
      <c r="D89" t="s">
        <v>17</v>
      </c>
      <c r="E89" s="3">
        <v>8179.7907241793137</v>
      </c>
    </row>
    <row r="90" spans="1:5" x14ac:dyDescent="0.25">
      <c r="A90" t="s">
        <v>4</v>
      </c>
      <c r="B90" t="s">
        <v>26</v>
      </c>
      <c r="C90">
        <v>247.1</v>
      </c>
      <c r="D90" t="s">
        <v>17</v>
      </c>
      <c r="E90" s="3">
        <v>47851.001135054648</v>
      </c>
    </row>
    <row r="91" spans="1:5" x14ac:dyDescent="0.25">
      <c r="A91" t="s">
        <v>5</v>
      </c>
      <c r="B91" t="s">
        <v>26</v>
      </c>
      <c r="C91">
        <v>180.69</v>
      </c>
      <c r="D91" t="s">
        <v>17</v>
      </c>
      <c r="E91" s="3">
        <v>34990.681485605113</v>
      </c>
    </row>
    <row r="92" spans="1:5" x14ac:dyDescent="0.25">
      <c r="A92" t="s">
        <v>6</v>
      </c>
      <c r="B92" t="s">
        <v>26</v>
      </c>
      <c r="C92">
        <v>237.16</v>
      </c>
      <c r="D92" t="s">
        <v>17</v>
      </c>
      <c r="E92" s="3">
        <v>45926.116670131771</v>
      </c>
    </row>
    <row r="93" spans="1:5" x14ac:dyDescent="0.25">
      <c r="A93" t="s">
        <v>7</v>
      </c>
      <c r="B93" t="s">
        <v>26</v>
      </c>
      <c r="C93">
        <v>44.43</v>
      </c>
      <c r="D93" t="s">
        <v>17</v>
      </c>
      <c r="E93" s="3">
        <v>8603.8849875778142</v>
      </c>
    </row>
    <row r="94" spans="1:5" x14ac:dyDescent="0.25">
      <c r="A94" t="s">
        <v>8</v>
      </c>
      <c r="B94" t="s">
        <v>26</v>
      </c>
      <c r="C94">
        <v>77.47</v>
      </c>
      <c r="D94" t="s">
        <v>17</v>
      </c>
      <c r="E94" s="3">
        <v>15002.092504786255</v>
      </c>
    </row>
    <row r="95" spans="1:5" x14ac:dyDescent="0.25">
      <c r="A95" t="s">
        <v>9</v>
      </c>
      <c r="B95" t="s">
        <v>26</v>
      </c>
      <c r="C95">
        <v>203.42</v>
      </c>
      <c r="D95" t="s">
        <v>17</v>
      </c>
      <c r="E95" s="3">
        <v>39392.353908914673</v>
      </c>
    </row>
    <row r="96" spans="1:5" x14ac:dyDescent="0.25">
      <c r="A96" t="s">
        <v>10</v>
      </c>
      <c r="B96" t="s">
        <v>26</v>
      </c>
      <c r="C96">
        <v>107.35</v>
      </c>
      <c r="D96" t="s">
        <v>17</v>
      </c>
      <c r="E96" s="3">
        <v>20788.364920469914</v>
      </c>
    </row>
    <row r="97" spans="1:5" x14ac:dyDescent="0.25">
      <c r="A97" t="s">
        <v>11</v>
      </c>
      <c r="B97" t="s">
        <v>26</v>
      </c>
      <c r="C97">
        <v>39</v>
      </c>
      <c r="D97" t="s">
        <v>17</v>
      </c>
      <c r="E97" s="3">
        <v>7552.3635947678322</v>
      </c>
    </row>
    <row r="98" spans="1:5" x14ac:dyDescent="0.25">
      <c r="A98" t="s">
        <v>0</v>
      </c>
      <c r="B98" t="s">
        <v>27</v>
      </c>
      <c r="C98">
        <v>260.48</v>
      </c>
      <c r="D98" t="s">
        <v>18</v>
      </c>
      <c r="E98" s="3">
        <v>46334.152486990934</v>
      </c>
    </row>
    <row r="99" spans="1:5" x14ac:dyDescent="0.25">
      <c r="A99" t="s">
        <v>1</v>
      </c>
      <c r="B99" t="s">
        <v>27</v>
      </c>
      <c r="C99">
        <v>261.48</v>
      </c>
      <c r="D99" t="s">
        <v>18</v>
      </c>
      <c r="E99" s="3">
        <v>46512.032372152913</v>
      </c>
    </row>
    <row r="100" spans="1:5" x14ac:dyDescent="0.25">
      <c r="A100" t="s">
        <v>2</v>
      </c>
      <c r="B100" t="s">
        <v>27</v>
      </c>
      <c r="C100">
        <v>173.77</v>
      </c>
      <c r="D100" t="s">
        <v>18</v>
      </c>
      <c r="E100" s="3">
        <v>30910.187644596186</v>
      </c>
    </row>
    <row r="101" spans="1:5" x14ac:dyDescent="0.25">
      <c r="A101" t="s">
        <v>3</v>
      </c>
      <c r="B101" t="s">
        <v>27</v>
      </c>
      <c r="C101">
        <v>311.86</v>
      </c>
      <c r="D101" t="s">
        <v>18</v>
      </c>
      <c r="E101" s="3">
        <v>55473.620986613147</v>
      </c>
    </row>
    <row r="102" spans="1:5" x14ac:dyDescent="0.25">
      <c r="A102" t="s">
        <v>4</v>
      </c>
      <c r="B102" t="s">
        <v>27</v>
      </c>
      <c r="C102">
        <v>297.52999999999997</v>
      </c>
      <c r="D102" t="s">
        <v>18</v>
      </c>
      <c r="E102" s="3">
        <v>52924.602232242054</v>
      </c>
    </row>
    <row r="103" spans="1:5" x14ac:dyDescent="0.25">
      <c r="A103" t="s">
        <v>5</v>
      </c>
      <c r="B103" t="s">
        <v>27</v>
      </c>
      <c r="C103">
        <v>363.18</v>
      </c>
      <c r="D103" t="s">
        <v>18</v>
      </c>
      <c r="E103" s="3">
        <v>64602.41669312564</v>
      </c>
    </row>
    <row r="104" spans="1:5" x14ac:dyDescent="0.25">
      <c r="A104" t="s">
        <v>6</v>
      </c>
      <c r="B104" t="s">
        <v>27</v>
      </c>
      <c r="C104">
        <v>364.85</v>
      </c>
      <c r="D104" t="s">
        <v>18</v>
      </c>
      <c r="E104" s="3">
        <v>64899.476101346139</v>
      </c>
    </row>
    <row r="105" spans="1:5" x14ac:dyDescent="0.25">
      <c r="A105" t="s">
        <v>7</v>
      </c>
      <c r="B105" t="s">
        <v>27</v>
      </c>
      <c r="C105">
        <v>106.45</v>
      </c>
      <c r="D105" t="s">
        <v>18</v>
      </c>
      <c r="E105" s="3">
        <v>18935.313775492112</v>
      </c>
    </row>
    <row r="106" spans="1:5" x14ac:dyDescent="0.25">
      <c r="A106" t="s">
        <v>8</v>
      </c>
      <c r="B106" t="s">
        <v>27</v>
      </c>
      <c r="C106">
        <v>423.48</v>
      </c>
      <c r="D106" t="s">
        <v>18</v>
      </c>
      <c r="E106" s="3">
        <v>75328.573768392656</v>
      </c>
    </row>
    <row r="107" spans="1:5" x14ac:dyDescent="0.25">
      <c r="A107" t="s">
        <v>9</v>
      </c>
      <c r="B107" t="s">
        <v>27</v>
      </c>
      <c r="C107">
        <v>175.03</v>
      </c>
      <c r="D107" t="s">
        <v>18</v>
      </c>
      <c r="E107" s="3">
        <v>31134.316299900271</v>
      </c>
    </row>
    <row r="108" spans="1:5" x14ac:dyDescent="0.25">
      <c r="A108" t="s">
        <v>10</v>
      </c>
      <c r="B108" t="s">
        <v>27</v>
      </c>
      <c r="C108">
        <v>106.81</v>
      </c>
      <c r="D108" t="s">
        <v>18</v>
      </c>
      <c r="E108" s="3">
        <v>18999.350534150421</v>
      </c>
    </row>
    <row r="109" spans="1:5" x14ac:dyDescent="0.25">
      <c r="A109" t="s">
        <v>11</v>
      </c>
      <c r="B109" t="s">
        <v>27</v>
      </c>
      <c r="C109">
        <v>113.35</v>
      </c>
      <c r="D109" t="s">
        <v>18</v>
      </c>
      <c r="E109" s="3">
        <v>20162.684983109728</v>
      </c>
    </row>
    <row r="110" spans="1:5" x14ac:dyDescent="0.25">
      <c r="A110" t="s">
        <v>0</v>
      </c>
      <c r="B110" t="s">
        <v>28</v>
      </c>
      <c r="C110">
        <v>286.87</v>
      </c>
      <c r="D110" t="s">
        <v>17</v>
      </c>
      <c r="E110" s="3">
        <v>55552.475498232001</v>
      </c>
    </row>
    <row r="111" spans="1:5" x14ac:dyDescent="0.25">
      <c r="A111" t="s">
        <v>1</v>
      </c>
      <c r="B111" t="s">
        <v>28</v>
      </c>
      <c r="C111">
        <v>297.31</v>
      </c>
      <c r="D111" t="s">
        <v>17</v>
      </c>
      <c r="E111" s="3">
        <v>57574.185137446773</v>
      </c>
    </row>
    <row r="112" spans="1:5" x14ac:dyDescent="0.25">
      <c r="A112" t="s">
        <v>2</v>
      </c>
      <c r="B112" t="s">
        <v>28</v>
      </c>
      <c r="C112">
        <v>199.39</v>
      </c>
      <c r="D112" t="s">
        <v>17</v>
      </c>
      <c r="E112" s="3">
        <v>38611.943004121997</v>
      </c>
    </row>
    <row r="113" spans="1:5" x14ac:dyDescent="0.25">
      <c r="A113" t="s">
        <v>3</v>
      </c>
      <c r="B113" t="s">
        <v>28</v>
      </c>
      <c r="C113">
        <v>115.57</v>
      </c>
      <c r="D113" t="s">
        <v>17</v>
      </c>
      <c r="E113" s="3">
        <v>22380.170785828675</v>
      </c>
    </row>
    <row r="114" spans="1:5" x14ac:dyDescent="0.25">
      <c r="A114" t="s">
        <v>4</v>
      </c>
      <c r="B114" t="s">
        <v>28</v>
      </c>
      <c r="C114">
        <v>203.49</v>
      </c>
      <c r="D114" t="s">
        <v>17</v>
      </c>
      <c r="E114" s="3">
        <v>39405.909433315544</v>
      </c>
    </row>
    <row r="115" spans="1:5" x14ac:dyDescent="0.25">
      <c r="A115" t="s">
        <v>5</v>
      </c>
      <c r="B115" t="s">
        <v>28</v>
      </c>
      <c r="C115">
        <v>157.72</v>
      </c>
      <c r="D115" t="s">
        <v>17</v>
      </c>
      <c r="E115" s="3">
        <v>30542.532978635449</v>
      </c>
    </row>
    <row r="116" spans="1:5" x14ac:dyDescent="0.25">
      <c r="A116" t="s">
        <v>6</v>
      </c>
      <c r="B116" t="s">
        <v>28</v>
      </c>
      <c r="C116">
        <v>79.239999999999995</v>
      </c>
      <c r="D116" t="s">
        <v>17</v>
      </c>
      <c r="E116" s="3">
        <v>15344.853621779563</v>
      </c>
    </row>
    <row r="117" spans="1:5" x14ac:dyDescent="0.25">
      <c r="A117" t="s">
        <v>7</v>
      </c>
      <c r="B117" t="s">
        <v>28</v>
      </c>
      <c r="C117">
        <v>168.73</v>
      </c>
      <c r="D117" t="s">
        <v>17</v>
      </c>
      <c r="E117" s="3">
        <v>32674.62331654298</v>
      </c>
    </row>
    <row r="118" spans="1:5" x14ac:dyDescent="0.25">
      <c r="A118" t="s">
        <v>8</v>
      </c>
      <c r="B118" t="s">
        <v>28</v>
      </c>
      <c r="C118">
        <v>166.83</v>
      </c>
      <c r="D118" t="s">
        <v>17</v>
      </c>
      <c r="E118" s="3">
        <v>32306.687654233781</v>
      </c>
    </row>
    <row r="119" spans="1:5" x14ac:dyDescent="0.25">
      <c r="A119" t="s">
        <v>9</v>
      </c>
      <c r="B119" t="s">
        <v>28</v>
      </c>
      <c r="C119">
        <v>298.66000000000003</v>
      </c>
      <c r="D119" t="s">
        <v>17</v>
      </c>
      <c r="E119" s="3">
        <v>57835.613108034893</v>
      </c>
    </row>
    <row r="120" spans="1:5" x14ac:dyDescent="0.25">
      <c r="A120" t="s">
        <v>10</v>
      </c>
      <c r="B120" t="s">
        <v>28</v>
      </c>
      <c r="C120">
        <v>513.66999999999996</v>
      </c>
      <c r="D120" t="s">
        <v>17</v>
      </c>
      <c r="E120" s="3">
        <v>99472.374557035684</v>
      </c>
    </row>
    <row r="121" spans="1:5" x14ac:dyDescent="0.25">
      <c r="A121" t="s">
        <v>11</v>
      </c>
      <c r="B121" t="s">
        <v>28</v>
      </c>
      <c r="C121">
        <v>125.97</v>
      </c>
      <c r="D121" t="s">
        <v>17</v>
      </c>
      <c r="E121" s="3">
        <v>24394.134411100098</v>
      </c>
    </row>
    <row r="122" spans="1:5" x14ac:dyDescent="0.25">
      <c r="A122" t="s">
        <v>0</v>
      </c>
      <c r="B122" t="s">
        <v>29</v>
      </c>
      <c r="C122">
        <v>191.64</v>
      </c>
      <c r="D122" t="s">
        <v>17</v>
      </c>
      <c r="E122" s="3">
        <v>37111.152802597622</v>
      </c>
    </row>
    <row r="123" spans="1:5" x14ac:dyDescent="0.25">
      <c r="A123" t="s">
        <v>1</v>
      </c>
      <c r="B123" t="s">
        <v>29</v>
      </c>
      <c r="C123">
        <v>277.68</v>
      </c>
      <c r="D123" t="s">
        <v>17</v>
      </c>
      <c r="E123" s="3">
        <v>53772.828794746965</v>
      </c>
    </row>
    <row r="124" spans="1:5" x14ac:dyDescent="0.25">
      <c r="A124" t="s">
        <v>2</v>
      </c>
      <c r="B124" t="s">
        <v>29</v>
      </c>
      <c r="C124">
        <v>313.57</v>
      </c>
      <c r="D124" t="s">
        <v>17</v>
      </c>
      <c r="E124" s="3">
        <v>60722.939805419206</v>
      </c>
    </row>
    <row r="125" spans="1:5" x14ac:dyDescent="0.25">
      <c r="A125" t="s">
        <v>3</v>
      </c>
      <c r="B125" t="s">
        <v>29</v>
      </c>
      <c r="C125">
        <v>94.26</v>
      </c>
      <c r="D125" t="s">
        <v>17</v>
      </c>
      <c r="E125" s="3">
        <v>18253.481857508101</v>
      </c>
    </row>
    <row r="126" spans="1:5" x14ac:dyDescent="0.25">
      <c r="A126" t="s">
        <v>4</v>
      </c>
      <c r="B126" t="s">
        <v>29</v>
      </c>
      <c r="C126">
        <v>453.4</v>
      </c>
      <c r="D126" t="s">
        <v>17</v>
      </c>
      <c r="E126" s="3">
        <v>87801.068047890629</v>
      </c>
    </row>
    <row r="127" spans="1:5" x14ac:dyDescent="0.25">
      <c r="A127" t="s">
        <v>5</v>
      </c>
      <c r="B127" t="s">
        <v>29</v>
      </c>
      <c r="C127">
        <v>471.03</v>
      </c>
      <c r="D127" t="s">
        <v>17</v>
      </c>
      <c r="E127" s="3">
        <v>91215.123693422865</v>
      </c>
    </row>
    <row r="128" spans="1:5" x14ac:dyDescent="0.25">
      <c r="A128" t="s">
        <v>6</v>
      </c>
      <c r="B128" t="s">
        <v>29</v>
      </c>
      <c r="C128">
        <v>364.11</v>
      </c>
      <c r="D128" t="s">
        <v>17</v>
      </c>
      <c r="E128" s="3">
        <v>70510.028422843985</v>
      </c>
    </row>
    <row r="129" spans="1:5" x14ac:dyDescent="0.25">
      <c r="A129" t="s">
        <v>7</v>
      </c>
      <c r="B129" t="s">
        <v>29</v>
      </c>
      <c r="C129">
        <v>183.09</v>
      </c>
      <c r="D129" t="s">
        <v>17</v>
      </c>
      <c r="E129" s="3">
        <v>35455.442322206218</v>
      </c>
    </row>
    <row r="130" spans="1:5" x14ac:dyDescent="0.25">
      <c r="A130" t="s">
        <v>8</v>
      </c>
      <c r="B130" t="s">
        <v>29</v>
      </c>
      <c r="C130">
        <v>437.5</v>
      </c>
      <c r="D130" t="s">
        <v>17</v>
      </c>
      <c r="E130" s="3">
        <v>84722.027505408376</v>
      </c>
    </row>
    <row r="131" spans="1:5" x14ac:dyDescent="0.25">
      <c r="A131" t="s">
        <v>9</v>
      </c>
      <c r="B131" t="s">
        <v>29</v>
      </c>
      <c r="C131">
        <v>422.48</v>
      </c>
      <c r="D131" t="s">
        <v>17</v>
      </c>
      <c r="E131" s="3">
        <v>81813.399269679838</v>
      </c>
    </row>
    <row r="132" spans="1:5" x14ac:dyDescent="0.25">
      <c r="A132" t="s">
        <v>10</v>
      </c>
      <c r="B132" t="s">
        <v>29</v>
      </c>
      <c r="C132">
        <v>278.08999999999997</v>
      </c>
      <c r="D132" t="s">
        <v>17</v>
      </c>
      <c r="E132" s="3">
        <v>53852.225437666311</v>
      </c>
    </row>
    <row r="133" spans="1:5" x14ac:dyDescent="0.25">
      <c r="A133" t="s">
        <v>11</v>
      </c>
      <c r="B133" t="s">
        <v>29</v>
      </c>
      <c r="C133">
        <v>68.36</v>
      </c>
      <c r="D133" t="s">
        <v>17</v>
      </c>
      <c r="E133" s="3">
        <v>13237.937829187922</v>
      </c>
    </row>
    <row r="134" spans="1:5" x14ac:dyDescent="0.25">
      <c r="A134" t="s">
        <v>0</v>
      </c>
      <c r="B134" t="s">
        <v>30</v>
      </c>
      <c r="C134">
        <v>0</v>
      </c>
      <c r="D134" t="s">
        <v>17</v>
      </c>
      <c r="E134" s="3">
        <v>0</v>
      </c>
    </row>
    <row r="135" spans="1:5" x14ac:dyDescent="0.25">
      <c r="A135" t="s">
        <v>1</v>
      </c>
      <c r="B135" t="s">
        <v>30</v>
      </c>
      <c r="C135">
        <v>0</v>
      </c>
      <c r="D135" t="s">
        <v>17</v>
      </c>
      <c r="E135" s="3">
        <v>0</v>
      </c>
    </row>
    <row r="136" spans="1:5" x14ac:dyDescent="0.25">
      <c r="A136" t="s">
        <v>2</v>
      </c>
      <c r="B136" t="s">
        <v>30</v>
      </c>
      <c r="C136">
        <v>0</v>
      </c>
      <c r="D136" t="s">
        <v>17</v>
      </c>
      <c r="E136" s="3">
        <v>0</v>
      </c>
    </row>
    <row r="137" spans="1:5" x14ac:dyDescent="0.25">
      <c r="A137" t="s">
        <v>3</v>
      </c>
      <c r="B137" t="s">
        <v>30</v>
      </c>
      <c r="C137">
        <v>0</v>
      </c>
      <c r="D137" t="s">
        <v>17</v>
      </c>
      <c r="E137" s="3">
        <v>0</v>
      </c>
    </row>
    <row r="138" spans="1:5" x14ac:dyDescent="0.25">
      <c r="A138" t="s">
        <v>4</v>
      </c>
      <c r="B138" t="s">
        <v>30</v>
      </c>
      <c r="C138">
        <v>0</v>
      </c>
      <c r="D138" t="s">
        <v>17</v>
      </c>
      <c r="E138" s="3">
        <v>0</v>
      </c>
    </row>
    <row r="139" spans="1:5" x14ac:dyDescent="0.25">
      <c r="A139" t="s">
        <v>5</v>
      </c>
      <c r="B139" t="s">
        <v>30</v>
      </c>
      <c r="C139">
        <v>22.59</v>
      </c>
      <c r="D139" t="s">
        <v>17</v>
      </c>
      <c r="E139" s="3">
        <v>4374.561374507829</v>
      </c>
    </row>
    <row r="140" spans="1:5" x14ac:dyDescent="0.25">
      <c r="A140" t="s">
        <v>6</v>
      </c>
      <c r="B140" t="s">
        <v>30</v>
      </c>
      <c r="C140">
        <v>54.46</v>
      </c>
      <c r="D140" t="s">
        <v>17</v>
      </c>
      <c r="E140" s="3">
        <v>10546.197983873233</v>
      </c>
    </row>
    <row r="141" spans="1:5" x14ac:dyDescent="0.25">
      <c r="A141" t="s">
        <v>7</v>
      </c>
      <c r="B141" t="s">
        <v>30</v>
      </c>
      <c r="C141">
        <v>0</v>
      </c>
      <c r="D141" t="s">
        <v>17</v>
      </c>
      <c r="E141" s="3">
        <v>0</v>
      </c>
    </row>
    <row r="142" spans="1:5" x14ac:dyDescent="0.25">
      <c r="A142" t="s">
        <v>8</v>
      </c>
      <c r="B142" t="s">
        <v>30</v>
      </c>
      <c r="C142">
        <v>0</v>
      </c>
      <c r="D142" t="s">
        <v>17</v>
      </c>
      <c r="E142" s="3">
        <v>0</v>
      </c>
    </row>
    <row r="143" spans="1:5" x14ac:dyDescent="0.25">
      <c r="A143" t="s">
        <v>9</v>
      </c>
      <c r="B143" t="s">
        <v>30</v>
      </c>
      <c r="C143">
        <v>56.47</v>
      </c>
      <c r="D143" t="s">
        <v>17</v>
      </c>
      <c r="E143" s="3">
        <v>10935.435184526652</v>
      </c>
    </row>
    <row r="144" spans="1:5" x14ac:dyDescent="0.25">
      <c r="A144" t="s">
        <v>10</v>
      </c>
      <c r="B144" t="s">
        <v>30</v>
      </c>
      <c r="C144">
        <v>40.64</v>
      </c>
      <c r="D144" t="s">
        <v>17</v>
      </c>
      <c r="E144" s="3">
        <v>7869.9501664452482</v>
      </c>
    </row>
    <row r="145" spans="1:5" x14ac:dyDescent="0.25">
      <c r="A145" t="s">
        <v>11</v>
      </c>
      <c r="B145" t="s">
        <v>30</v>
      </c>
      <c r="C145">
        <v>55.32</v>
      </c>
      <c r="D145" t="s">
        <v>17</v>
      </c>
      <c r="E145" s="3">
        <v>10712.737283655293</v>
      </c>
    </row>
    <row r="146" spans="1:5" x14ac:dyDescent="0.25">
      <c r="A146" t="s">
        <v>0</v>
      </c>
      <c r="B146" t="s">
        <v>31</v>
      </c>
      <c r="C146">
        <v>599.14</v>
      </c>
      <c r="D146" t="s">
        <v>18</v>
      </c>
      <c r="E146" s="3">
        <v>106574.95439594498</v>
      </c>
    </row>
    <row r="147" spans="1:5" x14ac:dyDescent="0.25">
      <c r="A147" t="s">
        <v>1</v>
      </c>
      <c r="B147" t="s">
        <v>31</v>
      </c>
      <c r="C147">
        <v>1151.49</v>
      </c>
      <c r="D147" t="s">
        <v>18</v>
      </c>
      <c r="E147" s="3">
        <v>204826.90896516119</v>
      </c>
    </row>
    <row r="148" spans="1:5" x14ac:dyDescent="0.25">
      <c r="A148" t="s">
        <v>2</v>
      </c>
      <c r="B148" t="s">
        <v>31</v>
      </c>
      <c r="C148">
        <v>733.26</v>
      </c>
      <c r="D148" t="s">
        <v>18</v>
      </c>
      <c r="E148" s="3">
        <v>130432.2045938689</v>
      </c>
    </row>
    <row r="149" spans="1:5" x14ac:dyDescent="0.25">
      <c r="A149" t="s">
        <v>3</v>
      </c>
      <c r="B149" t="s">
        <v>31</v>
      </c>
      <c r="C149">
        <v>917.07</v>
      </c>
      <c r="D149" t="s">
        <v>18</v>
      </c>
      <c r="E149" s="3">
        <v>163128.3062854913</v>
      </c>
    </row>
    <row r="150" spans="1:5" x14ac:dyDescent="0.25">
      <c r="A150" t="s">
        <v>4</v>
      </c>
      <c r="B150" t="s">
        <v>31</v>
      </c>
      <c r="C150">
        <v>793.34</v>
      </c>
      <c r="D150" t="s">
        <v>18</v>
      </c>
      <c r="E150" s="3">
        <v>141119.22809440029</v>
      </c>
    </row>
    <row r="151" spans="1:5" x14ac:dyDescent="0.25">
      <c r="A151" t="s">
        <v>5</v>
      </c>
      <c r="B151" t="s">
        <v>31</v>
      </c>
      <c r="C151">
        <v>622.29</v>
      </c>
      <c r="D151" t="s">
        <v>18</v>
      </c>
      <c r="E151" s="3">
        <v>110692.87373744466</v>
      </c>
    </row>
    <row r="152" spans="1:5" x14ac:dyDescent="0.25">
      <c r="A152" t="s">
        <v>6</v>
      </c>
      <c r="B152" t="s">
        <v>31</v>
      </c>
      <c r="C152">
        <v>695.97</v>
      </c>
      <c r="D152" t="s">
        <v>18</v>
      </c>
      <c r="E152" s="3">
        <v>123799.06367617891</v>
      </c>
    </row>
    <row r="153" spans="1:5" x14ac:dyDescent="0.25">
      <c r="A153" t="s">
        <v>7</v>
      </c>
      <c r="B153" t="s">
        <v>31</v>
      </c>
      <c r="C153">
        <v>986.59</v>
      </c>
      <c r="D153" t="s">
        <v>18</v>
      </c>
      <c r="E153" s="3">
        <v>175494.51590195173</v>
      </c>
    </row>
    <row r="154" spans="1:5" x14ac:dyDescent="0.25">
      <c r="A154" t="s">
        <v>8</v>
      </c>
      <c r="B154" t="s">
        <v>31</v>
      </c>
      <c r="C154">
        <v>856.42</v>
      </c>
      <c r="D154" t="s">
        <v>18</v>
      </c>
      <c r="E154" s="3">
        <v>152339.8912504176</v>
      </c>
    </row>
    <row r="155" spans="1:5" x14ac:dyDescent="0.25">
      <c r="A155" t="s">
        <v>9</v>
      </c>
      <c r="B155" t="s">
        <v>31</v>
      </c>
      <c r="C155">
        <v>824.33</v>
      </c>
      <c r="D155" t="s">
        <v>18</v>
      </c>
      <c r="E155" s="3">
        <v>146631.72573556987</v>
      </c>
    </row>
    <row r="156" spans="1:5" x14ac:dyDescent="0.25">
      <c r="A156" t="s">
        <v>10</v>
      </c>
      <c r="B156" t="s">
        <v>31</v>
      </c>
      <c r="C156">
        <v>941.84</v>
      </c>
      <c r="D156" t="s">
        <v>18</v>
      </c>
      <c r="E156" s="3">
        <v>167534.3910409534</v>
      </c>
    </row>
    <row r="157" spans="1:5" x14ac:dyDescent="0.25">
      <c r="A157" t="s">
        <v>11</v>
      </c>
      <c r="B157" t="s">
        <v>31</v>
      </c>
      <c r="C157">
        <v>0</v>
      </c>
      <c r="D157" t="s">
        <v>18</v>
      </c>
      <c r="E157" s="3">
        <v>0</v>
      </c>
    </row>
    <row r="158" spans="1:5" x14ac:dyDescent="0.25">
      <c r="A158" t="s">
        <v>0</v>
      </c>
      <c r="B158" t="s">
        <v>32</v>
      </c>
      <c r="C158">
        <v>130.09</v>
      </c>
      <c r="D158" t="s">
        <v>17</v>
      </c>
      <c r="E158" s="3">
        <v>25191.973847265315</v>
      </c>
    </row>
    <row r="159" spans="1:5" x14ac:dyDescent="0.25">
      <c r="A159" t="s">
        <v>1</v>
      </c>
      <c r="B159" t="s">
        <v>32</v>
      </c>
      <c r="C159">
        <v>137.69999999999999</v>
      </c>
      <c r="D159" t="s">
        <v>17</v>
      </c>
      <c r="E159" s="3">
        <v>26665.652999987957</v>
      </c>
    </row>
    <row r="160" spans="1:5" x14ac:dyDescent="0.25">
      <c r="A160" t="s">
        <v>2</v>
      </c>
      <c r="B160" t="s">
        <v>32</v>
      </c>
      <c r="C160">
        <v>366.41</v>
      </c>
      <c r="D160" t="s">
        <v>17</v>
      </c>
      <c r="E160" s="3">
        <v>70955.424224586706</v>
      </c>
    </row>
    <row r="161" spans="1:5" x14ac:dyDescent="0.25">
      <c r="A161" t="s">
        <v>3</v>
      </c>
      <c r="B161" t="s">
        <v>32</v>
      </c>
      <c r="C161">
        <v>95.23</v>
      </c>
      <c r="D161" t="s">
        <v>17</v>
      </c>
      <c r="E161" s="3">
        <v>18441.322695634375</v>
      </c>
    </row>
    <row r="162" spans="1:5" x14ac:dyDescent="0.25">
      <c r="A162" t="s">
        <v>4</v>
      </c>
      <c r="B162" t="s">
        <v>32</v>
      </c>
      <c r="C162">
        <v>142.05000000000001</v>
      </c>
      <c r="D162" t="s">
        <v>17</v>
      </c>
      <c r="E162" s="3">
        <v>27508.032016327452</v>
      </c>
    </row>
    <row r="163" spans="1:5" x14ac:dyDescent="0.25">
      <c r="A163" t="s">
        <v>5</v>
      </c>
      <c r="B163" t="s">
        <v>32</v>
      </c>
      <c r="C163">
        <v>82.66</v>
      </c>
      <c r="D163" t="s">
        <v>17</v>
      </c>
      <c r="E163" s="3">
        <v>16007.137813936128</v>
      </c>
    </row>
    <row r="164" spans="1:5" x14ac:dyDescent="0.25">
      <c r="A164" t="s">
        <v>6</v>
      </c>
      <c r="B164" t="s">
        <v>32</v>
      </c>
      <c r="C164">
        <v>99.06</v>
      </c>
      <c r="D164" t="s">
        <v>17</v>
      </c>
      <c r="E164" s="3">
        <v>19183.003530710292</v>
      </c>
    </row>
    <row r="165" spans="1:5" x14ac:dyDescent="0.25">
      <c r="A165" t="s">
        <v>7</v>
      </c>
      <c r="B165" t="s">
        <v>32</v>
      </c>
      <c r="C165">
        <v>136.22999999999999</v>
      </c>
      <c r="D165" t="s">
        <v>17</v>
      </c>
      <c r="E165" s="3">
        <v>26380.986987569788</v>
      </c>
    </row>
    <row r="166" spans="1:5" x14ac:dyDescent="0.25">
      <c r="A166" t="s">
        <v>8</v>
      </c>
      <c r="B166" t="s">
        <v>32</v>
      </c>
      <c r="C166">
        <v>143.74</v>
      </c>
      <c r="D166" t="s">
        <v>17</v>
      </c>
      <c r="E166" s="3">
        <v>27835.301105434057</v>
      </c>
    </row>
    <row r="167" spans="1:5" x14ac:dyDescent="0.25">
      <c r="A167" t="s">
        <v>9</v>
      </c>
      <c r="B167" t="s">
        <v>32</v>
      </c>
      <c r="C167">
        <v>250.69</v>
      </c>
      <c r="D167" t="s">
        <v>17</v>
      </c>
      <c r="E167" s="3">
        <v>48546.205886470452</v>
      </c>
    </row>
    <row r="168" spans="1:5" x14ac:dyDescent="0.25">
      <c r="A168" t="s">
        <v>10</v>
      </c>
      <c r="B168" t="s">
        <v>32</v>
      </c>
      <c r="C168">
        <v>87.12</v>
      </c>
      <c r="D168" t="s">
        <v>17</v>
      </c>
      <c r="E168" s="3">
        <v>16870.818368619835</v>
      </c>
    </row>
    <row r="169" spans="1:5" x14ac:dyDescent="0.25">
      <c r="A169" t="s">
        <v>11</v>
      </c>
      <c r="B169" t="s">
        <v>32</v>
      </c>
      <c r="C169">
        <v>217.05</v>
      </c>
      <c r="D169" t="s">
        <v>17</v>
      </c>
      <c r="E169" s="3">
        <v>42031.808160111745</v>
      </c>
    </row>
    <row r="170" spans="1:5" x14ac:dyDescent="0.25">
      <c r="A170" t="s">
        <v>0</v>
      </c>
      <c r="B170" t="s">
        <v>33</v>
      </c>
      <c r="C170">
        <v>135.35</v>
      </c>
      <c r="D170" t="s">
        <v>18</v>
      </c>
      <c r="E170" s="3">
        <v>24076.042456673153</v>
      </c>
    </row>
    <row r="171" spans="1:5" x14ac:dyDescent="0.25">
      <c r="A171" t="s">
        <v>1</v>
      </c>
      <c r="B171" t="s">
        <v>33</v>
      </c>
      <c r="C171">
        <v>278.08999999999997</v>
      </c>
      <c r="D171" t="s">
        <v>18</v>
      </c>
      <c r="E171" s="3">
        <v>49466.61726469329</v>
      </c>
    </row>
    <row r="172" spans="1:5" x14ac:dyDescent="0.25">
      <c r="A172" t="s">
        <v>2</v>
      </c>
      <c r="B172" t="s">
        <v>33</v>
      </c>
      <c r="C172">
        <v>337.73</v>
      </c>
      <c r="D172" t="s">
        <v>18</v>
      </c>
      <c r="E172" s="3">
        <v>60075.373615753408</v>
      </c>
    </row>
    <row r="173" spans="1:5" x14ac:dyDescent="0.25">
      <c r="A173" t="s">
        <v>3</v>
      </c>
      <c r="B173" t="s">
        <v>33</v>
      </c>
      <c r="C173">
        <v>366.78</v>
      </c>
      <c r="D173" t="s">
        <v>18</v>
      </c>
      <c r="E173" s="3">
        <v>65242.784279708743</v>
      </c>
    </row>
    <row r="174" spans="1:5" x14ac:dyDescent="0.25">
      <c r="A174" t="s">
        <v>4</v>
      </c>
      <c r="B174" t="s">
        <v>33</v>
      </c>
      <c r="C174">
        <v>94.64</v>
      </c>
      <c r="D174" t="s">
        <v>18</v>
      </c>
      <c r="E174" s="3">
        <v>16834.552331729199</v>
      </c>
    </row>
    <row r="175" spans="1:5" x14ac:dyDescent="0.25">
      <c r="A175" t="s">
        <v>5</v>
      </c>
      <c r="B175" t="s">
        <v>33</v>
      </c>
      <c r="C175">
        <v>146.91</v>
      </c>
      <c r="D175" t="s">
        <v>18</v>
      </c>
      <c r="E175" s="3">
        <v>26132.33392914557</v>
      </c>
    </row>
    <row r="176" spans="1:5" x14ac:dyDescent="0.25">
      <c r="A176" t="s">
        <v>6</v>
      </c>
      <c r="B176" t="s">
        <v>33</v>
      </c>
      <c r="C176">
        <v>320.27999999999997</v>
      </c>
      <c r="D176" t="s">
        <v>18</v>
      </c>
      <c r="E176" s="3">
        <v>56971.36961967696</v>
      </c>
    </row>
    <row r="177" spans="1:5" x14ac:dyDescent="0.25">
      <c r="A177" t="s">
        <v>7</v>
      </c>
      <c r="B177" t="s">
        <v>33</v>
      </c>
      <c r="C177">
        <v>234.54</v>
      </c>
      <c r="D177" t="s">
        <v>18</v>
      </c>
      <c r="E177" s="3">
        <v>41719.948265889332</v>
      </c>
    </row>
    <row r="178" spans="1:5" x14ac:dyDescent="0.25">
      <c r="A178" t="s">
        <v>8</v>
      </c>
      <c r="B178" t="s">
        <v>33</v>
      </c>
      <c r="C178">
        <v>152.51</v>
      </c>
      <c r="D178" t="s">
        <v>18</v>
      </c>
      <c r="E178" s="3">
        <v>27128.461286052621</v>
      </c>
    </row>
    <row r="179" spans="1:5" x14ac:dyDescent="0.25">
      <c r="A179" t="s">
        <v>9</v>
      </c>
      <c r="B179" t="s">
        <v>33</v>
      </c>
      <c r="C179">
        <v>265.55</v>
      </c>
      <c r="D179" t="s">
        <v>18</v>
      </c>
      <c r="E179" s="3">
        <v>47236.003504762142</v>
      </c>
    </row>
    <row r="180" spans="1:5" x14ac:dyDescent="0.25">
      <c r="A180" t="s">
        <v>10</v>
      </c>
      <c r="B180" t="s">
        <v>33</v>
      </c>
      <c r="C180">
        <v>647.77</v>
      </c>
      <c r="D180" t="s">
        <v>18</v>
      </c>
      <c r="E180" s="3">
        <v>115225.25321137176</v>
      </c>
    </row>
    <row r="181" spans="1:5" x14ac:dyDescent="0.25">
      <c r="A181" t="s">
        <v>11</v>
      </c>
      <c r="B181" t="s">
        <v>33</v>
      </c>
      <c r="C181">
        <v>333.42</v>
      </c>
      <c r="D181" t="s">
        <v>18</v>
      </c>
      <c r="E181" s="3">
        <v>59308.711310705301</v>
      </c>
    </row>
    <row r="182" spans="1:5" x14ac:dyDescent="0.25">
      <c r="A182" t="s">
        <v>0</v>
      </c>
      <c r="B182" t="s">
        <v>34</v>
      </c>
      <c r="C182">
        <v>263.56</v>
      </c>
      <c r="D182" t="s">
        <v>18</v>
      </c>
      <c r="E182" s="3">
        <v>46882.022533289812</v>
      </c>
    </row>
    <row r="183" spans="1:5" x14ac:dyDescent="0.25">
      <c r="A183" t="s">
        <v>1</v>
      </c>
      <c r="B183" t="s">
        <v>34</v>
      </c>
      <c r="C183">
        <v>499.9</v>
      </c>
      <c r="D183" t="s">
        <v>18</v>
      </c>
      <c r="E183" s="3">
        <v>88922.154592470688</v>
      </c>
    </row>
    <row r="184" spans="1:5" x14ac:dyDescent="0.25">
      <c r="A184" t="s">
        <v>2</v>
      </c>
      <c r="B184" t="s">
        <v>34</v>
      </c>
      <c r="C184">
        <v>481.17</v>
      </c>
      <c r="D184" t="s">
        <v>18</v>
      </c>
      <c r="E184" s="3">
        <v>85590.464343386935</v>
      </c>
    </row>
    <row r="185" spans="1:5" x14ac:dyDescent="0.25">
      <c r="A185" t="s">
        <v>3</v>
      </c>
      <c r="B185" t="s">
        <v>34</v>
      </c>
      <c r="C185">
        <v>367.29</v>
      </c>
      <c r="D185" t="s">
        <v>18</v>
      </c>
      <c r="E185" s="3">
        <v>65333.503021141354</v>
      </c>
    </row>
    <row r="186" spans="1:5" x14ac:dyDescent="0.25">
      <c r="A186" t="s">
        <v>4</v>
      </c>
      <c r="B186" t="s">
        <v>34</v>
      </c>
      <c r="C186">
        <v>461.7</v>
      </c>
      <c r="D186" t="s">
        <v>18</v>
      </c>
      <c r="E186" s="3">
        <v>82127.142979283293</v>
      </c>
    </row>
    <row r="187" spans="1:5" x14ac:dyDescent="0.25">
      <c r="A187" t="s">
        <v>5</v>
      </c>
      <c r="B187" t="s">
        <v>34</v>
      </c>
      <c r="C187">
        <v>537.38</v>
      </c>
      <c r="D187" t="s">
        <v>18</v>
      </c>
      <c r="E187" s="3">
        <v>95589.09268834148</v>
      </c>
    </row>
    <row r="188" spans="1:5" x14ac:dyDescent="0.25">
      <c r="A188" t="s">
        <v>6</v>
      </c>
      <c r="B188" t="s">
        <v>34</v>
      </c>
      <c r="C188">
        <v>339.98</v>
      </c>
      <c r="D188" t="s">
        <v>18</v>
      </c>
      <c r="E188" s="3">
        <v>60475.603357367851</v>
      </c>
    </row>
    <row r="189" spans="1:5" x14ac:dyDescent="0.25">
      <c r="A189" t="s">
        <v>7</v>
      </c>
      <c r="B189" t="s">
        <v>34</v>
      </c>
      <c r="C189">
        <v>466.77</v>
      </c>
      <c r="D189" t="s">
        <v>18</v>
      </c>
      <c r="E189" s="3">
        <v>83028.993997054509</v>
      </c>
    </row>
    <row r="190" spans="1:5" x14ac:dyDescent="0.25">
      <c r="A190" t="s">
        <v>8</v>
      </c>
      <c r="B190" t="s">
        <v>34</v>
      </c>
      <c r="C190">
        <v>332.93</v>
      </c>
      <c r="D190" t="s">
        <v>18</v>
      </c>
      <c r="E190" s="3">
        <v>59221.550166975932</v>
      </c>
    </row>
    <row r="191" spans="1:5" x14ac:dyDescent="0.25">
      <c r="A191" t="s">
        <v>9</v>
      </c>
      <c r="B191" t="s">
        <v>34</v>
      </c>
      <c r="C191">
        <v>494.75</v>
      </c>
      <c r="D191" t="s">
        <v>18</v>
      </c>
      <c r="E191" s="3">
        <v>88006.073183886532</v>
      </c>
    </row>
    <row r="192" spans="1:5" x14ac:dyDescent="0.25">
      <c r="A192" t="s">
        <v>10</v>
      </c>
      <c r="B192" t="s">
        <v>34</v>
      </c>
      <c r="C192">
        <v>185.28</v>
      </c>
      <c r="D192" t="s">
        <v>18</v>
      </c>
      <c r="E192" s="3">
        <v>32957.585122810502</v>
      </c>
    </row>
    <row r="193" spans="1:5" x14ac:dyDescent="0.25">
      <c r="A193" t="s">
        <v>11</v>
      </c>
      <c r="B193" t="s">
        <v>34</v>
      </c>
      <c r="C193">
        <v>446.94</v>
      </c>
      <c r="D193" t="s">
        <v>18</v>
      </c>
      <c r="E193" s="3">
        <v>79501.635874292566</v>
      </c>
    </row>
    <row r="194" spans="1:5" x14ac:dyDescent="0.25">
      <c r="A194" t="s">
        <v>0</v>
      </c>
      <c r="B194" t="s">
        <v>35</v>
      </c>
      <c r="C194">
        <v>1220.24</v>
      </c>
      <c r="D194" t="s">
        <v>18</v>
      </c>
      <c r="E194" s="3">
        <v>217056.15107004691</v>
      </c>
    </row>
    <row r="195" spans="1:5" x14ac:dyDescent="0.25">
      <c r="A195" t="s">
        <v>1</v>
      </c>
      <c r="B195" t="s">
        <v>35</v>
      </c>
      <c r="C195">
        <v>2075.2600000000002</v>
      </c>
      <c r="D195" t="s">
        <v>18</v>
      </c>
      <c r="E195" s="3">
        <v>369147.01048123778</v>
      </c>
    </row>
    <row r="196" spans="1:5" x14ac:dyDescent="0.25">
      <c r="A196" t="s">
        <v>2</v>
      </c>
      <c r="B196" t="s">
        <v>35</v>
      </c>
      <c r="C196">
        <v>2310.5700000000002</v>
      </c>
      <c r="D196" t="s">
        <v>18</v>
      </c>
      <c r="E196" s="3">
        <v>411003.92625870183</v>
      </c>
    </row>
    <row r="197" spans="1:5" x14ac:dyDescent="0.25">
      <c r="A197" t="s">
        <v>3</v>
      </c>
      <c r="B197" t="s">
        <v>35</v>
      </c>
      <c r="C197">
        <v>1939.02</v>
      </c>
      <c r="D197" t="s">
        <v>18</v>
      </c>
      <c r="E197" s="3">
        <v>344912.65492677042</v>
      </c>
    </row>
    <row r="198" spans="1:5" x14ac:dyDescent="0.25">
      <c r="A198" t="s">
        <v>4</v>
      </c>
      <c r="B198" t="s">
        <v>35</v>
      </c>
      <c r="C198">
        <v>3993.05</v>
      </c>
      <c r="D198" t="s">
        <v>18</v>
      </c>
      <c r="E198" s="3">
        <v>710283.27544601948</v>
      </c>
    </row>
    <row r="199" spans="1:5" x14ac:dyDescent="0.25">
      <c r="A199" t="s">
        <v>5</v>
      </c>
      <c r="B199" t="s">
        <v>35</v>
      </c>
      <c r="C199">
        <v>3926.48</v>
      </c>
      <c r="D199" t="s">
        <v>18</v>
      </c>
      <c r="E199" s="3">
        <v>698441.81149078684</v>
      </c>
    </row>
    <row r="200" spans="1:5" x14ac:dyDescent="0.25">
      <c r="A200" t="s">
        <v>6</v>
      </c>
      <c r="B200" t="s">
        <v>35</v>
      </c>
      <c r="C200">
        <v>4100.42</v>
      </c>
      <c r="D200" t="s">
        <v>18</v>
      </c>
      <c r="E200" s="3">
        <v>729382.23871586053</v>
      </c>
    </row>
    <row r="201" spans="1:5" x14ac:dyDescent="0.25">
      <c r="A201" t="s">
        <v>7</v>
      </c>
      <c r="B201" t="s">
        <v>35</v>
      </c>
      <c r="C201">
        <v>4178.49</v>
      </c>
      <c r="D201" t="s">
        <v>18</v>
      </c>
      <c r="E201" s="3">
        <v>743269.32135045587</v>
      </c>
    </row>
    <row r="202" spans="1:5" x14ac:dyDescent="0.25">
      <c r="A202" t="s">
        <v>8</v>
      </c>
      <c r="B202" t="s">
        <v>35</v>
      </c>
      <c r="C202">
        <v>4149.16</v>
      </c>
      <c r="D202" t="s">
        <v>18</v>
      </c>
      <c r="E202" s="3">
        <v>738052.1043186551</v>
      </c>
    </row>
    <row r="203" spans="1:5" x14ac:dyDescent="0.25">
      <c r="A203" t="s">
        <v>9</v>
      </c>
      <c r="B203" t="s">
        <v>35</v>
      </c>
      <c r="C203">
        <v>1369.76</v>
      </c>
      <c r="D203" t="s">
        <v>18</v>
      </c>
      <c r="E203" s="3">
        <v>243652.7514994652</v>
      </c>
    </row>
    <row r="204" spans="1:5" x14ac:dyDescent="0.25">
      <c r="A204" t="s">
        <v>10</v>
      </c>
      <c r="B204" t="s">
        <v>35</v>
      </c>
      <c r="C204">
        <v>895.34</v>
      </c>
      <c r="D204" t="s">
        <v>18</v>
      </c>
      <c r="E204" s="3">
        <v>159262.97638092161</v>
      </c>
    </row>
    <row r="205" spans="1:5" x14ac:dyDescent="0.25">
      <c r="A205" t="s">
        <v>11</v>
      </c>
      <c r="B205" t="s">
        <v>35</v>
      </c>
      <c r="C205">
        <v>3155.09</v>
      </c>
      <c r="D205" t="s">
        <v>18</v>
      </c>
      <c r="E205" s="3">
        <v>561227.04687569186</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B54D0-E544-47F2-8732-C4C296804EB6}">
  <dimension ref="A1:AI73"/>
  <sheetViews>
    <sheetView topLeftCell="D1" zoomScale="130" zoomScaleNormal="130" workbookViewId="0">
      <selection activeCell="M9" sqref="M9"/>
    </sheetView>
  </sheetViews>
  <sheetFormatPr defaultRowHeight="15" x14ac:dyDescent="0.25"/>
  <cols>
    <col min="2" max="2" width="12.7109375" bestFit="1" customWidth="1"/>
    <col min="3" max="3" width="12.5703125" customWidth="1"/>
    <col min="4" max="4" width="13.28515625" bestFit="1" customWidth="1"/>
    <col min="5" max="5" width="11.5703125" style="2" bestFit="1" customWidth="1"/>
    <col min="8" max="8" width="8.85546875" customWidth="1"/>
    <col min="9" max="9" width="14.7109375" bestFit="1" customWidth="1"/>
    <col min="10" max="10" width="12.5703125" customWidth="1"/>
    <col min="11" max="11" width="11.140625" bestFit="1" customWidth="1"/>
    <col min="12" max="12" width="10.7109375" customWidth="1"/>
    <col min="15" max="15" width="9" bestFit="1" customWidth="1"/>
    <col min="16" max="16" width="17.85546875" bestFit="1" customWidth="1"/>
    <col min="17" max="17" width="11" bestFit="1" customWidth="1"/>
    <col min="21" max="21" width="13.140625" bestFit="1" customWidth="1"/>
    <col min="22" max="22" width="10.85546875" customWidth="1"/>
    <col min="27" max="27" width="11.28515625" customWidth="1"/>
    <col min="28" max="28" width="12.28515625" style="2" customWidth="1"/>
    <col min="32" max="32" width="18.42578125" bestFit="1" customWidth="1"/>
    <col min="33" max="33" width="11.7109375" bestFit="1" customWidth="1"/>
    <col min="34" max="34" width="15.7109375" bestFit="1" customWidth="1"/>
    <col min="35" max="35" width="9.7109375" bestFit="1" customWidth="1"/>
  </cols>
  <sheetData>
    <row r="1" spans="1:35" x14ac:dyDescent="0.25">
      <c r="A1" t="s">
        <v>12</v>
      </c>
      <c r="B1" t="s">
        <v>39</v>
      </c>
      <c r="C1" t="s">
        <v>38</v>
      </c>
      <c r="D1" t="s">
        <v>40</v>
      </c>
      <c r="E1" s="2" t="s">
        <v>47</v>
      </c>
      <c r="H1" s="9" t="s">
        <v>12</v>
      </c>
      <c r="I1" s="9" t="s">
        <v>59</v>
      </c>
      <c r="J1" s="9" t="s">
        <v>38</v>
      </c>
      <c r="K1" s="9" t="s">
        <v>40</v>
      </c>
      <c r="L1" s="15" t="s">
        <v>57</v>
      </c>
      <c r="O1" t="s">
        <v>12</v>
      </c>
      <c r="P1" t="s">
        <v>60</v>
      </c>
      <c r="Q1" t="s">
        <v>49</v>
      </c>
      <c r="T1" s="16" t="s">
        <v>12</v>
      </c>
      <c r="U1" s="16" t="s">
        <v>65</v>
      </c>
      <c r="V1" s="17" t="s">
        <v>49</v>
      </c>
      <c r="Y1" t="s">
        <v>12</v>
      </c>
      <c r="Z1" t="s">
        <v>69</v>
      </c>
      <c r="AA1" t="s">
        <v>76</v>
      </c>
      <c r="AB1" s="2" t="s">
        <v>49</v>
      </c>
      <c r="AE1" s="16" t="s">
        <v>12</v>
      </c>
      <c r="AF1" s="16" t="s">
        <v>78</v>
      </c>
      <c r="AG1" s="16" t="s">
        <v>76</v>
      </c>
      <c r="AH1" s="16" t="s">
        <v>79</v>
      </c>
      <c r="AI1" s="16" t="s">
        <v>80</v>
      </c>
    </row>
    <row r="2" spans="1:35" x14ac:dyDescent="0.25">
      <c r="A2" t="s">
        <v>0</v>
      </c>
      <c r="B2" t="s">
        <v>46</v>
      </c>
      <c r="C2" s="3">
        <v>115136</v>
      </c>
      <c r="D2" s="3">
        <v>3896060</v>
      </c>
      <c r="E2" s="2">
        <v>414489.60000000003</v>
      </c>
      <c r="H2" s="10" t="s">
        <v>0</v>
      </c>
      <c r="I2" s="10" t="s">
        <v>13</v>
      </c>
      <c r="J2" s="12">
        <v>86016</v>
      </c>
      <c r="K2" s="12">
        <v>2924169</v>
      </c>
      <c r="L2">
        <v>306</v>
      </c>
      <c r="O2" t="s">
        <v>0</v>
      </c>
      <c r="P2" t="s">
        <v>61</v>
      </c>
      <c r="Q2" s="1">
        <v>413</v>
      </c>
      <c r="T2" s="10" t="s">
        <v>0</v>
      </c>
      <c r="U2" t="s">
        <v>66</v>
      </c>
      <c r="V2" s="2">
        <v>6357</v>
      </c>
      <c r="Y2" s="19" t="s">
        <v>0</v>
      </c>
      <c r="Z2" t="s">
        <v>70</v>
      </c>
      <c r="AA2" t="s">
        <v>73</v>
      </c>
      <c r="AB2" s="2">
        <v>13.200116200000002</v>
      </c>
      <c r="AE2" s="10" t="s">
        <v>11</v>
      </c>
      <c r="AF2" s="10">
        <v>5065988</v>
      </c>
      <c r="AG2" s="10" t="s">
        <v>81</v>
      </c>
      <c r="AH2" s="12">
        <f>375294-373487</f>
        <v>1807</v>
      </c>
      <c r="AI2" s="12">
        <v>95501</v>
      </c>
    </row>
    <row r="3" spans="1:35" x14ac:dyDescent="0.25">
      <c r="A3" t="s">
        <v>1</v>
      </c>
      <c r="B3" t="s">
        <v>46</v>
      </c>
      <c r="C3" s="3">
        <v>108953</v>
      </c>
      <c r="D3" s="3">
        <v>3384713</v>
      </c>
      <c r="E3" s="2">
        <v>392230.8</v>
      </c>
      <c r="H3" s="11" t="s">
        <v>1</v>
      </c>
      <c r="I3" s="11" t="s">
        <v>13</v>
      </c>
      <c r="J3" s="13">
        <v>81429</v>
      </c>
      <c r="K3" s="13">
        <v>2539907</v>
      </c>
      <c r="L3">
        <v>332</v>
      </c>
      <c r="O3" t="s">
        <v>1</v>
      </c>
      <c r="P3" t="s">
        <v>61</v>
      </c>
      <c r="Q3" s="1">
        <v>361</v>
      </c>
      <c r="T3" s="11" t="s">
        <v>1</v>
      </c>
      <c r="U3" t="s">
        <v>66</v>
      </c>
      <c r="V3" s="2">
        <v>6099.4</v>
      </c>
      <c r="Y3" s="18" t="s">
        <v>1</v>
      </c>
      <c r="Z3" t="s">
        <v>70</v>
      </c>
      <c r="AA3" t="s">
        <v>73</v>
      </c>
      <c r="AB3" s="2">
        <v>21.704246800000004</v>
      </c>
      <c r="AE3" s="11" t="s">
        <v>11</v>
      </c>
      <c r="AF3" s="11">
        <v>5078365</v>
      </c>
      <c r="AG3" s="11" t="s">
        <v>82</v>
      </c>
      <c r="AH3" s="13">
        <f>60458-59749</f>
        <v>709</v>
      </c>
      <c r="AI3" s="13">
        <v>91416.99</v>
      </c>
    </row>
    <row r="4" spans="1:35" x14ac:dyDescent="0.25">
      <c r="A4" t="s">
        <v>2</v>
      </c>
      <c r="B4" t="s">
        <v>46</v>
      </c>
      <c r="C4" s="3">
        <v>104657</v>
      </c>
      <c r="D4" s="3">
        <v>3220670</v>
      </c>
      <c r="E4" s="2">
        <v>376765.2</v>
      </c>
      <c r="H4" s="10" t="s">
        <v>2</v>
      </c>
      <c r="I4" s="10" t="s">
        <v>13</v>
      </c>
      <c r="J4" s="12">
        <v>79643</v>
      </c>
      <c r="K4" s="12">
        <v>2444624</v>
      </c>
      <c r="L4">
        <v>301</v>
      </c>
      <c r="O4" t="s">
        <v>2</v>
      </c>
      <c r="P4" t="s">
        <v>61</v>
      </c>
      <c r="Q4" s="1">
        <v>626</v>
      </c>
      <c r="T4" s="10" t="s">
        <v>2</v>
      </c>
      <c r="U4" t="s">
        <v>66</v>
      </c>
      <c r="V4" s="2">
        <v>8531.2000000000007</v>
      </c>
      <c r="Y4" s="19" t="s">
        <v>2</v>
      </c>
      <c r="Z4" t="s">
        <v>70</v>
      </c>
      <c r="AA4" t="s">
        <v>73</v>
      </c>
      <c r="AB4" s="2">
        <v>19.651286799999998</v>
      </c>
      <c r="AE4" s="10" t="s">
        <v>11</v>
      </c>
      <c r="AF4" s="10">
        <v>5162471</v>
      </c>
      <c r="AG4" s="10" t="s">
        <v>83</v>
      </c>
      <c r="AH4" s="12">
        <f>14838-14736</f>
        <v>102</v>
      </c>
      <c r="AI4" s="12">
        <v>11749</v>
      </c>
    </row>
    <row r="5" spans="1:35" x14ac:dyDescent="0.25">
      <c r="A5" t="s">
        <v>3</v>
      </c>
      <c r="B5" t="s">
        <v>46</v>
      </c>
      <c r="C5" s="3">
        <v>140030</v>
      </c>
      <c r="D5" s="3">
        <v>3836222</v>
      </c>
      <c r="E5" s="2">
        <v>504108</v>
      </c>
      <c r="H5" s="11" t="s">
        <v>3</v>
      </c>
      <c r="I5" s="11" t="s">
        <v>13</v>
      </c>
      <c r="J5" s="13">
        <v>103875</v>
      </c>
      <c r="K5" s="13">
        <v>2874120</v>
      </c>
      <c r="L5">
        <v>344</v>
      </c>
      <c r="O5" t="s">
        <v>3</v>
      </c>
      <c r="P5" t="s">
        <v>61</v>
      </c>
      <c r="Q5" s="1">
        <v>627</v>
      </c>
      <c r="T5" s="11" t="s">
        <v>3</v>
      </c>
      <c r="U5" t="s">
        <v>66</v>
      </c>
      <c r="V5" s="2">
        <v>3308.8</v>
      </c>
      <c r="Y5" s="18" t="s">
        <v>3</v>
      </c>
      <c r="Z5" t="s">
        <v>70</v>
      </c>
      <c r="AA5" t="s">
        <v>73</v>
      </c>
      <c r="AB5" s="2">
        <v>16.757424099999998</v>
      </c>
      <c r="AE5" s="20" t="s">
        <v>11</v>
      </c>
      <c r="AF5" s="20">
        <v>5171777</v>
      </c>
      <c r="AG5" s="20" t="s">
        <v>81</v>
      </c>
      <c r="AH5" s="21">
        <f>5531-3712</f>
        <v>1819</v>
      </c>
      <c r="AI5" s="21">
        <v>96149</v>
      </c>
    </row>
    <row r="6" spans="1:35" x14ac:dyDescent="0.25">
      <c r="A6" t="s">
        <v>4</v>
      </c>
      <c r="B6" t="s">
        <v>46</v>
      </c>
      <c r="C6" s="3">
        <v>125404</v>
      </c>
      <c r="D6" s="3">
        <v>3450832</v>
      </c>
      <c r="E6" s="2">
        <v>451454.4</v>
      </c>
      <c r="H6" s="10" t="s">
        <v>4</v>
      </c>
      <c r="I6" s="10" t="s">
        <v>13</v>
      </c>
      <c r="J6" s="12">
        <v>92677</v>
      </c>
      <c r="K6" s="12">
        <v>2571741</v>
      </c>
      <c r="L6">
        <v>343</v>
      </c>
      <c r="O6" t="s">
        <v>4</v>
      </c>
      <c r="P6" t="s">
        <v>61</v>
      </c>
      <c r="Q6" s="1">
        <v>489</v>
      </c>
      <c r="T6" s="10" t="s">
        <v>4</v>
      </c>
      <c r="U6" t="s">
        <v>66</v>
      </c>
      <c r="V6" s="2">
        <v>2962.4</v>
      </c>
      <c r="Y6" s="19" t="s">
        <v>4</v>
      </c>
      <c r="Z6" t="s">
        <v>70</v>
      </c>
      <c r="AA6" t="s">
        <v>73</v>
      </c>
      <c r="AB6" s="2">
        <v>25.126884100000002</v>
      </c>
      <c r="AE6" t="s">
        <v>11</v>
      </c>
      <c r="AF6">
        <v>5216943</v>
      </c>
      <c r="AG6" t="s">
        <v>84</v>
      </c>
      <c r="AH6" s="3">
        <f>11963-11799</f>
        <v>164</v>
      </c>
      <c r="AI6" s="3">
        <v>19668</v>
      </c>
    </row>
    <row r="7" spans="1:35" x14ac:dyDescent="0.25">
      <c r="A7" t="s">
        <v>5</v>
      </c>
      <c r="B7" t="s">
        <v>46</v>
      </c>
      <c r="C7" s="3">
        <v>118983</v>
      </c>
      <c r="D7" s="3">
        <v>3390824</v>
      </c>
      <c r="E7" s="2">
        <v>428338.8</v>
      </c>
      <c r="H7" s="11" t="s">
        <v>5</v>
      </c>
      <c r="I7" s="11" t="s">
        <v>13</v>
      </c>
      <c r="J7" s="13">
        <v>89876</v>
      </c>
      <c r="K7" s="13">
        <v>2572738</v>
      </c>
      <c r="L7">
        <v>333</v>
      </c>
      <c r="O7" t="s">
        <v>5</v>
      </c>
      <c r="P7" t="s">
        <v>61</v>
      </c>
      <c r="Q7" s="1">
        <v>581</v>
      </c>
      <c r="T7" s="11" t="s">
        <v>5</v>
      </c>
      <c r="U7" t="s">
        <v>66</v>
      </c>
      <c r="V7" s="2">
        <v>3159.8</v>
      </c>
      <c r="Y7" s="18" t="s">
        <v>5</v>
      </c>
      <c r="Z7" t="s">
        <v>70</v>
      </c>
      <c r="AA7" t="s">
        <v>73</v>
      </c>
      <c r="AB7" s="2">
        <v>24.559901300000003</v>
      </c>
      <c r="AE7" t="s">
        <v>1</v>
      </c>
      <c r="AF7">
        <v>5078365</v>
      </c>
      <c r="AG7" t="s">
        <v>82</v>
      </c>
      <c r="AH7" s="3">
        <f>54697-54321</f>
        <v>376</v>
      </c>
      <c r="AI7" s="3">
        <v>47256</v>
      </c>
    </row>
    <row r="8" spans="1:35" x14ac:dyDescent="0.25">
      <c r="A8" t="s">
        <v>6</v>
      </c>
      <c r="B8" t="s">
        <v>46</v>
      </c>
      <c r="C8" s="3">
        <v>152811</v>
      </c>
      <c r="D8" s="3">
        <v>3869984.7</v>
      </c>
      <c r="E8" s="2">
        <v>550119.6</v>
      </c>
      <c r="H8" s="10" t="s">
        <v>6</v>
      </c>
      <c r="I8" s="10" t="s">
        <v>13</v>
      </c>
      <c r="J8" s="12">
        <v>114423</v>
      </c>
      <c r="K8" s="12">
        <v>2925671</v>
      </c>
      <c r="L8">
        <v>364</v>
      </c>
      <c r="O8" t="s">
        <v>6</v>
      </c>
      <c r="P8" t="s">
        <v>61</v>
      </c>
      <c r="Q8" s="1">
        <v>649</v>
      </c>
      <c r="T8" s="10" t="s">
        <v>6</v>
      </c>
      <c r="U8" t="s">
        <v>66</v>
      </c>
      <c r="V8" s="2">
        <v>1953.2</v>
      </c>
      <c r="Y8" s="19" t="s">
        <v>6</v>
      </c>
      <c r="Z8" t="s">
        <v>70</v>
      </c>
      <c r="AA8" t="s">
        <v>73</v>
      </c>
      <c r="AB8" s="2">
        <v>26.543197700000004</v>
      </c>
      <c r="AE8" t="s">
        <v>1</v>
      </c>
      <c r="AF8">
        <v>5065988</v>
      </c>
      <c r="AG8" t="s">
        <v>81</v>
      </c>
      <c r="AH8" s="3">
        <f>359295-357635</f>
        <v>1660</v>
      </c>
      <c r="AI8" s="3">
        <v>87822</v>
      </c>
    </row>
    <row r="9" spans="1:35" x14ac:dyDescent="0.25">
      <c r="A9" t="s">
        <v>7</v>
      </c>
      <c r="B9" t="s">
        <v>46</v>
      </c>
      <c r="C9" s="3">
        <v>112238</v>
      </c>
      <c r="D9" s="3">
        <v>3544488.7</v>
      </c>
      <c r="E9" s="2">
        <v>404056.8</v>
      </c>
      <c r="H9" s="11" t="s">
        <v>7</v>
      </c>
      <c r="I9" s="11" t="s">
        <v>13</v>
      </c>
      <c r="J9" s="13">
        <v>79007</v>
      </c>
      <c r="K9" s="13">
        <v>2661737</v>
      </c>
      <c r="L9">
        <v>301</v>
      </c>
      <c r="O9" t="s">
        <v>7</v>
      </c>
      <c r="P9" t="s">
        <v>61</v>
      </c>
      <c r="Q9" s="1">
        <v>663</v>
      </c>
      <c r="T9" s="11" t="s">
        <v>7</v>
      </c>
      <c r="U9" t="s">
        <v>66</v>
      </c>
      <c r="V9" s="2">
        <v>2454</v>
      </c>
      <c r="Y9" s="18" t="s">
        <v>7</v>
      </c>
      <c r="Z9" t="s">
        <v>70</v>
      </c>
      <c r="AA9" t="s">
        <v>73</v>
      </c>
      <c r="AB9" s="2">
        <v>26.079321699999998</v>
      </c>
      <c r="AE9" t="s">
        <v>4</v>
      </c>
      <c r="AF9">
        <v>5216943</v>
      </c>
      <c r="AG9" t="s">
        <v>84</v>
      </c>
      <c r="AH9" s="3">
        <f>6+14+30+50+180</f>
        <v>280</v>
      </c>
      <c r="AI9" s="3">
        <v>34810</v>
      </c>
    </row>
    <row r="10" spans="1:35" x14ac:dyDescent="0.25">
      <c r="A10" t="s">
        <v>8</v>
      </c>
      <c r="B10" t="s">
        <v>46</v>
      </c>
      <c r="C10" s="3">
        <v>115161</v>
      </c>
      <c r="D10" s="3">
        <v>3177024.3</v>
      </c>
      <c r="E10" s="2">
        <v>414579.60000000003</v>
      </c>
      <c r="H10" s="10" t="s">
        <v>8</v>
      </c>
      <c r="I10" s="10" t="s">
        <v>13</v>
      </c>
      <c r="J10" s="12">
        <v>83063</v>
      </c>
      <c r="K10" s="12">
        <v>2334412</v>
      </c>
      <c r="L10">
        <v>390</v>
      </c>
      <c r="O10" t="s">
        <v>8</v>
      </c>
      <c r="P10" t="s">
        <v>61</v>
      </c>
      <c r="Q10" s="1">
        <v>511.80000000000291</v>
      </c>
      <c r="T10" s="10" t="s">
        <v>8</v>
      </c>
      <c r="U10" t="s">
        <v>66</v>
      </c>
      <c r="V10" s="2">
        <v>5375</v>
      </c>
      <c r="Y10" s="19" t="s">
        <v>8</v>
      </c>
      <c r="Z10" t="s">
        <v>70</v>
      </c>
      <c r="AA10" t="s">
        <v>73</v>
      </c>
      <c r="AB10" s="2">
        <v>27.881793600000005</v>
      </c>
      <c r="AE10" t="s">
        <v>4</v>
      </c>
      <c r="AF10">
        <v>5162471</v>
      </c>
      <c r="AG10" t="s">
        <v>83</v>
      </c>
      <c r="AH10" s="3">
        <f>50+50+28</f>
        <v>128</v>
      </c>
      <c r="AI10" s="3">
        <v>15124</v>
      </c>
    </row>
    <row r="11" spans="1:35" x14ac:dyDescent="0.25">
      <c r="A11" t="s">
        <v>9</v>
      </c>
      <c r="B11" t="s">
        <v>46</v>
      </c>
      <c r="C11" s="3">
        <v>121220</v>
      </c>
      <c r="D11" s="3">
        <v>3238690.3</v>
      </c>
      <c r="E11" s="2">
        <v>436392</v>
      </c>
      <c r="H11" s="11" t="s">
        <v>9</v>
      </c>
      <c r="I11" s="11" t="s">
        <v>13</v>
      </c>
      <c r="J11" s="13">
        <v>94477</v>
      </c>
      <c r="K11" s="13">
        <v>2512809</v>
      </c>
      <c r="L11">
        <v>327</v>
      </c>
      <c r="O11" t="s">
        <v>9</v>
      </c>
      <c r="P11" t="s">
        <v>61</v>
      </c>
      <c r="Q11" s="1">
        <v>589.19999999999709</v>
      </c>
      <c r="T11" s="11" t="s">
        <v>9</v>
      </c>
      <c r="U11" t="s">
        <v>66</v>
      </c>
      <c r="V11" s="2">
        <v>7813.8</v>
      </c>
      <c r="Y11" s="18" t="s">
        <v>9</v>
      </c>
      <c r="Z11" t="s">
        <v>70</v>
      </c>
      <c r="AA11" t="s">
        <v>73</v>
      </c>
      <c r="AB11" s="2">
        <v>16.019272400000002</v>
      </c>
      <c r="AE11" t="s">
        <v>4</v>
      </c>
      <c r="AF11">
        <v>5078365</v>
      </c>
      <c r="AG11" t="s">
        <v>82</v>
      </c>
      <c r="AH11" s="3">
        <f>50+50+200+327</f>
        <v>627</v>
      </c>
      <c r="AI11" s="3">
        <v>80800</v>
      </c>
    </row>
    <row r="12" spans="1:35" x14ac:dyDescent="0.25">
      <c r="A12" t="s">
        <v>10</v>
      </c>
      <c r="B12" t="s">
        <v>46</v>
      </c>
      <c r="C12" s="3">
        <v>113153</v>
      </c>
      <c r="D12" s="3">
        <v>3127700.8</v>
      </c>
      <c r="E12" s="2">
        <v>407350.8</v>
      </c>
      <c r="H12" s="10" t="s">
        <v>10</v>
      </c>
      <c r="I12" s="10" t="s">
        <v>13</v>
      </c>
      <c r="J12" s="12">
        <v>86302</v>
      </c>
      <c r="K12" s="12">
        <v>2407846</v>
      </c>
      <c r="L12">
        <v>390</v>
      </c>
      <c r="O12" t="s">
        <v>10</v>
      </c>
      <c r="P12" t="s">
        <v>61</v>
      </c>
      <c r="Q12" s="1">
        <v>1131</v>
      </c>
      <c r="T12" s="10" t="s">
        <v>10</v>
      </c>
      <c r="U12" t="s">
        <v>66</v>
      </c>
      <c r="V12" s="2">
        <v>4412.6000000000004</v>
      </c>
      <c r="Y12" s="19" t="s">
        <v>10</v>
      </c>
      <c r="Z12" t="s">
        <v>70</v>
      </c>
      <c r="AA12" t="s">
        <v>73</v>
      </c>
      <c r="AB12" s="2">
        <v>18.599917800000004</v>
      </c>
      <c r="AE12" t="s">
        <v>4</v>
      </c>
      <c r="AF12">
        <v>5065988</v>
      </c>
      <c r="AG12" t="s">
        <v>81</v>
      </c>
      <c r="AH12" s="3">
        <v>1372</v>
      </c>
      <c r="AI12" s="3">
        <v>72270</v>
      </c>
    </row>
    <row r="13" spans="1:35" x14ac:dyDescent="0.25">
      <c r="A13" t="s">
        <v>11</v>
      </c>
      <c r="B13" t="s">
        <v>46</v>
      </c>
      <c r="C13" s="3">
        <v>99241.388418464907</v>
      </c>
      <c r="D13" s="3">
        <v>2717726.8</v>
      </c>
      <c r="E13" s="2">
        <v>357268.99830647366</v>
      </c>
      <c r="H13" s="11" t="s">
        <v>11</v>
      </c>
      <c r="I13" s="11" t="s">
        <v>13</v>
      </c>
      <c r="J13" s="13">
        <v>77732</v>
      </c>
      <c r="K13" s="13">
        <v>2126692</v>
      </c>
      <c r="L13">
        <v>311</v>
      </c>
      <c r="O13" t="s">
        <v>11</v>
      </c>
      <c r="P13" t="s">
        <v>61</v>
      </c>
      <c r="Q13" s="1">
        <v>115</v>
      </c>
      <c r="T13" s="11" t="s">
        <v>11</v>
      </c>
      <c r="U13" t="s">
        <v>66</v>
      </c>
      <c r="V13" s="2">
        <v>15823.8</v>
      </c>
      <c r="Y13" s="18" t="s">
        <v>11</v>
      </c>
      <c r="Z13" t="s">
        <v>70</v>
      </c>
      <c r="AA13" t="s">
        <v>73</v>
      </c>
      <c r="AB13" s="2">
        <v>16.0433846</v>
      </c>
      <c r="AE13" t="s">
        <v>5</v>
      </c>
      <c r="AF13">
        <v>5171777</v>
      </c>
      <c r="AG13" t="s">
        <v>81</v>
      </c>
      <c r="AH13" s="3">
        <f>89865-87954</f>
        <v>1911</v>
      </c>
      <c r="AI13" s="3">
        <v>101358</v>
      </c>
    </row>
    <row r="14" spans="1:35" x14ac:dyDescent="0.25">
      <c r="A14" t="s">
        <v>0</v>
      </c>
      <c r="B14" t="s">
        <v>17</v>
      </c>
      <c r="C14" s="3">
        <v>938.4</v>
      </c>
      <c r="D14" s="3">
        <v>171678.79</v>
      </c>
      <c r="E14" s="2">
        <v>32093.280000000002</v>
      </c>
      <c r="H14" s="10" t="s">
        <v>0</v>
      </c>
      <c r="I14" s="10" t="s">
        <v>14</v>
      </c>
      <c r="J14" s="12">
        <v>29120</v>
      </c>
      <c r="K14" s="12">
        <v>971891</v>
      </c>
      <c r="L14" s="3">
        <v>104</v>
      </c>
      <c r="O14" t="s">
        <v>0</v>
      </c>
      <c r="P14" t="s">
        <v>15</v>
      </c>
      <c r="Q14" s="1">
        <v>1775</v>
      </c>
      <c r="T14" s="10" t="s">
        <v>0</v>
      </c>
      <c r="U14" t="s">
        <v>67</v>
      </c>
      <c r="V14" s="2">
        <v>39793</v>
      </c>
      <c r="Y14" s="19" t="s">
        <v>0</v>
      </c>
      <c r="Z14" t="s">
        <v>70</v>
      </c>
      <c r="AA14" t="s">
        <v>74</v>
      </c>
      <c r="AB14" s="2">
        <v>1.3668024000000001</v>
      </c>
      <c r="AE14" t="s">
        <v>5</v>
      </c>
      <c r="AF14">
        <v>5078365</v>
      </c>
      <c r="AG14" t="s">
        <v>82</v>
      </c>
      <c r="AH14" s="3">
        <f>56775-56347</f>
        <v>428</v>
      </c>
      <c r="AI14" s="3">
        <v>53748</v>
      </c>
    </row>
    <row r="15" spans="1:35" x14ac:dyDescent="0.25">
      <c r="A15" t="s">
        <v>1</v>
      </c>
      <c r="B15" t="s">
        <v>17</v>
      </c>
      <c r="C15" s="3">
        <v>1476.38</v>
      </c>
      <c r="D15" s="3">
        <v>303428.65999999997</v>
      </c>
      <c r="E15" s="2">
        <v>50492.196000000011</v>
      </c>
      <c r="H15" s="11" t="s">
        <v>1</v>
      </c>
      <c r="I15" s="11" t="s">
        <v>14</v>
      </c>
      <c r="J15" s="13">
        <v>27524</v>
      </c>
      <c r="K15" s="13">
        <v>844806</v>
      </c>
      <c r="L15" s="3">
        <v>107</v>
      </c>
      <c r="O15" t="s">
        <v>1</v>
      </c>
      <c r="P15" t="s">
        <v>15</v>
      </c>
      <c r="Q15" s="1">
        <v>1475</v>
      </c>
      <c r="T15" s="11" t="s">
        <v>1</v>
      </c>
      <c r="U15" t="s">
        <v>67</v>
      </c>
      <c r="V15" s="2">
        <v>44070.6</v>
      </c>
      <c r="Y15" s="18" t="s">
        <v>1</v>
      </c>
      <c r="Z15" t="s">
        <v>70</v>
      </c>
      <c r="AA15" t="s">
        <v>74</v>
      </c>
      <c r="AB15" s="2">
        <v>0.94059520000000008</v>
      </c>
      <c r="AE15" t="s">
        <v>5</v>
      </c>
      <c r="AF15">
        <v>5065988</v>
      </c>
      <c r="AG15" t="s">
        <v>81</v>
      </c>
      <c r="AH15" s="3">
        <f>364636-363393</f>
        <v>1243</v>
      </c>
      <c r="AI15" s="3">
        <v>64996</v>
      </c>
    </row>
    <row r="16" spans="1:35" x14ac:dyDescent="0.25">
      <c r="A16" t="s">
        <v>2</v>
      </c>
      <c r="B16" t="s">
        <v>17</v>
      </c>
      <c r="C16" s="3">
        <v>2368.8200000000002</v>
      </c>
      <c r="D16" s="3">
        <v>502889.82999999996</v>
      </c>
      <c r="E16" s="2">
        <v>81013.644000000015</v>
      </c>
      <c r="H16" s="10" t="s">
        <v>2</v>
      </c>
      <c r="I16" s="10" t="s">
        <v>14</v>
      </c>
      <c r="J16" s="12">
        <v>25014</v>
      </c>
      <c r="K16" s="12">
        <v>776046</v>
      </c>
      <c r="L16" s="3">
        <v>101</v>
      </c>
      <c r="O16" t="s">
        <v>2</v>
      </c>
      <c r="P16" t="s">
        <v>15</v>
      </c>
      <c r="Q16" s="1">
        <v>1140</v>
      </c>
      <c r="T16" s="10" t="s">
        <v>2</v>
      </c>
      <c r="U16" t="s">
        <v>67</v>
      </c>
      <c r="V16" s="2">
        <v>48508.800000000003</v>
      </c>
      <c r="Y16" s="19" t="s">
        <v>2</v>
      </c>
      <c r="Z16" t="s">
        <v>70</v>
      </c>
      <c r="AA16" t="s">
        <v>74</v>
      </c>
      <c r="AB16" s="2">
        <v>1.4108928000000001</v>
      </c>
      <c r="AE16" t="s">
        <v>0</v>
      </c>
      <c r="AF16">
        <v>5216943</v>
      </c>
      <c r="AG16" t="s">
        <v>84</v>
      </c>
      <c r="AH16" s="3">
        <f>10021-9924</f>
        <v>97</v>
      </c>
      <c r="AI16" s="3">
        <v>11307</v>
      </c>
    </row>
    <row r="17" spans="1:35" x14ac:dyDescent="0.25">
      <c r="A17" t="s">
        <v>3</v>
      </c>
      <c r="B17" t="s">
        <v>17</v>
      </c>
      <c r="C17" s="3">
        <v>563.89</v>
      </c>
      <c r="D17" s="3">
        <v>100734.91</v>
      </c>
      <c r="E17" s="2">
        <v>19285.038</v>
      </c>
      <c r="H17" s="11" t="s">
        <v>3</v>
      </c>
      <c r="I17" s="11" t="s">
        <v>14</v>
      </c>
      <c r="J17" s="13">
        <v>36155</v>
      </c>
      <c r="K17" s="13">
        <v>962102</v>
      </c>
      <c r="L17" s="3">
        <v>104</v>
      </c>
      <c r="O17" t="s">
        <v>3</v>
      </c>
      <c r="P17" t="s">
        <v>15</v>
      </c>
      <c r="Q17" s="1">
        <v>1371</v>
      </c>
      <c r="T17" s="11" t="s">
        <v>3</v>
      </c>
      <c r="U17" t="s">
        <v>67</v>
      </c>
      <c r="V17" s="2">
        <v>36741.199999999997</v>
      </c>
      <c r="Y17" s="18" t="s">
        <v>3</v>
      </c>
      <c r="Z17" t="s">
        <v>70</v>
      </c>
      <c r="AA17" t="s">
        <v>74</v>
      </c>
      <c r="AB17" s="2">
        <v>0.94059520000000008</v>
      </c>
      <c r="AE17" t="s">
        <v>0</v>
      </c>
      <c r="AF17">
        <v>5171777</v>
      </c>
      <c r="AG17" t="s">
        <v>81</v>
      </c>
      <c r="AH17" s="3">
        <f>79975-77970</f>
        <v>2005</v>
      </c>
      <c r="AI17" s="3">
        <v>106470</v>
      </c>
    </row>
    <row r="18" spans="1:35" x14ac:dyDescent="0.25">
      <c r="A18" t="s">
        <v>4</v>
      </c>
      <c r="B18" t="s">
        <v>17</v>
      </c>
      <c r="C18" s="3">
        <v>1409.93</v>
      </c>
      <c r="D18" s="3">
        <v>252037.01</v>
      </c>
      <c r="E18" s="2">
        <v>48219.606000000007</v>
      </c>
      <c r="H18" s="10" t="s">
        <v>4</v>
      </c>
      <c r="I18" s="10" t="s">
        <v>14</v>
      </c>
      <c r="J18" s="12">
        <v>32727</v>
      </c>
      <c r="K18" s="12">
        <v>879091</v>
      </c>
      <c r="L18" s="3">
        <v>109</v>
      </c>
      <c r="O18" t="s">
        <v>4</v>
      </c>
      <c r="P18" t="s">
        <v>15</v>
      </c>
      <c r="Q18" s="1">
        <v>1265</v>
      </c>
      <c r="T18" s="10" t="s">
        <v>4</v>
      </c>
      <c r="U18" t="s">
        <v>67</v>
      </c>
      <c r="V18" s="2">
        <v>39007.599999999999</v>
      </c>
      <c r="Y18" s="19" t="s">
        <v>4</v>
      </c>
      <c r="Z18" t="s">
        <v>70</v>
      </c>
      <c r="AA18" t="s">
        <v>74</v>
      </c>
      <c r="AB18" s="2">
        <v>0.94059520000000008</v>
      </c>
      <c r="AE18" t="s">
        <v>0</v>
      </c>
      <c r="AF18">
        <v>5162471</v>
      </c>
      <c r="AG18" t="s">
        <v>83</v>
      </c>
      <c r="AH18" s="3">
        <f>13484-13201</f>
        <v>283</v>
      </c>
      <c r="AI18" s="3">
        <v>35090</v>
      </c>
    </row>
    <row r="19" spans="1:35" x14ac:dyDescent="0.25">
      <c r="A19" t="s">
        <v>5</v>
      </c>
      <c r="B19" t="s">
        <v>17</v>
      </c>
      <c r="C19" s="3">
        <v>1429.23</v>
      </c>
      <c r="D19" s="3">
        <v>303211.64</v>
      </c>
      <c r="E19" s="2">
        <v>48879.666000000005</v>
      </c>
      <c r="H19" s="11" t="s">
        <v>5</v>
      </c>
      <c r="I19" s="11" t="s">
        <v>14</v>
      </c>
      <c r="J19" s="13">
        <v>29107</v>
      </c>
      <c r="K19" s="13">
        <v>818086</v>
      </c>
      <c r="L19" s="3">
        <v>96</v>
      </c>
      <c r="O19" t="s">
        <v>5</v>
      </c>
      <c r="P19" t="s">
        <v>15</v>
      </c>
      <c r="Q19" s="1">
        <v>1373</v>
      </c>
      <c r="T19" s="11" t="s">
        <v>5</v>
      </c>
      <c r="U19" t="s">
        <v>67</v>
      </c>
      <c r="V19" s="2">
        <v>35300.199999999997</v>
      </c>
      <c r="Y19" s="18" t="s">
        <v>5</v>
      </c>
      <c r="Z19" t="s">
        <v>70</v>
      </c>
      <c r="AA19" t="s">
        <v>74</v>
      </c>
      <c r="AB19" s="2">
        <v>0.91120160000000006</v>
      </c>
      <c r="AE19" t="s">
        <v>0</v>
      </c>
      <c r="AF19">
        <v>5078365</v>
      </c>
      <c r="AG19" t="s">
        <v>82</v>
      </c>
      <c r="AH19" s="3">
        <f>54321-53835</f>
        <v>486</v>
      </c>
      <c r="AI19" s="3">
        <v>61960</v>
      </c>
    </row>
    <row r="20" spans="1:35" x14ac:dyDescent="0.25">
      <c r="A20" t="s">
        <v>6</v>
      </c>
      <c r="B20" t="s">
        <v>17</v>
      </c>
      <c r="C20" s="3">
        <v>1241.57</v>
      </c>
      <c r="D20" s="3">
        <v>234546.02000000002</v>
      </c>
      <c r="E20" s="2">
        <v>42461.694000000003</v>
      </c>
      <c r="H20" s="10" t="s">
        <v>6</v>
      </c>
      <c r="I20" s="10" t="s">
        <v>14</v>
      </c>
      <c r="J20" s="12">
        <v>38062</v>
      </c>
      <c r="K20" s="12">
        <v>934168</v>
      </c>
      <c r="L20" s="3">
        <v>101</v>
      </c>
      <c r="O20" t="s">
        <v>6</v>
      </c>
      <c r="P20" t="s">
        <v>15</v>
      </c>
      <c r="Q20" s="1">
        <v>1535</v>
      </c>
      <c r="T20" s="10" t="s">
        <v>6</v>
      </c>
      <c r="U20" t="s">
        <v>67</v>
      </c>
      <c r="V20" s="2">
        <v>33126.800000000003</v>
      </c>
      <c r="Y20" s="19" t="s">
        <v>6</v>
      </c>
      <c r="Z20" t="s">
        <v>70</v>
      </c>
      <c r="AA20" t="s">
        <v>74</v>
      </c>
      <c r="AB20" s="2">
        <v>0.91120160000000006</v>
      </c>
      <c r="AE20" t="s">
        <v>0</v>
      </c>
      <c r="AF20">
        <v>5065988</v>
      </c>
      <c r="AG20" t="s">
        <v>81</v>
      </c>
      <c r="AH20" s="3">
        <f>357635-356174</f>
        <v>1461</v>
      </c>
      <c r="AI20" s="3">
        <v>77094</v>
      </c>
    </row>
    <row r="21" spans="1:35" x14ac:dyDescent="0.25">
      <c r="A21" t="s">
        <v>7</v>
      </c>
      <c r="B21" t="s">
        <v>17</v>
      </c>
      <c r="C21" s="3">
        <v>745.69</v>
      </c>
      <c r="D21" s="3">
        <v>140141.62</v>
      </c>
      <c r="E21" s="2">
        <v>25502.598000000005</v>
      </c>
      <c r="H21" s="11" t="s">
        <v>7</v>
      </c>
      <c r="I21" s="11" t="s">
        <v>14</v>
      </c>
      <c r="J21" s="13">
        <v>32895</v>
      </c>
      <c r="K21" s="13">
        <v>873004</v>
      </c>
      <c r="L21" s="3">
        <v>109</v>
      </c>
      <c r="O21" t="s">
        <v>7</v>
      </c>
      <c r="P21" t="s">
        <v>15</v>
      </c>
      <c r="Q21" s="1">
        <v>1929</v>
      </c>
      <c r="T21" s="11" t="s">
        <v>7</v>
      </c>
      <c r="U21" t="s">
        <v>67</v>
      </c>
      <c r="V21" s="2">
        <v>36806</v>
      </c>
      <c r="Y21" s="18" t="s">
        <v>7</v>
      </c>
      <c r="Z21" t="s">
        <v>70</v>
      </c>
      <c r="AA21" t="s">
        <v>74</v>
      </c>
      <c r="AB21" s="2">
        <v>1.17868336</v>
      </c>
      <c r="AE21" t="s">
        <v>10</v>
      </c>
      <c r="AF21">
        <v>5216943</v>
      </c>
      <c r="AG21" t="s">
        <v>84</v>
      </c>
      <c r="AH21" s="3">
        <f>11799-11677</f>
        <v>122</v>
      </c>
      <c r="AI21" s="3">
        <v>14486</v>
      </c>
    </row>
    <row r="22" spans="1:35" x14ac:dyDescent="0.25">
      <c r="A22" t="s">
        <v>8</v>
      </c>
      <c r="B22" t="s">
        <v>17</v>
      </c>
      <c r="C22" s="3">
        <v>1446.72</v>
      </c>
      <c r="D22" s="3">
        <v>220592.09</v>
      </c>
      <c r="E22" s="2">
        <v>49477.824000000008</v>
      </c>
      <c r="H22" s="10" t="s">
        <v>8</v>
      </c>
      <c r="I22" s="10" t="s">
        <v>14</v>
      </c>
      <c r="J22" s="12">
        <v>31711</v>
      </c>
      <c r="K22" s="12">
        <v>831377</v>
      </c>
      <c r="L22" s="3">
        <v>102</v>
      </c>
      <c r="O22" t="s">
        <v>8</v>
      </c>
      <c r="P22" t="s">
        <v>15</v>
      </c>
      <c r="Q22" s="1">
        <v>1773</v>
      </c>
      <c r="T22" s="10" t="s">
        <v>8</v>
      </c>
      <c r="U22" t="s">
        <v>67</v>
      </c>
      <c r="V22" s="2">
        <v>46545</v>
      </c>
      <c r="Y22" s="19" t="s">
        <v>8</v>
      </c>
      <c r="Z22" t="s">
        <v>70</v>
      </c>
      <c r="AA22" t="s">
        <v>74</v>
      </c>
      <c r="AB22" s="2">
        <v>0.75247616000000006</v>
      </c>
      <c r="AE22" t="s">
        <v>10</v>
      </c>
      <c r="AF22">
        <v>5171777</v>
      </c>
      <c r="AG22" t="s">
        <v>81</v>
      </c>
      <c r="AH22" s="3">
        <f>3712-955</f>
        <v>2757</v>
      </c>
      <c r="AI22" s="3">
        <v>147078</v>
      </c>
    </row>
    <row r="23" spans="1:35" x14ac:dyDescent="0.25">
      <c r="A23" t="s">
        <v>9</v>
      </c>
      <c r="B23" t="s">
        <v>17</v>
      </c>
      <c r="C23" s="3">
        <v>1422.04</v>
      </c>
      <c r="D23" s="3">
        <v>250528.52000000002</v>
      </c>
      <c r="E23" s="2">
        <v>48633.768000000004</v>
      </c>
      <c r="H23" s="11" t="s">
        <v>9</v>
      </c>
      <c r="I23" s="11" t="s">
        <v>14</v>
      </c>
      <c r="J23" s="13">
        <v>26343</v>
      </c>
      <c r="K23" s="13">
        <v>714456</v>
      </c>
      <c r="L23" s="3">
        <v>102</v>
      </c>
      <c r="O23" t="s">
        <v>9</v>
      </c>
      <c r="P23" t="s">
        <v>15</v>
      </c>
      <c r="Q23" s="1">
        <v>2722</v>
      </c>
      <c r="T23" s="11" t="s">
        <v>9</v>
      </c>
      <c r="U23" t="s">
        <v>67</v>
      </c>
      <c r="V23" s="2">
        <v>49876.2</v>
      </c>
      <c r="Y23" s="18" t="s">
        <v>9</v>
      </c>
      <c r="Z23" t="s">
        <v>70</v>
      </c>
      <c r="AA23" t="s">
        <v>74</v>
      </c>
      <c r="AB23" s="2">
        <v>0.75247616000000006</v>
      </c>
      <c r="AE23" t="s">
        <v>10</v>
      </c>
      <c r="AF23">
        <v>5162471</v>
      </c>
      <c r="AG23" t="s">
        <v>83</v>
      </c>
      <c r="AH23" s="3">
        <f>14736-14610</f>
        <v>126</v>
      </c>
      <c r="AI23" s="3">
        <v>14903</v>
      </c>
    </row>
    <row r="24" spans="1:35" x14ac:dyDescent="0.25">
      <c r="A24" t="s">
        <v>10</v>
      </c>
      <c r="B24" t="s">
        <v>17</v>
      </c>
      <c r="C24" s="3">
        <v>1281.8699999999999</v>
      </c>
      <c r="D24" s="3">
        <v>287781.18</v>
      </c>
      <c r="E24" s="2">
        <v>43839.953999999998</v>
      </c>
      <c r="H24" s="10" t="s">
        <v>10</v>
      </c>
      <c r="I24" s="10" t="s">
        <v>14</v>
      </c>
      <c r="J24" s="12">
        <v>26464</v>
      </c>
      <c r="K24" s="12">
        <v>708743</v>
      </c>
      <c r="L24" s="3">
        <v>97</v>
      </c>
      <c r="O24" t="s">
        <v>10</v>
      </c>
      <c r="P24" t="s">
        <v>15</v>
      </c>
      <c r="Q24" s="1">
        <v>2647</v>
      </c>
      <c r="T24" s="10" t="s">
        <v>10</v>
      </c>
      <c r="U24" t="s">
        <v>67</v>
      </c>
      <c r="V24" s="2">
        <v>42387.4</v>
      </c>
      <c r="Y24" s="19" t="s">
        <v>10</v>
      </c>
      <c r="Z24" t="s">
        <v>70</v>
      </c>
      <c r="AA24" t="s">
        <v>74</v>
      </c>
      <c r="AB24" s="2">
        <v>1.5049523200000001</v>
      </c>
      <c r="AE24" t="s">
        <v>10</v>
      </c>
      <c r="AF24">
        <v>5078365</v>
      </c>
      <c r="AG24" t="s">
        <v>82</v>
      </c>
      <c r="AH24" s="3">
        <f>59749-59349</f>
        <v>400</v>
      </c>
      <c r="AI24" s="3">
        <v>50400</v>
      </c>
    </row>
    <row r="25" spans="1:35" x14ac:dyDescent="0.25">
      <c r="A25" t="s">
        <v>11</v>
      </c>
      <c r="B25" t="s">
        <v>17</v>
      </c>
      <c r="C25" s="3">
        <v>624.52</v>
      </c>
      <c r="D25" s="3">
        <v>127320.41</v>
      </c>
      <c r="E25" s="2">
        <v>21358.584000000003</v>
      </c>
      <c r="H25" s="11" t="s">
        <v>11</v>
      </c>
      <c r="I25" s="11" t="s">
        <v>14</v>
      </c>
      <c r="J25" s="13">
        <v>21136</v>
      </c>
      <c r="K25" s="13">
        <v>580099</v>
      </c>
      <c r="L25" s="3">
        <v>86</v>
      </c>
      <c r="O25" t="s">
        <v>11</v>
      </c>
      <c r="P25" t="s">
        <v>15</v>
      </c>
      <c r="Q25" s="1">
        <v>561</v>
      </c>
      <c r="T25" s="11" t="s">
        <v>11</v>
      </c>
      <c r="U25" t="s">
        <v>67</v>
      </c>
      <c r="V25" s="2">
        <v>41836.199999999997</v>
      </c>
      <c r="Y25" s="18" t="s">
        <v>11</v>
      </c>
      <c r="Z25" t="s">
        <v>70</v>
      </c>
      <c r="AA25" t="s">
        <v>74</v>
      </c>
      <c r="AB25" s="2">
        <v>0.39093488000000004</v>
      </c>
      <c r="AE25" t="s">
        <v>10</v>
      </c>
      <c r="AF25">
        <v>5065988</v>
      </c>
      <c r="AG25" t="s">
        <v>81</v>
      </c>
      <c r="AH25" s="3">
        <f>373487-371596</f>
        <v>1891</v>
      </c>
      <c r="AI25" s="3">
        <v>100278</v>
      </c>
    </row>
    <row r="26" spans="1:35" x14ac:dyDescent="0.25">
      <c r="A26" t="s">
        <v>0</v>
      </c>
      <c r="B26" t="s">
        <v>18</v>
      </c>
      <c r="C26" s="3">
        <v>3957.56</v>
      </c>
      <c r="D26" s="3">
        <v>780640.41</v>
      </c>
      <c r="E26" s="2">
        <v>180068.98</v>
      </c>
      <c r="H26" s="10" t="s">
        <v>0</v>
      </c>
      <c r="I26" s="10" t="s">
        <v>56</v>
      </c>
      <c r="J26" s="12">
        <v>0</v>
      </c>
      <c r="K26" s="12">
        <v>0</v>
      </c>
      <c r="O26" t="s">
        <v>0</v>
      </c>
      <c r="P26" t="s">
        <v>62</v>
      </c>
      <c r="Q26">
        <v>113</v>
      </c>
      <c r="Y26" s="19" t="s">
        <v>0</v>
      </c>
      <c r="Z26" t="s">
        <v>70</v>
      </c>
      <c r="AA26" t="s">
        <v>75</v>
      </c>
      <c r="AB26" s="2">
        <v>23.4</v>
      </c>
      <c r="AE26" t="s">
        <v>6</v>
      </c>
      <c r="AF26">
        <v>5216943</v>
      </c>
      <c r="AG26" t="s">
        <v>84</v>
      </c>
      <c r="AH26" s="3">
        <f>11213-11011</f>
        <v>202</v>
      </c>
      <c r="AI26" s="3">
        <v>24782</v>
      </c>
    </row>
    <row r="27" spans="1:35" x14ac:dyDescent="0.25">
      <c r="A27" t="s">
        <v>1</v>
      </c>
      <c r="B27" t="s">
        <v>18</v>
      </c>
      <c r="C27" s="3">
        <v>6852.48</v>
      </c>
      <c r="D27" s="3">
        <v>1343246.5899999999</v>
      </c>
      <c r="E27" s="2">
        <v>311787.83999999997</v>
      </c>
      <c r="H27" s="11" t="s">
        <v>1</v>
      </c>
      <c r="I27" s="11" t="s">
        <v>56</v>
      </c>
      <c r="J27" s="13">
        <v>0</v>
      </c>
      <c r="K27" s="13">
        <v>0</v>
      </c>
      <c r="O27" t="s">
        <v>1</v>
      </c>
      <c r="P27" t="s">
        <v>62</v>
      </c>
      <c r="Q27">
        <v>146</v>
      </c>
      <c r="Y27" s="18" t="s">
        <v>1</v>
      </c>
      <c r="Z27" t="s">
        <v>70</v>
      </c>
      <c r="AA27" t="s">
        <v>75</v>
      </c>
      <c r="AB27" s="2">
        <v>11.7</v>
      </c>
      <c r="AE27" t="s">
        <v>6</v>
      </c>
      <c r="AF27">
        <v>5171777</v>
      </c>
      <c r="AG27" t="s">
        <v>81</v>
      </c>
      <c r="AH27" s="3">
        <f>92660-87954</f>
        <v>4706</v>
      </c>
      <c r="AI27" s="3">
        <v>149166</v>
      </c>
    </row>
    <row r="28" spans="1:35" x14ac:dyDescent="0.25">
      <c r="A28" t="s">
        <v>2</v>
      </c>
      <c r="B28" t="s">
        <v>18</v>
      </c>
      <c r="C28" s="3">
        <v>4841.24</v>
      </c>
      <c r="D28" s="3">
        <v>930411.6</v>
      </c>
      <c r="E28" s="2">
        <v>220276.41999999998</v>
      </c>
      <c r="H28" s="10" t="s">
        <v>2</v>
      </c>
      <c r="I28" s="10" t="s">
        <v>56</v>
      </c>
      <c r="J28" s="12">
        <v>0</v>
      </c>
      <c r="K28" s="12">
        <v>0</v>
      </c>
      <c r="O28" t="s">
        <v>2</v>
      </c>
      <c r="P28" t="s">
        <v>62</v>
      </c>
      <c r="Q28">
        <v>5</v>
      </c>
      <c r="Y28" s="19" t="s">
        <v>2</v>
      </c>
      <c r="Z28" t="s">
        <v>70</v>
      </c>
      <c r="AA28" t="s">
        <v>75</v>
      </c>
      <c r="AB28" s="2">
        <v>11.7</v>
      </c>
      <c r="AE28" t="s">
        <v>2</v>
      </c>
      <c r="AF28">
        <v>5216943</v>
      </c>
      <c r="AG28" t="s">
        <v>84</v>
      </c>
      <c r="AH28" s="3">
        <f>10256-10123</f>
        <v>133</v>
      </c>
      <c r="AI28" s="3">
        <v>15864</v>
      </c>
    </row>
    <row r="29" spans="1:35" x14ac:dyDescent="0.25">
      <c r="A29" t="s">
        <v>3</v>
      </c>
      <c r="B29" t="s">
        <v>18</v>
      </c>
      <c r="C29" s="3">
        <v>6263.4400000000005</v>
      </c>
      <c r="D29" s="3">
        <v>1159183.18</v>
      </c>
      <c r="E29" s="2">
        <v>284986.52</v>
      </c>
      <c r="H29" s="11" t="s">
        <v>3</v>
      </c>
      <c r="I29" s="11" t="s">
        <v>56</v>
      </c>
      <c r="J29" s="13">
        <v>0</v>
      </c>
      <c r="K29" s="13">
        <v>0</v>
      </c>
      <c r="O29" t="s">
        <v>3</v>
      </c>
      <c r="P29" t="s">
        <v>62</v>
      </c>
      <c r="Q29">
        <v>281</v>
      </c>
      <c r="Y29" s="18" t="s">
        <v>3</v>
      </c>
      <c r="Z29" t="s">
        <v>70</v>
      </c>
      <c r="AA29" t="s">
        <v>75</v>
      </c>
      <c r="AB29" s="2">
        <v>15.6</v>
      </c>
      <c r="AE29" t="s">
        <v>2</v>
      </c>
      <c r="AF29">
        <v>5171777</v>
      </c>
      <c r="AG29" t="s">
        <v>81</v>
      </c>
      <c r="AH29" s="3">
        <f>84238-82198</f>
        <v>2040</v>
      </c>
      <c r="AI29" s="3">
        <v>108342</v>
      </c>
    </row>
    <row r="30" spans="1:35" x14ac:dyDescent="0.25">
      <c r="A30" t="s">
        <v>4</v>
      </c>
      <c r="B30" t="s">
        <v>18</v>
      </c>
      <c r="C30" s="3">
        <v>8103.4500000000007</v>
      </c>
      <c r="D30" s="3">
        <v>1457083.98</v>
      </c>
      <c r="E30" s="2">
        <v>368706.97500000003</v>
      </c>
      <c r="H30" s="10" t="s">
        <v>4</v>
      </c>
      <c r="I30" s="10" t="s">
        <v>56</v>
      </c>
      <c r="J30" s="12">
        <v>0</v>
      </c>
      <c r="K30" s="12">
        <v>0</v>
      </c>
      <c r="O30" t="s">
        <v>4</v>
      </c>
      <c r="P30" t="s">
        <v>62</v>
      </c>
      <c r="Q30">
        <v>455</v>
      </c>
      <c r="Y30" s="19" t="s">
        <v>4</v>
      </c>
      <c r="Z30" t="s">
        <v>70</v>
      </c>
      <c r="AA30" t="s">
        <v>75</v>
      </c>
      <c r="AB30" s="2">
        <v>11.7</v>
      </c>
      <c r="AE30" t="s">
        <v>2</v>
      </c>
      <c r="AF30">
        <v>5162471</v>
      </c>
      <c r="AG30" t="s">
        <v>83</v>
      </c>
      <c r="AH30" s="3">
        <f>13816-13717</f>
        <v>99</v>
      </c>
      <c r="AI30" s="3">
        <v>11434</v>
      </c>
    </row>
    <row r="31" spans="1:35" x14ac:dyDescent="0.25">
      <c r="A31" t="s">
        <v>5</v>
      </c>
      <c r="B31" t="s">
        <v>18</v>
      </c>
      <c r="C31" s="3">
        <v>8087.1</v>
      </c>
      <c r="D31" s="3">
        <v>1434723.02</v>
      </c>
      <c r="E31" s="2">
        <v>367963.05</v>
      </c>
      <c r="H31" s="11" t="s">
        <v>5</v>
      </c>
      <c r="I31" s="11" t="s">
        <v>56</v>
      </c>
      <c r="J31" s="13">
        <v>0</v>
      </c>
      <c r="K31" s="13">
        <v>0</v>
      </c>
      <c r="O31" t="s">
        <v>5</v>
      </c>
      <c r="P31" t="s">
        <v>62</v>
      </c>
      <c r="Q31">
        <v>192</v>
      </c>
      <c r="Y31" s="18" t="s">
        <v>5</v>
      </c>
      <c r="Z31" t="s">
        <v>70</v>
      </c>
      <c r="AA31" t="s">
        <v>75</v>
      </c>
      <c r="AB31" s="2">
        <v>195</v>
      </c>
      <c r="AE31" t="s">
        <v>2</v>
      </c>
      <c r="AF31">
        <v>5078365</v>
      </c>
      <c r="AG31" t="s">
        <v>82</v>
      </c>
      <c r="AH31" s="3">
        <f>55031-54697</f>
        <v>334</v>
      </c>
      <c r="AI31" s="3">
        <v>41788</v>
      </c>
    </row>
    <row r="32" spans="1:35" x14ac:dyDescent="0.25">
      <c r="A32" t="s">
        <v>6</v>
      </c>
      <c r="B32" t="s">
        <v>18</v>
      </c>
      <c r="C32" s="3">
        <v>8760.66</v>
      </c>
      <c r="D32" s="3">
        <v>1510174.1099999999</v>
      </c>
      <c r="E32" s="2">
        <v>398610.02999999997</v>
      </c>
      <c r="H32" s="10" t="s">
        <v>6</v>
      </c>
      <c r="I32" s="10" t="s">
        <v>56</v>
      </c>
      <c r="J32" s="12">
        <v>326</v>
      </c>
      <c r="K32" s="12">
        <v>10145.700000000001</v>
      </c>
      <c r="O32" t="s">
        <v>6</v>
      </c>
      <c r="P32" t="s">
        <v>62</v>
      </c>
      <c r="Q32">
        <v>109</v>
      </c>
      <c r="Y32" s="19" t="s">
        <v>6</v>
      </c>
      <c r="Z32" t="s">
        <v>70</v>
      </c>
      <c r="AA32" t="s">
        <v>75</v>
      </c>
      <c r="AB32" s="2">
        <v>19.5</v>
      </c>
      <c r="AE32" t="s">
        <v>2</v>
      </c>
      <c r="AF32">
        <v>5065988</v>
      </c>
      <c r="AG32" t="s">
        <v>81</v>
      </c>
      <c r="AH32" s="3">
        <f>360838-359295</f>
        <v>1543</v>
      </c>
      <c r="AI32" s="3">
        <v>81486</v>
      </c>
    </row>
    <row r="33" spans="1:28" x14ac:dyDescent="0.25">
      <c r="A33" t="s">
        <v>7</v>
      </c>
      <c r="B33" t="s">
        <v>18</v>
      </c>
      <c r="C33" s="3">
        <v>9210.14</v>
      </c>
      <c r="D33" s="3">
        <v>1579059.97</v>
      </c>
      <c r="E33" s="2">
        <v>419061.37</v>
      </c>
      <c r="H33" s="11" t="s">
        <v>7</v>
      </c>
      <c r="I33" s="11" t="s">
        <v>56</v>
      </c>
      <c r="J33" s="13">
        <v>336</v>
      </c>
      <c r="K33" s="13">
        <v>9747.7000000000007</v>
      </c>
      <c r="O33" t="s">
        <v>7</v>
      </c>
      <c r="P33" t="s">
        <v>62</v>
      </c>
      <c r="Q33">
        <v>206</v>
      </c>
      <c r="Y33" s="18" t="s">
        <v>7</v>
      </c>
      <c r="Z33" t="s">
        <v>70</v>
      </c>
      <c r="AA33" t="s">
        <v>75</v>
      </c>
      <c r="AB33" s="2">
        <v>31.2</v>
      </c>
    </row>
    <row r="34" spans="1:28" x14ac:dyDescent="0.25">
      <c r="A34" t="s">
        <v>8</v>
      </c>
      <c r="B34" t="s">
        <v>18</v>
      </c>
      <c r="C34" s="3">
        <v>8428.2250000000004</v>
      </c>
      <c r="D34" s="3">
        <v>1446021.6</v>
      </c>
      <c r="E34" s="2">
        <v>383484.23749999999</v>
      </c>
      <c r="H34" s="10" t="s">
        <v>8</v>
      </c>
      <c r="I34" s="10" t="s">
        <v>56</v>
      </c>
      <c r="J34" s="12">
        <v>387</v>
      </c>
      <c r="K34" s="12">
        <v>11235.3</v>
      </c>
      <c r="O34" t="s">
        <v>8</v>
      </c>
      <c r="P34" t="s">
        <v>62</v>
      </c>
      <c r="Q34">
        <v>134</v>
      </c>
      <c r="Y34" s="19" t="s">
        <v>8</v>
      </c>
      <c r="Z34" t="s">
        <v>70</v>
      </c>
      <c r="AA34" t="s">
        <v>75</v>
      </c>
      <c r="AB34" s="2">
        <v>31.2</v>
      </c>
    </row>
    <row r="35" spans="1:28" x14ac:dyDescent="0.25">
      <c r="A35" t="s">
        <v>9</v>
      </c>
      <c r="B35" t="s">
        <v>18</v>
      </c>
      <c r="C35" s="3">
        <v>5155.66</v>
      </c>
      <c r="D35" s="3">
        <v>874562.59</v>
      </c>
      <c r="E35" s="2">
        <v>234582.53</v>
      </c>
      <c r="H35" s="11" t="s">
        <v>9</v>
      </c>
      <c r="I35" s="11" t="s">
        <v>56</v>
      </c>
      <c r="J35" s="13">
        <v>400</v>
      </c>
      <c r="K35" s="13">
        <v>11425.3</v>
      </c>
      <c r="O35" t="s">
        <v>9</v>
      </c>
      <c r="P35" t="s">
        <v>62</v>
      </c>
      <c r="Q35">
        <v>146</v>
      </c>
      <c r="Y35" s="18" t="s">
        <v>9</v>
      </c>
      <c r="Z35" t="s">
        <v>70</v>
      </c>
      <c r="AA35" t="s">
        <v>75</v>
      </c>
      <c r="AB35" s="2">
        <v>19.5</v>
      </c>
    </row>
    <row r="36" spans="1:28" x14ac:dyDescent="0.25">
      <c r="A36" t="s">
        <v>10</v>
      </c>
      <c r="B36" t="s">
        <v>18</v>
      </c>
      <c r="C36" s="3">
        <v>5883.22</v>
      </c>
      <c r="D36" s="3">
        <v>990459.6100000001</v>
      </c>
      <c r="E36" s="2">
        <v>267686.51</v>
      </c>
      <c r="H36" s="10" t="s">
        <v>10</v>
      </c>
      <c r="I36" s="10" t="s">
        <v>56</v>
      </c>
      <c r="J36" s="12">
        <v>387</v>
      </c>
      <c r="K36" s="12">
        <v>11111.8</v>
      </c>
      <c r="O36" t="s">
        <v>10</v>
      </c>
      <c r="P36" t="s">
        <v>62</v>
      </c>
      <c r="Q36">
        <v>128.29999999999927</v>
      </c>
      <c r="Y36" s="19" t="s">
        <v>10</v>
      </c>
      <c r="Z36" t="s">
        <v>70</v>
      </c>
      <c r="AA36" t="s">
        <v>75</v>
      </c>
      <c r="AB36" s="2">
        <v>15.6</v>
      </c>
    </row>
    <row r="37" spans="1:28" x14ac:dyDescent="0.25">
      <c r="A37" t="s">
        <v>11</v>
      </c>
      <c r="B37" t="s">
        <v>18</v>
      </c>
      <c r="C37" s="3">
        <v>6097.03</v>
      </c>
      <c r="D37" s="3">
        <v>1016583.63</v>
      </c>
      <c r="E37" s="2">
        <v>277414.86499999999</v>
      </c>
      <c r="H37" s="11" t="s">
        <v>11</v>
      </c>
      <c r="I37" s="11" t="s">
        <v>56</v>
      </c>
      <c r="J37" s="13">
        <v>373.38841846490027</v>
      </c>
      <c r="K37" s="13">
        <v>10935.8</v>
      </c>
      <c r="O37" t="s">
        <v>11</v>
      </c>
      <c r="P37" t="s">
        <v>62</v>
      </c>
      <c r="Q37">
        <v>146.70000000000073</v>
      </c>
      <c r="Y37" s="18" t="s">
        <v>11</v>
      </c>
      <c r="Z37" t="s">
        <v>70</v>
      </c>
      <c r="AA37" t="s">
        <v>75</v>
      </c>
      <c r="AB37" s="2">
        <v>19.5</v>
      </c>
    </row>
    <row r="38" spans="1:28" x14ac:dyDescent="0.25">
      <c r="A38" t="s">
        <v>0</v>
      </c>
      <c r="B38" t="s">
        <v>41</v>
      </c>
      <c r="C38" s="3">
        <v>465</v>
      </c>
      <c r="D38" s="3">
        <v>116250</v>
      </c>
      <c r="E38" s="2">
        <v>21390</v>
      </c>
      <c r="O38" t="s">
        <v>0</v>
      </c>
      <c r="P38" t="s">
        <v>37</v>
      </c>
      <c r="Q38">
        <v>259</v>
      </c>
      <c r="Y38" s="19" t="s">
        <v>0</v>
      </c>
      <c r="Z38" t="s">
        <v>71</v>
      </c>
      <c r="AA38" t="s">
        <v>72</v>
      </c>
      <c r="AB38" s="2">
        <v>5.5138630400000004</v>
      </c>
    </row>
    <row r="39" spans="1:28" x14ac:dyDescent="0.25">
      <c r="A39" t="s">
        <v>1</v>
      </c>
      <c r="B39" t="s">
        <v>41</v>
      </c>
      <c r="C39" s="3">
        <v>320</v>
      </c>
      <c r="D39" s="3">
        <v>80000</v>
      </c>
      <c r="E39" s="2">
        <v>14720</v>
      </c>
      <c r="O39" t="s">
        <v>1</v>
      </c>
      <c r="P39" t="s">
        <v>37</v>
      </c>
      <c r="Q39">
        <v>92</v>
      </c>
      <c r="Y39" s="18" t="s">
        <v>1</v>
      </c>
      <c r="Z39" t="s">
        <v>71</v>
      </c>
      <c r="AA39" t="s">
        <v>72</v>
      </c>
      <c r="AB39" s="2">
        <v>5.2177591699999999</v>
      </c>
    </row>
    <row r="40" spans="1:28" x14ac:dyDescent="0.25">
      <c r="A40" t="s">
        <v>2</v>
      </c>
      <c r="B40" t="s">
        <v>41</v>
      </c>
      <c r="C40" s="3">
        <v>480</v>
      </c>
      <c r="D40" s="3">
        <v>120000</v>
      </c>
      <c r="E40" s="2">
        <v>22080</v>
      </c>
      <c r="O40" t="s">
        <v>2</v>
      </c>
      <c r="P40" t="s">
        <v>37</v>
      </c>
      <c r="Q40">
        <v>65</v>
      </c>
      <c r="Y40" s="19" t="s">
        <v>2</v>
      </c>
      <c r="Z40" t="s">
        <v>71</v>
      </c>
      <c r="AA40" t="s">
        <v>72</v>
      </c>
      <c r="AB40" s="2">
        <v>5.0120237300000001</v>
      </c>
    </row>
    <row r="41" spans="1:28" x14ac:dyDescent="0.25">
      <c r="A41" t="s">
        <v>3</v>
      </c>
      <c r="B41" t="s">
        <v>41</v>
      </c>
      <c r="C41" s="3">
        <v>320</v>
      </c>
      <c r="D41" s="3">
        <v>80000</v>
      </c>
      <c r="E41" s="2">
        <v>14720</v>
      </c>
      <c r="O41" t="s">
        <v>3</v>
      </c>
      <c r="P41" t="s">
        <v>37</v>
      </c>
      <c r="Q41">
        <v>128</v>
      </c>
      <c r="Y41" s="18" t="s">
        <v>3</v>
      </c>
      <c r="Z41" t="s">
        <v>71</v>
      </c>
      <c r="AA41" t="s">
        <v>72</v>
      </c>
      <c r="AB41" s="2">
        <v>6.7060367000000003</v>
      </c>
    </row>
    <row r="42" spans="1:28" x14ac:dyDescent="0.25">
      <c r="A42" t="s">
        <v>4</v>
      </c>
      <c r="B42" t="s">
        <v>41</v>
      </c>
      <c r="C42" s="3">
        <v>320</v>
      </c>
      <c r="D42" s="3">
        <v>80000</v>
      </c>
      <c r="E42" s="2">
        <v>14720</v>
      </c>
      <c r="O42" t="s">
        <v>4</v>
      </c>
      <c r="P42" t="s">
        <v>37</v>
      </c>
      <c r="Q42">
        <v>103</v>
      </c>
      <c r="Y42" s="19" t="s">
        <v>4</v>
      </c>
      <c r="Z42" t="s">
        <v>71</v>
      </c>
      <c r="AA42" t="s">
        <v>72</v>
      </c>
      <c r="AB42" s="2">
        <v>6.00559756</v>
      </c>
    </row>
    <row r="43" spans="1:28" x14ac:dyDescent="0.25">
      <c r="A43" t="s">
        <v>5</v>
      </c>
      <c r="B43" t="s">
        <v>41</v>
      </c>
      <c r="C43" s="3">
        <v>310</v>
      </c>
      <c r="D43" s="3">
        <v>77500</v>
      </c>
      <c r="E43" s="2">
        <v>14260</v>
      </c>
      <c r="O43" t="s">
        <v>5</v>
      </c>
      <c r="P43" t="s">
        <v>37</v>
      </c>
      <c r="Q43">
        <v>132</v>
      </c>
      <c r="Y43" s="18" t="s">
        <v>5</v>
      </c>
      <c r="Z43" t="s">
        <v>71</v>
      </c>
      <c r="AA43" t="s">
        <v>72</v>
      </c>
      <c r="AB43" s="2">
        <v>5.6980958700000004</v>
      </c>
    </row>
    <row r="44" spans="1:28" x14ac:dyDescent="0.25">
      <c r="A44" t="s">
        <v>6</v>
      </c>
      <c r="B44" t="s">
        <v>41</v>
      </c>
      <c r="C44" s="3">
        <v>310</v>
      </c>
      <c r="D44" s="3">
        <v>77500</v>
      </c>
      <c r="E44" s="2">
        <v>14260</v>
      </c>
      <c r="O44" t="s">
        <v>6</v>
      </c>
      <c r="P44" t="s">
        <v>37</v>
      </c>
      <c r="Q44">
        <v>148</v>
      </c>
      <c r="Y44" s="19" t="s">
        <v>6</v>
      </c>
      <c r="Z44" t="s">
        <v>71</v>
      </c>
      <c r="AA44" t="s">
        <v>72</v>
      </c>
      <c r="AB44" s="2">
        <v>7.3025066500000007</v>
      </c>
    </row>
    <row r="45" spans="1:28" x14ac:dyDescent="0.25">
      <c r="A45" t="s">
        <v>7</v>
      </c>
      <c r="B45" t="s">
        <v>41</v>
      </c>
      <c r="C45" s="3">
        <v>401</v>
      </c>
      <c r="D45" s="3">
        <v>100250</v>
      </c>
      <c r="E45" s="2">
        <v>18446</v>
      </c>
      <c r="O45" t="s">
        <v>7</v>
      </c>
      <c r="P45" t="s">
        <v>37</v>
      </c>
      <c r="Q45">
        <v>107</v>
      </c>
      <c r="Y45" s="18" t="s">
        <v>7</v>
      </c>
      <c r="Z45" t="s">
        <v>71</v>
      </c>
      <c r="AA45" t="s">
        <v>72</v>
      </c>
      <c r="AB45" s="2">
        <v>5.3589867800000004</v>
      </c>
    </row>
    <row r="46" spans="1:28" x14ac:dyDescent="0.25">
      <c r="A46" t="s">
        <v>8</v>
      </c>
      <c r="B46" t="s">
        <v>41</v>
      </c>
      <c r="C46" s="3">
        <v>256</v>
      </c>
      <c r="D46" s="3">
        <v>64000</v>
      </c>
      <c r="E46" s="2">
        <v>11776</v>
      </c>
      <c r="O46" t="s">
        <v>8</v>
      </c>
      <c r="P46" t="s">
        <v>37</v>
      </c>
      <c r="Q46">
        <v>76</v>
      </c>
      <c r="Y46" s="19" t="s">
        <v>8</v>
      </c>
      <c r="Z46" t="s">
        <v>71</v>
      </c>
      <c r="AA46" t="s">
        <v>72</v>
      </c>
      <c r="AB46" s="2">
        <v>5.4965268600000003</v>
      </c>
    </row>
    <row r="47" spans="1:28" x14ac:dyDescent="0.25">
      <c r="A47" t="s">
        <v>9</v>
      </c>
      <c r="B47" t="s">
        <v>41</v>
      </c>
      <c r="C47" s="3">
        <v>256</v>
      </c>
      <c r="D47" s="3">
        <v>64000</v>
      </c>
      <c r="E47" s="2">
        <v>11776</v>
      </c>
      <c r="O47" t="s">
        <v>9</v>
      </c>
      <c r="P47" t="s">
        <v>37</v>
      </c>
      <c r="Q47">
        <v>162</v>
      </c>
      <c r="Y47" s="18" t="s">
        <v>9</v>
      </c>
      <c r="Z47" t="s">
        <v>71</v>
      </c>
      <c r="AA47" t="s">
        <v>72</v>
      </c>
      <c r="AB47" s="2">
        <v>5.7860697999999999</v>
      </c>
    </row>
    <row r="48" spans="1:28" x14ac:dyDescent="0.25">
      <c r="A48" t="s">
        <v>10</v>
      </c>
      <c r="B48" t="s">
        <v>41</v>
      </c>
      <c r="C48" s="3">
        <v>512</v>
      </c>
      <c r="D48" s="3">
        <v>128000</v>
      </c>
      <c r="E48" s="2">
        <v>23552</v>
      </c>
      <c r="O48" t="s">
        <v>10</v>
      </c>
      <c r="P48" t="s">
        <v>37</v>
      </c>
      <c r="Q48">
        <v>149</v>
      </c>
      <c r="Y48" s="19" t="s">
        <v>10</v>
      </c>
      <c r="Z48" t="s">
        <v>71</v>
      </c>
      <c r="AA48" t="s">
        <v>72</v>
      </c>
      <c r="AB48" s="2">
        <v>5.4003637399999995</v>
      </c>
    </row>
    <row r="49" spans="1:28" x14ac:dyDescent="0.25">
      <c r="A49" t="s">
        <v>11</v>
      </c>
      <c r="B49" t="s">
        <v>41</v>
      </c>
      <c r="C49" s="3">
        <v>133</v>
      </c>
      <c r="D49" s="3">
        <v>33250</v>
      </c>
      <c r="E49" s="2">
        <v>6118</v>
      </c>
      <c r="O49" t="s">
        <v>11</v>
      </c>
      <c r="P49" t="s">
        <v>37</v>
      </c>
      <c r="Q49">
        <v>18</v>
      </c>
      <c r="Y49" s="18" t="s">
        <v>11</v>
      </c>
      <c r="Z49" t="s">
        <v>71</v>
      </c>
      <c r="AA49" t="s">
        <v>72</v>
      </c>
      <c r="AB49" s="2">
        <v>4.7347885200000004</v>
      </c>
    </row>
    <row r="50" spans="1:28" x14ac:dyDescent="0.25">
      <c r="A50" t="s">
        <v>0</v>
      </c>
      <c r="B50" t="s">
        <v>68</v>
      </c>
      <c r="C50" s="3">
        <v>39793</v>
      </c>
      <c r="D50" s="3"/>
      <c r="E50" s="2">
        <f>Table1[[#This Row],[Quantities]]*3.6</f>
        <v>143254.80000000002</v>
      </c>
      <c r="O50" t="s">
        <v>0</v>
      </c>
      <c r="P50" t="s">
        <v>63</v>
      </c>
      <c r="Q50" s="1">
        <v>0</v>
      </c>
    </row>
    <row r="51" spans="1:28" x14ac:dyDescent="0.25">
      <c r="A51" t="s">
        <v>1</v>
      </c>
      <c r="B51" t="s">
        <v>68</v>
      </c>
      <c r="C51" s="3">
        <v>44070.6</v>
      </c>
      <c r="D51" s="3"/>
      <c r="E51" s="2">
        <f>Table1[[#This Row],[Quantities]]*3.6</f>
        <v>158654.16</v>
      </c>
      <c r="O51" t="s">
        <v>1</v>
      </c>
      <c r="P51" t="s">
        <v>63</v>
      </c>
      <c r="Q51" s="1">
        <v>0</v>
      </c>
    </row>
    <row r="52" spans="1:28" x14ac:dyDescent="0.25">
      <c r="A52" t="s">
        <v>2</v>
      </c>
      <c r="B52" t="s">
        <v>68</v>
      </c>
      <c r="C52" s="3">
        <v>48508.800000000003</v>
      </c>
      <c r="D52" s="3"/>
      <c r="E52" s="2">
        <f>Table1[[#This Row],[Quantities]]*3.6</f>
        <v>174631.68000000002</v>
      </c>
      <c r="O52" t="s">
        <v>2</v>
      </c>
      <c r="P52" t="s">
        <v>63</v>
      </c>
      <c r="Q52" s="1">
        <v>0</v>
      </c>
    </row>
    <row r="53" spans="1:28" x14ac:dyDescent="0.25">
      <c r="A53" t="s">
        <v>3</v>
      </c>
      <c r="B53" t="s">
        <v>68</v>
      </c>
      <c r="C53" s="3">
        <v>36741.199999999997</v>
      </c>
      <c r="D53" s="3"/>
      <c r="E53" s="2">
        <f>Table1[[#This Row],[Quantities]]*3.6</f>
        <v>132268.32</v>
      </c>
      <c r="O53" t="s">
        <v>3</v>
      </c>
      <c r="P53" t="s">
        <v>63</v>
      </c>
      <c r="Q53" s="1">
        <v>0</v>
      </c>
    </row>
    <row r="54" spans="1:28" x14ac:dyDescent="0.25">
      <c r="A54" t="s">
        <v>4</v>
      </c>
      <c r="B54" t="s">
        <v>68</v>
      </c>
      <c r="C54" s="3">
        <v>39007.599999999999</v>
      </c>
      <c r="D54" s="3"/>
      <c r="E54" s="2">
        <f>Table1[[#This Row],[Quantities]]*3.6</f>
        <v>140427.35999999999</v>
      </c>
      <c r="O54" t="s">
        <v>4</v>
      </c>
      <c r="P54" t="s">
        <v>63</v>
      </c>
      <c r="Q54" s="1">
        <v>0</v>
      </c>
    </row>
    <row r="55" spans="1:28" x14ac:dyDescent="0.25">
      <c r="A55" t="s">
        <v>5</v>
      </c>
      <c r="B55" t="s">
        <v>68</v>
      </c>
      <c r="C55" s="3">
        <v>35300.199999999997</v>
      </c>
      <c r="D55" s="3"/>
      <c r="E55" s="2">
        <f>Table1[[#This Row],[Quantities]]*3.6</f>
        <v>127080.71999999999</v>
      </c>
      <c r="O55" t="s">
        <v>5</v>
      </c>
      <c r="P55" t="s">
        <v>63</v>
      </c>
      <c r="Q55" s="1">
        <v>0</v>
      </c>
    </row>
    <row r="56" spans="1:28" x14ac:dyDescent="0.25">
      <c r="A56" t="s">
        <v>6</v>
      </c>
      <c r="B56" t="s">
        <v>68</v>
      </c>
      <c r="C56" s="3">
        <v>33126.800000000003</v>
      </c>
      <c r="D56" s="3"/>
      <c r="E56" s="2">
        <f>Table1[[#This Row],[Quantities]]*3.6</f>
        <v>119256.48000000001</v>
      </c>
      <c r="O56" t="s">
        <v>6</v>
      </c>
      <c r="P56" t="s">
        <v>63</v>
      </c>
      <c r="Q56" s="1">
        <v>0</v>
      </c>
    </row>
    <row r="57" spans="1:28" x14ac:dyDescent="0.25">
      <c r="A57" t="s">
        <v>7</v>
      </c>
      <c r="B57" t="s">
        <v>68</v>
      </c>
      <c r="C57" s="3">
        <v>36806</v>
      </c>
      <c r="D57" s="3"/>
      <c r="E57" s="2">
        <f>Table1[[#This Row],[Quantities]]*3.6</f>
        <v>132501.6</v>
      </c>
      <c r="O57" t="s">
        <v>7</v>
      </c>
      <c r="P57" t="s">
        <v>63</v>
      </c>
      <c r="Q57" s="1">
        <v>0</v>
      </c>
    </row>
    <row r="58" spans="1:28" x14ac:dyDescent="0.25">
      <c r="A58" t="s">
        <v>8</v>
      </c>
      <c r="B58" t="s">
        <v>68</v>
      </c>
      <c r="C58" s="3">
        <v>46545</v>
      </c>
      <c r="D58" s="3"/>
      <c r="E58" s="2">
        <f>Table1[[#This Row],[Quantities]]*3.6</f>
        <v>167562</v>
      </c>
      <c r="O58" t="s">
        <v>8</v>
      </c>
      <c r="P58" t="s">
        <v>63</v>
      </c>
      <c r="Q58" s="1">
        <v>0</v>
      </c>
    </row>
    <row r="59" spans="1:28" x14ac:dyDescent="0.25">
      <c r="A59" t="s">
        <v>9</v>
      </c>
      <c r="B59" t="s">
        <v>68</v>
      </c>
      <c r="C59" s="3">
        <v>49876.2</v>
      </c>
      <c r="D59" s="3"/>
      <c r="E59" s="2">
        <f>Table1[[#This Row],[Quantities]]*3.6</f>
        <v>179554.32</v>
      </c>
      <c r="O59" t="s">
        <v>9</v>
      </c>
      <c r="P59" t="s">
        <v>63</v>
      </c>
      <c r="Q59" s="1">
        <v>0</v>
      </c>
    </row>
    <row r="60" spans="1:28" x14ac:dyDescent="0.25">
      <c r="A60" t="s">
        <v>10</v>
      </c>
      <c r="B60" t="s">
        <v>68</v>
      </c>
      <c r="C60" s="3">
        <v>42387.4</v>
      </c>
      <c r="D60" s="3"/>
      <c r="E60" s="2">
        <f>Table1[[#This Row],[Quantities]]*3.6</f>
        <v>152594.64000000001</v>
      </c>
      <c r="O60" t="s">
        <v>10</v>
      </c>
      <c r="P60" t="s">
        <v>63</v>
      </c>
      <c r="Q60" s="1">
        <v>0</v>
      </c>
    </row>
    <row r="61" spans="1:28" x14ac:dyDescent="0.25">
      <c r="A61" t="s">
        <v>11</v>
      </c>
      <c r="B61" t="s">
        <v>68</v>
      </c>
      <c r="C61" s="3">
        <v>41836.199999999997</v>
      </c>
      <c r="D61" s="3"/>
      <c r="E61" s="2">
        <f>Table1[[#This Row],[Quantities]]*3.6</f>
        <v>150610.32</v>
      </c>
      <c r="O61" t="s">
        <v>11</v>
      </c>
      <c r="P61" t="s">
        <v>63</v>
      </c>
      <c r="Q61" s="1">
        <v>0</v>
      </c>
    </row>
    <row r="62" spans="1:28" x14ac:dyDescent="0.25">
      <c r="O62" t="s">
        <v>0</v>
      </c>
      <c r="P62" t="s">
        <v>16</v>
      </c>
      <c r="Q62" s="1">
        <v>2356</v>
      </c>
    </row>
    <row r="63" spans="1:28" x14ac:dyDescent="0.25">
      <c r="O63" t="s">
        <v>1</v>
      </c>
      <c r="P63" t="s">
        <v>16</v>
      </c>
      <c r="Q63" s="1">
        <v>1972</v>
      </c>
    </row>
    <row r="64" spans="1:28" x14ac:dyDescent="0.25">
      <c r="O64" t="s">
        <v>2</v>
      </c>
      <c r="P64" t="s">
        <v>16</v>
      </c>
      <c r="Q64" s="1">
        <v>1597</v>
      </c>
    </row>
    <row r="65" spans="15:17" x14ac:dyDescent="0.25">
      <c r="O65" t="s">
        <v>3</v>
      </c>
      <c r="P65" t="s">
        <v>16</v>
      </c>
      <c r="Q65" s="1">
        <v>2046</v>
      </c>
    </row>
    <row r="66" spans="15:17" x14ac:dyDescent="0.25">
      <c r="O66" t="s">
        <v>4</v>
      </c>
      <c r="P66" t="s">
        <v>16</v>
      </c>
      <c r="Q66" s="1">
        <v>2067</v>
      </c>
    </row>
    <row r="67" spans="15:17" x14ac:dyDescent="0.25">
      <c r="O67" t="s">
        <v>5</v>
      </c>
      <c r="P67" t="s">
        <v>16</v>
      </c>
      <c r="Q67" s="1">
        <v>2758</v>
      </c>
    </row>
    <row r="68" spans="15:17" x14ac:dyDescent="0.25">
      <c r="O68" t="s">
        <v>6</v>
      </c>
      <c r="P68" t="s">
        <v>16</v>
      </c>
      <c r="Q68" s="1">
        <v>2708</v>
      </c>
    </row>
    <row r="69" spans="15:17" x14ac:dyDescent="0.25">
      <c r="O69" t="s">
        <v>7</v>
      </c>
      <c r="P69" t="s">
        <v>16</v>
      </c>
      <c r="Q69" s="1">
        <v>2784</v>
      </c>
    </row>
    <row r="70" spans="15:17" x14ac:dyDescent="0.25">
      <c r="O70" t="s">
        <v>8</v>
      </c>
      <c r="P70" t="s">
        <v>16</v>
      </c>
      <c r="Q70" s="1">
        <v>2140</v>
      </c>
    </row>
    <row r="71" spans="15:17" x14ac:dyDescent="0.25">
      <c r="O71" t="s">
        <v>9</v>
      </c>
      <c r="P71" t="s">
        <v>16</v>
      </c>
      <c r="Q71" s="1">
        <v>2056</v>
      </c>
    </row>
    <row r="72" spans="15:17" x14ac:dyDescent="0.25">
      <c r="O72" t="s">
        <v>10</v>
      </c>
      <c r="P72" t="s">
        <v>16</v>
      </c>
      <c r="Q72" s="1">
        <v>1096</v>
      </c>
    </row>
    <row r="73" spans="15:17" x14ac:dyDescent="0.25">
      <c r="O73" t="s">
        <v>11</v>
      </c>
      <c r="P73" t="s">
        <v>16</v>
      </c>
      <c r="Q73" s="1">
        <v>2292</v>
      </c>
    </row>
  </sheetData>
  <phoneticPr fontId="1" type="noConversion"/>
  <pageMargins left="0.7" right="0.7" top="0.75" bottom="0.75" header="0.3" footer="0.3"/>
  <tableParts count="6">
    <tablePart r:id="rId1"/>
    <tablePart r:id="rId2"/>
    <tablePart r:id="rId3"/>
    <tablePart r:id="rId4"/>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Pivot table 1</vt:lpstr>
      <vt:lpstr>Pivot table 2</vt:lpstr>
      <vt:lpstr>Vehicle Data</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Bundi</dc:creator>
  <cp:lastModifiedBy>Thomas Bundi</cp:lastModifiedBy>
  <dcterms:created xsi:type="dcterms:W3CDTF">2025-08-01T11:36:10Z</dcterms:created>
  <dcterms:modified xsi:type="dcterms:W3CDTF">2025-08-20T12:15:56Z</dcterms:modified>
</cp:coreProperties>
</file>